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90" windowWidth="14355" windowHeight="12525" tabRatio="881" activeTab="14"/>
  </bookViews>
  <sheets>
    <sheet name="Содержание" sheetId="89" r:id="rId1"/>
    <sheet name="Нормы" sheetId="90" r:id="rId2"/>
    <sheet name="Исходные данные" sheetId="27" r:id="rId3"/>
    <sheet name="аморт" sheetId="35" r:id="rId4"/>
    <sheet name="Лист2" sheetId="100" state="hidden" r:id="rId5"/>
    <sheet name="сенаж бп омич" sheetId="87" state="hidden" r:id="rId6"/>
    <sheet name="сенаж бп-себ омич" sheetId="88" state="hidden" r:id="rId7"/>
    <sheet name="силос бп" sheetId="30" r:id="rId8"/>
    <sheet name="силос сп рапс" sheetId="31" state="hidden" r:id="rId9"/>
    <sheet name="силос сп-себ рапс" sheetId="56" state="hidden" r:id="rId10"/>
    <sheet name="силос сп кукур" sheetId="83" state="hidden" r:id="rId11"/>
    <sheet name="силос сп-себ кукур" sheetId="84" state="hidden" r:id="rId12"/>
    <sheet name="силос бп-себ" sheetId="102" r:id="rId13"/>
    <sheet name="силос сп" sheetId="85" r:id="rId14"/>
    <sheet name="силос сп-себ овес" sheetId="86" r:id="rId15"/>
    <sheet name="сеноАЗ СВЗ" sheetId="32" state="hidden" r:id="rId16"/>
    <sheet name="сеноЮЗ" sheetId="68" state="hidden" r:id="rId17"/>
    <sheet name="Урожайность" sheetId="81" state="hidden" r:id="rId18"/>
  </sheets>
  <definedNames>
    <definedName name="_xlnm.Print_Titles" localSheetId="3">аморт!$4:$6</definedName>
    <definedName name="_xlnm.Print_Titles" localSheetId="5">'сенаж бп омич'!$A:$A</definedName>
    <definedName name="_xlnm.Print_Titles" localSheetId="15">'сеноАЗ СВЗ'!$B:$E</definedName>
    <definedName name="_xlnm.Print_Titles" localSheetId="16">сеноЮЗ!$B:$E</definedName>
    <definedName name="_xlnm.Print_Titles" localSheetId="7">'силос бп'!$B:$E</definedName>
    <definedName name="_xlnm.Print_Titles" localSheetId="13">'силос сп'!$A:$G</definedName>
    <definedName name="_xlnm.Print_Titles" localSheetId="10">'силос сп кукур'!$A:$A</definedName>
    <definedName name="_xlnm.Print_Titles" localSheetId="8">'силос сп рапс'!$A:$A</definedName>
    <definedName name="_xlnm.Print_Area" localSheetId="3">аморт!$A$1:$G$98</definedName>
    <definedName name="_xlnm.Print_Area" localSheetId="2">'Исходные данные'!$A$1:$J$137</definedName>
    <definedName name="_xlnm.Print_Area" localSheetId="1">Нормы!$A$1:$C$28</definedName>
    <definedName name="_xlnm.Print_Area" localSheetId="14">'силос сп-себ овес'!$A$1:$D$42</definedName>
  </definedNames>
  <calcPr calcId="144525"/>
</workbook>
</file>

<file path=xl/calcChain.xml><?xml version="1.0" encoding="utf-8"?>
<calcChain xmlns="http://schemas.openxmlformats.org/spreadsheetml/2006/main">
  <c r="G7" i="35" l="1"/>
  <c r="D13" i="30" l="1"/>
  <c r="D12" i="30"/>
  <c r="B24" i="102" l="1"/>
  <c r="G22" i="85" l="1"/>
  <c r="AP22" i="85"/>
  <c r="L44" i="85" l="1"/>
  <c r="BX46" i="85" l="1"/>
  <c r="BX45" i="85"/>
  <c r="BX44" i="85"/>
  <c r="BX37" i="85"/>
  <c r="BX30" i="85"/>
  <c r="BX27" i="85"/>
  <c r="BX25" i="85"/>
  <c r="BX32" i="85"/>
  <c r="BX24" i="85"/>
  <c r="BX23" i="85"/>
  <c r="BX22" i="85"/>
  <c r="BR37" i="85"/>
  <c r="BR45" i="85"/>
  <c r="BR44" i="85"/>
  <c r="BR30" i="85"/>
  <c r="BR27" i="85"/>
  <c r="BR25" i="85"/>
  <c r="BR32" i="85"/>
  <c r="BR24" i="85"/>
  <c r="BR23" i="85"/>
  <c r="BR22" i="85"/>
  <c r="BX38" i="30"/>
  <c r="BX37" i="30"/>
  <c r="BX36" i="30"/>
  <c r="BX30" i="30"/>
  <c r="BX27" i="30"/>
  <c r="BX25" i="30"/>
  <c r="BX32" i="30"/>
  <c r="BX24" i="30"/>
  <c r="BX23" i="30"/>
  <c r="BX22" i="30"/>
  <c r="BR37" i="30"/>
  <c r="BR36" i="30"/>
  <c r="BR30" i="30"/>
  <c r="BR27" i="30"/>
  <c r="BR25" i="30"/>
  <c r="BR32" i="30"/>
  <c r="BR24" i="30"/>
  <c r="BR23" i="30"/>
  <c r="BR22" i="30"/>
  <c r="C87" i="27"/>
  <c r="BP37" i="85" s="1"/>
  <c r="D87" i="27"/>
  <c r="BP38" i="30" s="1"/>
  <c r="E87" i="27"/>
  <c r="BP44" i="85" s="1"/>
  <c r="F87" i="27"/>
  <c r="G87" i="27"/>
  <c r="H87" i="27"/>
  <c r="B87" i="27"/>
  <c r="BP32" i="85" s="1"/>
  <c r="C82" i="27"/>
  <c r="D82" i="27"/>
  <c r="BN46" i="85" s="1"/>
  <c r="E82" i="27"/>
  <c r="BN44" i="85" s="1"/>
  <c r="F82" i="27"/>
  <c r="F93" i="27" s="1"/>
  <c r="G82" i="27"/>
  <c r="H82" i="27"/>
  <c r="H93" i="27" s="1"/>
  <c r="B82" i="27"/>
  <c r="BN24" i="85" s="1"/>
  <c r="C72" i="27"/>
  <c r="D72" i="27"/>
  <c r="E72" i="27"/>
  <c r="F72" i="27"/>
  <c r="G72" i="27"/>
  <c r="H72" i="27"/>
  <c r="I72" i="27"/>
  <c r="B72" i="27"/>
  <c r="D63" i="27"/>
  <c r="C63" i="27"/>
  <c r="B59" i="27"/>
  <c r="D74" i="27" s="1"/>
  <c r="B58" i="27"/>
  <c r="C73" i="27" s="1"/>
  <c r="G93" i="27" l="1"/>
  <c r="C93" i="27"/>
  <c r="C75" i="27"/>
  <c r="B73" i="27"/>
  <c r="I74" i="27"/>
  <c r="G74" i="27"/>
  <c r="E74" i="27"/>
  <c r="C74" i="27"/>
  <c r="H73" i="27"/>
  <c r="F73" i="27"/>
  <c r="D73" i="27"/>
  <c r="D75" i="27" s="1"/>
  <c r="D93" i="27"/>
  <c r="BN22" i="30"/>
  <c r="BN24" i="30"/>
  <c r="BN25" i="30"/>
  <c r="BN30" i="30"/>
  <c r="BN37" i="30"/>
  <c r="BP22" i="30"/>
  <c r="BP24" i="30"/>
  <c r="BP25" i="30"/>
  <c r="BP30" i="30"/>
  <c r="BP37" i="30"/>
  <c r="BN23" i="85"/>
  <c r="BN32" i="85"/>
  <c r="BN27" i="85"/>
  <c r="BN37" i="85"/>
  <c r="BN45" i="85"/>
  <c r="BP22" i="85"/>
  <c r="BP24" i="85"/>
  <c r="BP25" i="85"/>
  <c r="BP30" i="85"/>
  <c r="BP45" i="85"/>
  <c r="BP46" i="85"/>
  <c r="B74" i="27"/>
  <c r="B75" i="27" s="1"/>
  <c r="H74" i="27"/>
  <c r="F74" i="27"/>
  <c r="I73" i="27"/>
  <c r="I75" i="27" s="1"/>
  <c r="G73" i="27"/>
  <c r="G75" i="27" s="1"/>
  <c r="E73" i="27"/>
  <c r="E75" i="27" s="1"/>
  <c r="B93" i="27"/>
  <c r="E93" i="27"/>
  <c r="BN23" i="30"/>
  <c r="BN32" i="30"/>
  <c r="BN27" i="30"/>
  <c r="BN36" i="30"/>
  <c r="BN38" i="30"/>
  <c r="BP23" i="30"/>
  <c r="BP32" i="30"/>
  <c r="BP27" i="30"/>
  <c r="BP36" i="30"/>
  <c r="BN22" i="85"/>
  <c r="BN25" i="85"/>
  <c r="BN30" i="85"/>
  <c r="BP23" i="85"/>
  <c r="BP27" i="85"/>
  <c r="I78" i="27" l="1"/>
  <c r="I77" i="27"/>
  <c r="D77" i="27"/>
  <c r="D78" i="27"/>
  <c r="H75" i="27"/>
  <c r="G78" i="27"/>
  <c r="G77" i="27"/>
  <c r="B77" i="27"/>
  <c r="B78" i="27"/>
  <c r="F75" i="27"/>
  <c r="E78" i="27"/>
  <c r="E77" i="27"/>
  <c r="C78" i="27"/>
  <c r="C77" i="27"/>
  <c r="J22" i="30"/>
  <c r="AR32" i="85" l="1"/>
  <c r="AR24" i="85"/>
  <c r="AR32" i="30"/>
  <c r="AR24" i="30"/>
  <c r="AR38" i="30"/>
  <c r="AR46" i="85"/>
  <c r="H77" i="27"/>
  <c r="H78" i="27"/>
  <c r="AR22" i="85"/>
  <c r="AR23" i="30"/>
  <c r="AR23" i="85"/>
  <c r="AR22" i="30"/>
  <c r="F77" i="27"/>
  <c r="F78" i="27"/>
  <c r="AR44" i="85"/>
  <c r="AR27" i="85"/>
  <c r="AR37" i="30"/>
  <c r="AR30" i="30"/>
  <c r="AR25" i="30"/>
  <c r="AR45" i="85"/>
  <c r="AR30" i="85"/>
  <c r="AR25" i="85"/>
  <c r="AR36" i="30"/>
  <c r="AR27" i="30"/>
  <c r="BY22" i="85"/>
  <c r="BO22" i="85" s="1"/>
  <c r="AR36" i="85" l="1"/>
  <c r="AR37" i="85"/>
  <c r="B26" i="86" l="1"/>
  <c r="BB39" i="30"/>
  <c r="BF48" i="85" l="1"/>
  <c r="G40" i="30"/>
  <c r="BF40" i="30" s="1"/>
  <c r="AX32" i="85"/>
  <c r="AT32" i="85"/>
  <c r="M23" i="85"/>
  <c r="M24" i="85"/>
  <c r="M25" i="85"/>
  <c r="M22" i="85"/>
  <c r="J41" i="30"/>
  <c r="J40" i="30"/>
  <c r="J39" i="30"/>
  <c r="J38" i="30"/>
  <c r="J37" i="30"/>
  <c r="J36" i="30"/>
  <c r="J23" i="30"/>
  <c r="J24" i="30"/>
  <c r="J25" i="30"/>
  <c r="J26" i="30"/>
  <c r="J27" i="30"/>
  <c r="J28" i="30"/>
  <c r="J29" i="30"/>
  <c r="J30" i="30"/>
  <c r="J31" i="30"/>
  <c r="J32" i="30"/>
  <c r="AX32" i="30" l="1"/>
  <c r="AT32" i="30"/>
  <c r="G8" i="35" l="1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F91" i="35"/>
  <c r="F74" i="35"/>
  <c r="F26" i="35"/>
  <c r="E8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65" i="35"/>
  <c r="E66" i="35"/>
  <c r="E67" i="35"/>
  <c r="E68" i="35"/>
  <c r="E69" i="35"/>
  <c r="E70" i="35"/>
  <c r="E71" i="35"/>
  <c r="E72" i="35"/>
  <c r="E73" i="35"/>
  <c r="E74" i="35"/>
  <c r="E75" i="35"/>
  <c r="E76" i="35"/>
  <c r="E77" i="35"/>
  <c r="E78" i="35"/>
  <c r="E79" i="35"/>
  <c r="E80" i="35"/>
  <c r="E81" i="35"/>
  <c r="E82" i="35"/>
  <c r="E83" i="35"/>
  <c r="E84" i="35"/>
  <c r="E85" i="35"/>
  <c r="E86" i="35"/>
  <c r="E87" i="35"/>
  <c r="E88" i="35"/>
  <c r="E89" i="35"/>
  <c r="E90" i="35"/>
  <c r="E91" i="35"/>
  <c r="E92" i="35"/>
  <c r="E93" i="35"/>
  <c r="E94" i="35"/>
  <c r="E95" i="35"/>
  <c r="E96" i="35"/>
  <c r="E97" i="35"/>
  <c r="E98" i="35"/>
  <c r="E7" i="35"/>
  <c r="C91" i="35"/>
  <c r="C88" i="35"/>
  <c r="C73" i="35"/>
  <c r="C34" i="35"/>
  <c r="C26" i="35"/>
  <c r="C22" i="35"/>
  <c r="C15" i="35"/>
  <c r="AY32" i="30" l="1"/>
  <c r="G29" i="30" s="1"/>
  <c r="L29" i="30" s="1"/>
  <c r="AY32" i="85"/>
  <c r="N29" i="30" l="1"/>
  <c r="A5" i="89" l="1"/>
  <c r="A6" i="89" s="1"/>
  <c r="A7" i="89" s="1"/>
  <c r="A8" i="89" s="1"/>
  <c r="BD47" i="85"/>
  <c r="BB47" i="85"/>
  <c r="BD39" i="30"/>
  <c r="D11" i="30"/>
  <c r="I6" i="85" l="1"/>
  <c r="I6" i="30"/>
  <c r="BG48" i="85" l="1"/>
  <c r="BG40" i="30"/>
  <c r="G37" i="85" l="1"/>
  <c r="G36" i="85" s="1"/>
  <c r="AZ32" i="85"/>
  <c r="AV32" i="85"/>
  <c r="J45" i="85"/>
  <c r="G48" i="85"/>
  <c r="B7" i="102"/>
  <c r="B6" i="102"/>
  <c r="B26" i="102" s="1"/>
  <c r="A4" i="102"/>
  <c r="AZ32" i="30"/>
  <c r="AV32" i="30"/>
  <c r="BC39" i="30"/>
  <c r="BK36" i="85"/>
  <c r="BK24" i="30"/>
  <c r="BK37" i="85"/>
  <c r="BK25" i="30"/>
  <c r="BI37" i="85"/>
  <c r="BI23" i="85"/>
  <c r="BI44" i="85"/>
  <c r="BI46" i="85"/>
  <c r="C26" i="102" l="1"/>
  <c r="BI24" i="30"/>
  <c r="BI24" i="85"/>
  <c r="BI38" i="30"/>
  <c r="BK30" i="30"/>
  <c r="BK37" i="30"/>
  <c r="BK27" i="30"/>
  <c r="BI25" i="30"/>
  <c r="BI30" i="30"/>
  <c r="BI36" i="30"/>
  <c r="BI25" i="85"/>
  <c r="BI30" i="85"/>
  <c r="BI45" i="85"/>
  <c r="BK27" i="85"/>
  <c r="BK45" i="85"/>
  <c r="BK24" i="85"/>
  <c r="BI22" i="30"/>
  <c r="BI23" i="30"/>
  <c r="BI27" i="30"/>
  <c r="BI32" i="30"/>
  <c r="BI37" i="30"/>
  <c r="BI22" i="85"/>
  <c r="BI27" i="85"/>
  <c r="BI32" i="85"/>
  <c r="BK25" i="85"/>
  <c r="BK30" i="85"/>
  <c r="B8" i="102"/>
  <c r="B9" i="102" s="1"/>
  <c r="A112" i="100"/>
  <c r="A113" i="100" s="1"/>
  <c r="A114" i="100" s="1"/>
  <c r="A115" i="100" s="1"/>
  <c r="A95" i="100"/>
  <c r="A96" i="100" s="1"/>
  <c r="A97" i="100" s="1"/>
  <c r="A98" i="100" s="1"/>
  <c r="A99" i="100" s="1"/>
  <c r="A90" i="100"/>
  <c r="A91" i="100" s="1"/>
  <c r="A92" i="100" s="1"/>
  <c r="A93" i="100" s="1"/>
  <c r="A94" i="100" s="1"/>
  <c r="A85" i="100"/>
  <c r="A86" i="100" s="1"/>
  <c r="E84" i="100"/>
  <c r="E83" i="100"/>
  <c r="A81" i="100"/>
  <c r="A77" i="100"/>
  <c r="E76" i="100"/>
  <c r="E74" i="100"/>
  <c r="E73" i="100"/>
  <c r="E72" i="100"/>
  <c r="E71" i="100"/>
  <c r="E67" i="100"/>
  <c r="E66" i="100"/>
  <c r="E65" i="100"/>
  <c r="A65" i="100"/>
  <c r="A66" i="100" s="1"/>
  <c r="A67" i="100" s="1"/>
  <c r="A68" i="100" s="1"/>
  <c r="A69" i="100" s="1"/>
  <c r="A70" i="100" s="1"/>
  <c r="A71" i="100" s="1"/>
  <c r="A72" i="100" s="1"/>
  <c r="A73" i="100" s="1"/>
  <c r="A74" i="100" s="1"/>
  <c r="E64" i="100"/>
  <c r="A59" i="100"/>
  <c r="A60" i="100" s="1"/>
  <c r="A61" i="100" s="1"/>
  <c r="A62" i="100" s="1"/>
  <c r="A45" i="100"/>
  <c r="A46" i="100" s="1"/>
  <c r="A47" i="100" s="1"/>
  <c r="A48" i="100" s="1"/>
  <c r="A49" i="100" s="1"/>
  <c r="A50" i="100" s="1"/>
  <c r="A51" i="100" s="1"/>
  <c r="A52" i="100" s="1"/>
  <c r="A38" i="100"/>
  <c r="A39" i="100" s="1"/>
  <c r="A40" i="100" s="1"/>
  <c r="A41" i="100" s="1"/>
  <c r="A42" i="100" s="1"/>
  <c r="A35" i="100"/>
  <c r="A23" i="100"/>
  <c r="A24" i="100" s="1"/>
  <c r="A25" i="100" s="1"/>
  <c r="A26" i="100" s="1"/>
  <c r="A27" i="100" s="1"/>
  <c r="A28" i="100" s="1"/>
  <c r="A29" i="100" s="1"/>
  <c r="A30" i="100" s="1"/>
  <c r="A31" i="100" s="1"/>
  <c r="A32" i="100" s="1"/>
  <c r="A16" i="100"/>
  <c r="A17" i="100" s="1"/>
  <c r="A18" i="100" s="1"/>
  <c r="A19" i="100" s="1"/>
  <c r="A20" i="100" s="1"/>
  <c r="A4" i="100"/>
  <c r="A5" i="100" s="1"/>
  <c r="A6" i="100" s="1"/>
  <c r="A7" i="100" s="1"/>
  <c r="A8" i="100" s="1"/>
  <c r="A9" i="100" s="1"/>
  <c r="A10" i="100" s="1"/>
  <c r="A11" i="100" s="1"/>
  <c r="A12" i="100" s="1"/>
  <c r="A13" i="100" s="1"/>
  <c r="B3" i="27"/>
  <c r="D31" i="27" s="1"/>
  <c r="B8" i="27"/>
  <c r="B6" i="27"/>
  <c r="BK36" i="30" l="1"/>
  <c r="BK44" i="85"/>
  <c r="BK23" i="30"/>
  <c r="BK23" i="85"/>
  <c r="BK32" i="30"/>
  <c r="BK32" i="85"/>
  <c r="BK22" i="30"/>
  <c r="BK22" i="85"/>
  <c r="G23" i="27"/>
  <c r="G25" i="27" s="1"/>
  <c r="C19" i="27"/>
  <c r="C21" i="27" s="1"/>
  <c r="E27" i="27"/>
  <c r="E29" i="27" s="1"/>
  <c r="H15" i="27"/>
  <c r="H16" i="27" s="1"/>
  <c r="E19" i="27"/>
  <c r="E21" i="27" s="1"/>
  <c r="C27" i="27"/>
  <c r="C29" i="27" s="1"/>
  <c r="G31" i="27"/>
  <c r="G33" i="27" s="1"/>
  <c r="B10" i="27"/>
  <c r="C15" i="27"/>
  <c r="C17" i="27" s="1"/>
  <c r="F15" i="27"/>
  <c r="F16" i="27" s="1"/>
  <c r="G19" i="27"/>
  <c r="G21" i="27" s="1"/>
  <c r="C23" i="27"/>
  <c r="C25" i="27" s="1"/>
  <c r="E23" i="27"/>
  <c r="E25" i="27" s="1"/>
  <c r="G27" i="27"/>
  <c r="G29" i="27" s="1"/>
  <c r="C31" i="27"/>
  <c r="C33" i="27" s="1"/>
  <c r="E31" i="27"/>
  <c r="E33" i="27" s="1"/>
  <c r="E77" i="100"/>
  <c r="E78" i="100"/>
  <c r="E88" i="100"/>
  <c r="E85" i="100"/>
  <c r="E87" i="100"/>
  <c r="D33" i="27"/>
  <c r="D32" i="27"/>
  <c r="D15" i="27"/>
  <c r="G15" i="27"/>
  <c r="E15" i="27"/>
  <c r="H19" i="27"/>
  <c r="F19" i="27"/>
  <c r="D19" i="27"/>
  <c r="H23" i="27"/>
  <c r="F23" i="27"/>
  <c r="D23" i="27"/>
  <c r="H27" i="27"/>
  <c r="F27" i="27"/>
  <c r="D27" i="27"/>
  <c r="H31" i="27"/>
  <c r="F31" i="27"/>
  <c r="E28" i="27"/>
  <c r="C20" i="27" l="1"/>
  <c r="F17" i="27"/>
  <c r="G24" i="27"/>
  <c r="O17" i="30"/>
  <c r="O17" i="85"/>
  <c r="E32" i="27"/>
  <c r="C28" i="27"/>
  <c r="C24" i="27"/>
  <c r="H17" i="27"/>
  <c r="G32" i="27"/>
  <c r="G28" i="27"/>
  <c r="E20" i="27"/>
  <c r="C32" i="27"/>
  <c r="E24" i="27"/>
  <c r="G20" i="27"/>
  <c r="C16" i="27"/>
  <c r="E79" i="100"/>
  <c r="H33" i="27"/>
  <c r="H32" i="27"/>
  <c r="F29" i="27"/>
  <c r="F28" i="27"/>
  <c r="D25" i="27"/>
  <c r="D24" i="27"/>
  <c r="H25" i="27"/>
  <c r="H24" i="27"/>
  <c r="F21" i="27"/>
  <c r="F20" i="27"/>
  <c r="E17" i="27"/>
  <c r="E16" i="27"/>
  <c r="D17" i="27"/>
  <c r="D16" i="27"/>
  <c r="F33" i="27"/>
  <c r="F32" i="27"/>
  <c r="D29" i="27"/>
  <c r="D28" i="27"/>
  <c r="H29" i="27"/>
  <c r="H28" i="27"/>
  <c r="F25" i="27"/>
  <c r="F24" i="27"/>
  <c r="D21" i="27"/>
  <c r="D20" i="27"/>
  <c r="H21" i="27"/>
  <c r="H20" i="27"/>
  <c r="G17" i="27"/>
  <c r="G16" i="27"/>
  <c r="B28" i="90"/>
  <c r="C28" i="90"/>
  <c r="P29" i="30" l="1"/>
  <c r="BT25" i="85"/>
  <c r="BT23" i="85"/>
  <c r="BT24" i="85"/>
  <c r="BT22" i="85"/>
  <c r="BL23" i="85"/>
  <c r="BL25" i="85"/>
  <c r="BJ23" i="85"/>
  <c r="BJ25" i="85"/>
  <c r="BL24" i="85"/>
  <c r="BL22" i="85"/>
  <c r="BJ24" i="85"/>
  <c r="BJ22" i="85"/>
  <c r="E68" i="100"/>
  <c r="E80" i="100"/>
  <c r="A3" i="89"/>
  <c r="A4" i="89" s="1"/>
  <c r="E69" i="100" l="1"/>
  <c r="E81" i="100"/>
  <c r="E70" i="100" l="1"/>
  <c r="B27" i="88" l="1"/>
  <c r="B7" i="88"/>
  <c r="B6" i="88"/>
  <c r="B25" i="88" s="1"/>
  <c r="C25" i="88" s="1"/>
  <c r="BA36" i="87"/>
  <c r="AY36" i="87"/>
  <c r="AW36" i="87"/>
  <c r="AU36" i="87"/>
  <c r="N36" i="87"/>
  <c r="M36" i="87"/>
  <c r="BN35" i="87"/>
  <c r="AO35" i="87"/>
  <c r="P35" i="87"/>
  <c r="J35" i="87"/>
  <c r="BN34" i="87"/>
  <c r="AO34" i="87"/>
  <c r="P34" i="87"/>
  <c r="T34" i="87" s="1"/>
  <c r="J34" i="87"/>
  <c r="BN33" i="87"/>
  <c r="AO33" i="87"/>
  <c r="T33" i="87"/>
  <c r="P33" i="87"/>
  <c r="J33" i="87"/>
  <c r="BN32" i="87"/>
  <c r="AO32" i="87"/>
  <c r="P32" i="87"/>
  <c r="T32" i="87" s="1"/>
  <c r="X32" i="87" s="1"/>
  <c r="J32" i="87"/>
  <c r="BN31" i="87"/>
  <c r="AO31" i="87"/>
  <c r="P31" i="87"/>
  <c r="J31" i="87"/>
  <c r="A31" i="87"/>
  <c r="A32" i="87" s="1"/>
  <c r="A33" i="87" s="1"/>
  <c r="A34" i="87" s="1"/>
  <c r="A35" i="87" s="1"/>
  <c r="BN30" i="87"/>
  <c r="AO30" i="87"/>
  <c r="P30" i="87"/>
  <c r="J30" i="87"/>
  <c r="J36" i="87"/>
  <c r="G30" i="87"/>
  <c r="AP30" i="87" s="1"/>
  <c r="BE28" i="87"/>
  <c r="BC28" i="87"/>
  <c r="N28" i="87"/>
  <c r="N37" i="87" s="1"/>
  <c r="M28" i="87"/>
  <c r="M37" i="87"/>
  <c r="BN27" i="87"/>
  <c r="AZ27" i="87"/>
  <c r="AO27" i="87"/>
  <c r="P27" i="87"/>
  <c r="T27" i="87" s="1"/>
  <c r="V27" i="87" s="1"/>
  <c r="I27" i="87"/>
  <c r="H27" i="87"/>
  <c r="J27" i="87" s="1"/>
  <c r="G27" i="87"/>
  <c r="AY27" i="87" s="1"/>
  <c r="AO26" i="87"/>
  <c r="O26" i="87"/>
  <c r="J26" i="87"/>
  <c r="BN25" i="87"/>
  <c r="AO25" i="87"/>
  <c r="J25" i="87"/>
  <c r="O24" i="87"/>
  <c r="J24" i="87"/>
  <c r="O23" i="87"/>
  <c r="J23" i="87"/>
  <c r="BN22" i="87"/>
  <c r="AO22" i="87"/>
  <c r="J22" i="87"/>
  <c r="AO21" i="87"/>
  <c r="O21" i="87"/>
  <c r="J21" i="87"/>
  <c r="BN20" i="87"/>
  <c r="AO20" i="87"/>
  <c r="P20" i="87"/>
  <c r="J20" i="87"/>
  <c r="G20" i="87"/>
  <c r="AP20" i="87"/>
  <c r="BN19" i="87"/>
  <c r="AO19" i="87"/>
  <c r="P19" i="87"/>
  <c r="T19" i="87" s="1"/>
  <c r="X19" i="87" s="1"/>
  <c r="J19" i="87"/>
  <c r="G19" i="87"/>
  <c r="A19" i="87"/>
  <c r="A20" i="87" s="1"/>
  <c r="A21" i="87" s="1"/>
  <c r="A22" i="87" s="1"/>
  <c r="A23" i="87" s="1"/>
  <c r="A24" i="87" s="1"/>
  <c r="A25" i="87" s="1"/>
  <c r="A26" i="87" s="1"/>
  <c r="A27" i="87" s="1"/>
  <c r="BN18" i="87"/>
  <c r="AO18" i="87"/>
  <c r="T18" i="87"/>
  <c r="P18" i="87"/>
  <c r="J18" i="87"/>
  <c r="G18" i="87"/>
  <c r="A18" i="87"/>
  <c r="BN17" i="87"/>
  <c r="AR17" i="87"/>
  <c r="AR22" i="87" s="1"/>
  <c r="AO17" i="87"/>
  <c r="AP17" i="87" s="1"/>
  <c r="P17" i="87"/>
  <c r="O17" i="87"/>
  <c r="L17" i="87"/>
  <c r="BU17" i="87" s="1"/>
  <c r="J17" i="87"/>
  <c r="BQ15" i="87"/>
  <c r="BR15" i="87" s="1"/>
  <c r="BS15" i="87" s="1"/>
  <c r="BT15" i="87" s="1"/>
  <c r="BU15" i="87" s="1"/>
  <c r="H15" i="87"/>
  <c r="I15" i="87" s="1"/>
  <c r="J15" i="87" s="1"/>
  <c r="K15" i="87" s="1"/>
  <c r="L15" i="87" s="1"/>
  <c r="M15" i="87" s="1"/>
  <c r="N15" i="87" s="1"/>
  <c r="O15" i="87" s="1"/>
  <c r="P15" i="87" s="1"/>
  <c r="Q15" i="87" s="1"/>
  <c r="R15" i="87" s="1"/>
  <c r="S15" i="87" s="1"/>
  <c r="T15" i="87" s="1"/>
  <c r="U15" i="87" s="1"/>
  <c r="V15" i="87" s="1"/>
  <c r="W15" i="87" s="1"/>
  <c r="X15" i="87" s="1"/>
  <c r="Y15" i="87" s="1"/>
  <c r="Z15" i="87" s="1"/>
  <c r="AA15" i="87" s="1"/>
  <c r="AB15" i="87" s="1"/>
  <c r="AC15" i="87" s="1"/>
  <c r="AD15" i="87" s="1"/>
  <c r="AE15" i="87" s="1"/>
  <c r="AF15" i="87" s="1"/>
  <c r="AG15" i="87" s="1"/>
  <c r="AH15" i="87" s="1"/>
  <c r="AI15" i="87" s="1"/>
  <c r="AJ15" i="87" s="1"/>
  <c r="AK15" i="87" s="1"/>
  <c r="AL15" i="87" s="1"/>
  <c r="AM15" i="87" s="1"/>
  <c r="AN15" i="87" s="1"/>
  <c r="AO15" i="87" s="1"/>
  <c r="AP15" i="87" s="1"/>
  <c r="AQ15" i="87" s="1"/>
  <c r="AR15" i="87" s="1"/>
  <c r="AS15" i="87" s="1"/>
  <c r="AT15" i="87" s="1"/>
  <c r="AU15" i="87" s="1"/>
  <c r="AV15" i="87" s="1"/>
  <c r="AW15" i="87" s="1"/>
  <c r="AX15" i="87" s="1"/>
  <c r="AY15" i="87" s="1"/>
  <c r="AZ15" i="87" s="1"/>
  <c r="BA15" i="87" s="1"/>
  <c r="BB15" i="87" s="1"/>
  <c r="BC15" i="87" s="1"/>
  <c r="BD15" i="87" s="1"/>
  <c r="BE15" i="87" s="1"/>
  <c r="BF15" i="87" s="1"/>
  <c r="BG15" i="87" s="1"/>
  <c r="BH15" i="87" s="1"/>
  <c r="BI15" i="87" s="1"/>
  <c r="BJ15" i="87" s="1"/>
  <c r="BK15" i="87" s="1"/>
  <c r="BL15" i="87" s="1"/>
  <c r="BM15" i="87" s="1"/>
  <c r="BN15" i="87" s="1"/>
  <c r="BO15" i="87" s="1"/>
  <c r="BP15" i="87" s="1"/>
  <c r="G15" i="87"/>
  <c r="B15" i="87"/>
  <c r="A15" i="87"/>
  <c r="D7" i="87"/>
  <c r="G33" i="87" s="1"/>
  <c r="L33" i="87" s="1"/>
  <c r="C27" i="88"/>
  <c r="D8" i="87"/>
  <c r="R23" i="87"/>
  <c r="W23" i="87" s="1"/>
  <c r="T31" i="87"/>
  <c r="X31" i="87" s="1"/>
  <c r="L27" i="87"/>
  <c r="O27" i="87" s="1"/>
  <c r="BS27" i="87" s="1"/>
  <c r="G31" i="87"/>
  <c r="L20" i="87"/>
  <c r="R24" i="87"/>
  <c r="R26" i="87"/>
  <c r="W26" i="87" s="1"/>
  <c r="L30" i="87"/>
  <c r="T30" i="87"/>
  <c r="X30" i="87" s="1"/>
  <c r="BP30" i="87"/>
  <c r="K30" i="85"/>
  <c r="K25" i="85"/>
  <c r="K24" i="85"/>
  <c r="K23" i="85"/>
  <c r="K22" i="85"/>
  <c r="I32" i="85"/>
  <c r="H32" i="85"/>
  <c r="C26" i="86"/>
  <c r="B7" i="86"/>
  <c r="A4" i="86"/>
  <c r="BA50" i="85"/>
  <c r="AY50" i="85"/>
  <c r="AW50" i="85"/>
  <c r="AU50" i="85"/>
  <c r="O49" i="85"/>
  <c r="W49" i="85" s="1"/>
  <c r="O48" i="85"/>
  <c r="W48" i="85" s="1"/>
  <c r="BH48" i="85"/>
  <c r="BH50" i="85" s="1"/>
  <c r="BH51" i="85" s="1"/>
  <c r="O47" i="85"/>
  <c r="BM50" i="85"/>
  <c r="BM51" i="85" s="1"/>
  <c r="B19" i="86" s="1"/>
  <c r="C19" i="86" s="1"/>
  <c r="AO46" i="85"/>
  <c r="P46" i="85"/>
  <c r="X46" i="85" s="1"/>
  <c r="A46" i="85"/>
  <c r="A47" i="85"/>
  <c r="AO45" i="85"/>
  <c r="P45" i="85"/>
  <c r="AO44" i="85"/>
  <c r="AP44" i="85" s="1"/>
  <c r="P44" i="85"/>
  <c r="V44" i="85" s="1"/>
  <c r="J44" i="85"/>
  <c r="BE42" i="85"/>
  <c r="BC42" i="85"/>
  <c r="BA42" i="85"/>
  <c r="AZ42" i="85"/>
  <c r="AY42" i="85"/>
  <c r="AW42" i="85"/>
  <c r="AU42" i="85"/>
  <c r="AO37" i="85"/>
  <c r="I37" i="85"/>
  <c r="J37" i="85" s="1"/>
  <c r="H37" i="85"/>
  <c r="A37" i="85"/>
  <c r="AO36" i="85"/>
  <c r="J36" i="85"/>
  <c r="BE34" i="85"/>
  <c r="BC34" i="85"/>
  <c r="AO32" i="85"/>
  <c r="G32" i="85"/>
  <c r="AU32" i="85" s="1"/>
  <c r="O31" i="85"/>
  <c r="R31" i="85" s="1"/>
  <c r="W31" i="85" s="1"/>
  <c r="J31" i="85"/>
  <c r="AO30" i="85"/>
  <c r="J30" i="85"/>
  <c r="O29" i="85"/>
  <c r="R29" i="85" s="1"/>
  <c r="J29" i="85"/>
  <c r="O28" i="85"/>
  <c r="R28" i="85" s="1"/>
  <c r="U28" i="85" s="1"/>
  <c r="AA28" i="85" s="1"/>
  <c r="J28" i="85"/>
  <c r="AO27" i="85"/>
  <c r="J27" i="85"/>
  <c r="J26" i="85"/>
  <c r="AO25" i="85"/>
  <c r="P25" i="85"/>
  <c r="V25" i="85" s="1"/>
  <c r="J25" i="85"/>
  <c r="G25" i="85"/>
  <c r="L25" i="85" s="1"/>
  <c r="AO24" i="85"/>
  <c r="P24" i="85"/>
  <c r="J24" i="85"/>
  <c r="G24" i="85"/>
  <c r="L24" i="85" s="1"/>
  <c r="AO23" i="85"/>
  <c r="P23" i="85"/>
  <c r="V23" i="85" s="1"/>
  <c r="AB23" i="85" s="1"/>
  <c r="J23" i="85"/>
  <c r="A23" i="85"/>
  <c r="A24" i="85" s="1"/>
  <c r="A25" i="85" s="1"/>
  <c r="A26" i="85" s="1"/>
  <c r="A27" i="85" s="1"/>
  <c r="A28" i="85" s="1"/>
  <c r="A29" i="85" s="1"/>
  <c r="A30" i="85" s="1"/>
  <c r="A31" i="85" s="1"/>
  <c r="A32" i="85" s="1"/>
  <c r="AO22" i="85"/>
  <c r="P22" i="85"/>
  <c r="J22" i="85"/>
  <c r="G23" i="85"/>
  <c r="G20" i="85"/>
  <c r="H20" i="85" s="1"/>
  <c r="I20" i="85" s="1"/>
  <c r="J20" i="85" s="1"/>
  <c r="K20" i="85" s="1"/>
  <c r="L20" i="85" s="1"/>
  <c r="M20" i="85" s="1"/>
  <c r="N20" i="85" s="1"/>
  <c r="O20" i="85" s="1"/>
  <c r="P20" i="85" s="1"/>
  <c r="Q20" i="85" s="1"/>
  <c r="R20" i="85" s="1"/>
  <c r="S20" i="85" s="1"/>
  <c r="T20" i="85" s="1"/>
  <c r="U20" i="85" s="1"/>
  <c r="V20" i="85" s="1"/>
  <c r="W20" i="85" s="1"/>
  <c r="X20" i="85" s="1"/>
  <c r="Y20" i="85" s="1"/>
  <c r="Z20" i="85" s="1"/>
  <c r="AA20" i="85" s="1"/>
  <c r="AB20" i="85" s="1"/>
  <c r="AC20" i="85" s="1"/>
  <c r="AD20" i="85" s="1"/>
  <c r="AE20" i="85" s="1"/>
  <c r="AF20" i="85" s="1"/>
  <c r="AG20" i="85" s="1"/>
  <c r="AH20" i="85" s="1"/>
  <c r="AI20" i="85" s="1"/>
  <c r="AJ20" i="85" s="1"/>
  <c r="AK20" i="85" s="1"/>
  <c r="AL20" i="85" s="1"/>
  <c r="AM20" i="85" s="1"/>
  <c r="AN20" i="85" s="1"/>
  <c r="AO20" i="85" s="1"/>
  <c r="AP20" i="85" s="1"/>
  <c r="AQ20" i="85" s="1"/>
  <c r="AR20" i="85" s="1"/>
  <c r="AS20" i="85" s="1"/>
  <c r="AT20" i="85" s="1"/>
  <c r="AU20" i="85" s="1"/>
  <c r="AV20" i="85" s="1"/>
  <c r="AW20" i="85" s="1"/>
  <c r="AX20" i="85" s="1"/>
  <c r="AY20" i="85" s="1"/>
  <c r="AZ20" i="85" s="1"/>
  <c r="BA20" i="85" s="1"/>
  <c r="BB20" i="85" s="1"/>
  <c r="BC20" i="85" s="1"/>
  <c r="BD20" i="85" s="1"/>
  <c r="BE20" i="85" s="1"/>
  <c r="BF20" i="85" s="1"/>
  <c r="BG20" i="85" s="1"/>
  <c r="BH20" i="85" s="1"/>
  <c r="BI20" i="85" s="1"/>
  <c r="BJ20" i="85" s="1"/>
  <c r="BK20" i="85" s="1"/>
  <c r="BL20" i="85" s="1"/>
  <c r="BM20" i="85" s="1"/>
  <c r="BN20" i="85" s="1"/>
  <c r="BO20" i="85" s="1"/>
  <c r="BP20" i="85" s="1"/>
  <c r="BQ20" i="85" s="1"/>
  <c r="BR20" i="85" s="1"/>
  <c r="BS20" i="85" s="1"/>
  <c r="BT20" i="85" s="1"/>
  <c r="BU20" i="85" s="1"/>
  <c r="BV20" i="85" s="1"/>
  <c r="BW20" i="85" s="1"/>
  <c r="BX20" i="85" s="1"/>
  <c r="BY20" i="85" s="1"/>
  <c r="B20" i="85"/>
  <c r="A20" i="85"/>
  <c r="D12" i="85"/>
  <c r="D13" i="85" s="1"/>
  <c r="D11" i="85"/>
  <c r="H32" i="83"/>
  <c r="B29" i="84"/>
  <c r="C29" i="84" s="1"/>
  <c r="B26" i="84"/>
  <c r="C26" i="84" s="1"/>
  <c r="B7" i="84"/>
  <c r="B8" i="84" s="1"/>
  <c r="B9" i="84"/>
  <c r="A4" i="84"/>
  <c r="BA50" i="83"/>
  <c r="AY50" i="83"/>
  <c r="AW50" i="83"/>
  <c r="AU50" i="83"/>
  <c r="N50" i="83"/>
  <c r="M50" i="83"/>
  <c r="O49" i="83"/>
  <c r="O48" i="83"/>
  <c r="U48" i="83" s="1"/>
  <c r="G48" i="83"/>
  <c r="BF48" i="83" s="1"/>
  <c r="O47" i="83"/>
  <c r="W47" i="83" s="1"/>
  <c r="BM46" i="83"/>
  <c r="BM50" i="83" s="1"/>
  <c r="BM51" i="83" s="1"/>
  <c r="B20" i="84" s="1"/>
  <c r="AR46" i="83"/>
  <c r="AO46" i="83"/>
  <c r="P46" i="83"/>
  <c r="A46" i="83"/>
  <c r="A47" i="83" s="1"/>
  <c r="BR45" i="83"/>
  <c r="AR45" i="83"/>
  <c r="AO45" i="83"/>
  <c r="P45" i="83"/>
  <c r="X45" i="83" s="1"/>
  <c r="I45" i="83"/>
  <c r="BR44" i="83"/>
  <c r="AR44" i="83"/>
  <c r="AO44" i="83"/>
  <c r="AP44" i="83" s="1"/>
  <c r="AN44" i="83"/>
  <c r="P44" i="83"/>
  <c r="X44" i="83" s="1"/>
  <c r="K44" i="83"/>
  <c r="L44" i="83" s="1"/>
  <c r="J44" i="83"/>
  <c r="BE42" i="83"/>
  <c r="BC42" i="83"/>
  <c r="BA42" i="83"/>
  <c r="AZ42" i="83"/>
  <c r="AY42" i="83"/>
  <c r="AW42" i="83"/>
  <c r="AU42" i="83"/>
  <c r="N42" i="83"/>
  <c r="M42" i="83"/>
  <c r="AR41" i="83"/>
  <c r="AO41" i="83"/>
  <c r="P41" i="83"/>
  <c r="I41" i="83"/>
  <c r="J41" i="83" s="1"/>
  <c r="A41" i="83"/>
  <c r="AR40" i="83"/>
  <c r="AO40" i="83"/>
  <c r="O40" i="83"/>
  <c r="J40" i="83"/>
  <c r="AR39" i="83"/>
  <c r="AO39" i="83"/>
  <c r="P39" i="83"/>
  <c r="J39" i="83"/>
  <c r="G39" i="83"/>
  <c r="G40" i="83" s="1"/>
  <c r="AR38" i="83"/>
  <c r="AO38" i="83"/>
  <c r="AN38" i="83"/>
  <c r="O38" i="83"/>
  <c r="J38" i="83"/>
  <c r="G38" i="83"/>
  <c r="AR37" i="83"/>
  <c r="AO37" i="83"/>
  <c r="AN37" i="83"/>
  <c r="P37" i="83"/>
  <c r="I37" i="83"/>
  <c r="H37" i="83"/>
  <c r="A37" i="83"/>
  <c r="AR36" i="83"/>
  <c r="AO36" i="83"/>
  <c r="AN36" i="83"/>
  <c r="O36" i="83"/>
  <c r="J36" i="83"/>
  <c r="K36" i="83"/>
  <c r="L36" i="83" s="1"/>
  <c r="BE34" i="83"/>
  <c r="BC34" i="83"/>
  <c r="N34" i="83"/>
  <c r="N51" i="83" s="1"/>
  <c r="M34" i="83"/>
  <c r="M51" i="83" s="1"/>
  <c r="BR32" i="83"/>
  <c r="AZ32" i="83"/>
  <c r="AR32" i="83"/>
  <c r="AO32" i="83"/>
  <c r="K32" i="83"/>
  <c r="J32" i="83"/>
  <c r="G32" i="83"/>
  <c r="AY32" i="83" s="1"/>
  <c r="AY34" i="83" s="1"/>
  <c r="AY51" i="83" s="1"/>
  <c r="O31" i="83"/>
  <c r="K31" i="83"/>
  <c r="J31" i="83"/>
  <c r="BR30" i="83"/>
  <c r="AR30" i="83"/>
  <c r="AO30" i="83"/>
  <c r="K30" i="83"/>
  <c r="J30" i="83"/>
  <c r="O29" i="83"/>
  <c r="R29" i="83" s="1"/>
  <c r="K29" i="83"/>
  <c r="J29" i="83"/>
  <c r="O28" i="83"/>
  <c r="J28" i="83"/>
  <c r="BR27" i="83"/>
  <c r="AR27" i="83"/>
  <c r="AO27" i="83"/>
  <c r="J27" i="83"/>
  <c r="J26" i="83"/>
  <c r="BR25" i="83"/>
  <c r="AR25" i="83"/>
  <c r="AO25" i="83"/>
  <c r="P25" i="83"/>
  <c r="K25" i="83"/>
  <c r="J25" i="83"/>
  <c r="G25" i="83"/>
  <c r="AP25" i="83" s="1"/>
  <c r="BR24" i="83"/>
  <c r="AR24" i="83"/>
  <c r="AO24" i="83"/>
  <c r="P24" i="83"/>
  <c r="K24" i="83"/>
  <c r="L24" i="83" s="1"/>
  <c r="J24" i="83"/>
  <c r="G24" i="83"/>
  <c r="BR23" i="83"/>
  <c r="AR23" i="83"/>
  <c r="AO23" i="83"/>
  <c r="P23" i="83"/>
  <c r="K23" i="83"/>
  <c r="J23" i="83"/>
  <c r="A23" i="83"/>
  <c r="A24" i="83" s="1"/>
  <c r="A25" i="83" s="1"/>
  <c r="A26" i="83" s="1"/>
  <c r="A27" i="83" s="1"/>
  <c r="A28" i="83" s="1"/>
  <c r="A29" i="83" s="1"/>
  <c r="A30" i="83" s="1"/>
  <c r="A31" i="83" s="1"/>
  <c r="A32" i="83" s="1"/>
  <c r="BR22" i="83"/>
  <c r="AR22" i="83"/>
  <c r="AO22" i="83"/>
  <c r="V22" i="83"/>
  <c r="AB22" i="83" s="1"/>
  <c r="P22" i="83"/>
  <c r="X22" i="83" s="1"/>
  <c r="K22" i="83"/>
  <c r="J22" i="83"/>
  <c r="G22" i="83"/>
  <c r="G23" i="83" s="1"/>
  <c r="K20" i="83"/>
  <c r="L20" i="83" s="1"/>
  <c r="M20" i="83" s="1"/>
  <c r="N20" i="83" s="1"/>
  <c r="O20" i="83" s="1"/>
  <c r="P20" i="83" s="1"/>
  <c r="Q20" i="83" s="1"/>
  <c r="R20" i="83" s="1"/>
  <c r="S20" i="83" s="1"/>
  <c r="T20" i="83" s="1"/>
  <c r="U20" i="83" s="1"/>
  <c r="V20" i="83" s="1"/>
  <c r="W20" i="83" s="1"/>
  <c r="X20" i="83" s="1"/>
  <c r="Y20" i="83" s="1"/>
  <c r="Z20" i="83" s="1"/>
  <c r="AA20" i="83" s="1"/>
  <c r="AB20" i="83" s="1"/>
  <c r="AC20" i="83" s="1"/>
  <c r="AD20" i="83" s="1"/>
  <c r="AE20" i="83" s="1"/>
  <c r="AF20" i="83" s="1"/>
  <c r="AG20" i="83" s="1"/>
  <c r="AH20" i="83" s="1"/>
  <c r="AI20" i="83" s="1"/>
  <c r="AJ20" i="83" s="1"/>
  <c r="AK20" i="83" s="1"/>
  <c r="AL20" i="83" s="1"/>
  <c r="AM20" i="83" s="1"/>
  <c r="AN20" i="83" s="1"/>
  <c r="AO20" i="83" s="1"/>
  <c r="AP20" i="83" s="1"/>
  <c r="AQ20" i="83" s="1"/>
  <c r="AR20" i="83" s="1"/>
  <c r="AS20" i="83" s="1"/>
  <c r="AT20" i="83" s="1"/>
  <c r="AU20" i="83" s="1"/>
  <c r="AV20" i="83" s="1"/>
  <c r="AW20" i="83" s="1"/>
  <c r="AX20" i="83" s="1"/>
  <c r="AY20" i="83" s="1"/>
  <c r="AZ20" i="83" s="1"/>
  <c r="BA20" i="83" s="1"/>
  <c r="BB20" i="83" s="1"/>
  <c r="BC20" i="83" s="1"/>
  <c r="BD20" i="83" s="1"/>
  <c r="BE20" i="83" s="1"/>
  <c r="BF20" i="83" s="1"/>
  <c r="BG20" i="83" s="1"/>
  <c r="BH20" i="83" s="1"/>
  <c r="BI20" i="83" s="1"/>
  <c r="BJ20" i="83" s="1"/>
  <c r="BK20" i="83" s="1"/>
  <c r="BL20" i="83" s="1"/>
  <c r="BM20" i="83" s="1"/>
  <c r="BN20" i="83" s="1"/>
  <c r="BO20" i="83" s="1"/>
  <c r="BP20" i="83" s="1"/>
  <c r="BQ20" i="83" s="1"/>
  <c r="BR20" i="83" s="1"/>
  <c r="BS20" i="83" s="1"/>
  <c r="BT20" i="83" s="1"/>
  <c r="BU20" i="83" s="1"/>
  <c r="BV20" i="83" s="1"/>
  <c r="BW20" i="83" s="1"/>
  <c r="BX20" i="83" s="1"/>
  <c r="BY20" i="83" s="1"/>
  <c r="G20" i="83"/>
  <c r="H20" i="83" s="1"/>
  <c r="I20" i="83" s="1"/>
  <c r="J20" i="83" s="1"/>
  <c r="B20" i="83"/>
  <c r="A20" i="83"/>
  <c r="D12" i="83"/>
  <c r="BC47" i="83" s="1"/>
  <c r="D11" i="83"/>
  <c r="G48" i="31"/>
  <c r="G49" i="31" s="1"/>
  <c r="J22" i="31"/>
  <c r="B7" i="56"/>
  <c r="A4" i="56"/>
  <c r="BE42" i="31"/>
  <c r="BC42" i="31"/>
  <c r="BA42" i="31"/>
  <c r="AZ42" i="31"/>
  <c r="AY42" i="31"/>
  <c r="AW42" i="31"/>
  <c r="AU42" i="31"/>
  <c r="AR22" i="31"/>
  <c r="AR23" i="31"/>
  <c r="AR24" i="31"/>
  <c r="AR25" i="31"/>
  <c r="AR27" i="31"/>
  <c r="AR30" i="31"/>
  <c r="AR32" i="31"/>
  <c r="AR36" i="31"/>
  <c r="AR38" i="31"/>
  <c r="AR40" i="31"/>
  <c r="AR37" i="31"/>
  <c r="AR39" i="31"/>
  <c r="AR41" i="31"/>
  <c r="AR46" i="31"/>
  <c r="AR44" i="31"/>
  <c r="AR45" i="31"/>
  <c r="AN44" i="31"/>
  <c r="AO38" i="31"/>
  <c r="AO39" i="31"/>
  <c r="AO40" i="31"/>
  <c r="AO41" i="31"/>
  <c r="AN37" i="31"/>
  <c r="AN36" i="31"/>
  <c r="J31" i="31"/>
  <c r="J30" i="31"/>
  <c r="J29" i="31"/>
  <c r="J28" i="31"/>
  <c r="J27" i="31"/>
  <c r="J26" i="31"/>
  <c r="J25" i="31"/>
  <c r="J24" i="31"/>
  <c r="J23" i="31"/>
  <c r="K31" i="31"/>
  <c r="K30" i="31"/>
  <c r="K29" i="31"/>
  <c r="K25" i="31"/>
  <c r="K24" i="31"/>
  <c r="K23" i="31"/>
  <c r="J44" i="31"/>
  <c r="K44" i="31"/>
  <c r="I45" i="31"/>
  <c r="I46" i="31" s="1"/>
  <c r="J46" i="31" s="1"/>
  <c r="P41" i="31"/>
  <c r="T41" i="31" s="1"/>
  <c r="V41" i="31" s="1"/>
  <c r="AB41" i="31" s="1"/>
  <c r="O40" i="31"/>
  <c r="P39" i="31"/>
  <c r="O38" i="31"/>
  <c r="M42" i="31"/>
  <c r="N42" i="31"/>
  <c r="K22" i="31"/>
  <c r="AT32" i="31"/>
  <c r="K32" i="31"/>
  <c r="H32" i="31"/>
  <c r="J32" i="31" s="1"/>
  <c r="J36" i="31"/>
  <c r="I37" i="31"/>
  <c r="J37" i="31" s="1"/>
  <c r="H37" i="31"/>
  <c r="I41" i="31"/>
  <c r="J41" i="31" s="1"/>
  <c r="A41" i="31"/>
  <c r="J40" i="31"/>
  <c r="J39" i="31"/>
  <c r="J38" i="31"/>
  <c r="G38" i="31"/>
  <c r="AN38" i="31" s="1"/>
  <c r="L20" i="32"/>
  <c r="O20" i="32"/>
  <c r="AO50" i="32"/>
  <c r="AP50" i="32" s="1"/>
  <c r="AO49" i="32"/>
  <c r="AP49" i="32" s="1"/>
  <c r="AO48" i="32"/>
  <c r="AP48" i="32" s="1"/>
  <c r="AO40" i="32"/>
  <c r="AP40" i="32" s="1"/>
  <c r="AO39" i="32"/>
  <c r="AP39" i="32" s="1"/>
  <c r="AO38" i="32"/>
  <c r="AP38" i="32" s="1"/>
  <c r="AP46" i="32" s="1"/>
  <c r="AO35" i="32"/>
  <c r="AO34" i="32"/>
  <c r="AP34" i="32" s="1"/>
  <c r="AO33" i="32"/>
  <c r="AP33" i="32" s="1"/>
  <c r="AO32" i="32"/>
  <c r="AP32" i="32" s="1"/>
  <c r="AO31" i="32"/>
  <c r="AO30" i="32"/>
  <c r="AP30" i="32" s="1"/>
  <c r="AO29" i="32"/>
  <c r="AP29" i="32" s="1"/>
  <c r="AO28" i="32"/>
  <c r="AO21" i="32"/>
  <c r="AO22" i="32"/>
  <c r="AP22" i="32" s="1"/>
  <c r="AO23" i="32"/>
  <c r="AP23" i="32" s="1"/>
  <c r="AO24" i="32"/>
  <c r="AO25" i="32"/>
  <c r="AO20" i="32"/>
  <c r="AP20" i="32" s="1"/>
  <c r="AR50" i="68"/>
  <c r="AR49" i="68"/>
  <c r="AR48" i="68"/>
  <c r="AO50" i="68"/>
  <c r="AO49" i="68"/>
  <c r="AP49" i="68" s="1"/>
  <c r="AO48" i="68"/>
  <c r="AR50" i="32"/>
  <c r="AR49" i="32"/>
  <c r="AS49" i="32" s="1"/>
  <c r="AR48" i="32"/>
  <c r="R17" i="87"/>
  <c r="L58" i="32"/>
  <c r="AT31" i="32"/>
  <c r="AU31" i="32" s="1"/>
  <c r="L53" i="32"/>
  <c r="J53" i="32" s="1"/>
  <c r="J20" i="32"/>
  <c r="AV31" i="68"/>
  <c r="AT31" i="68"/>
  <c r="G60" i="68"/>
  <c r="G61" i="68" s="1"/>
  <c r="L61" i="68" s="1"/>
  <c r="J61" i="68" s="1"/>
  <c r="L59" i="68"/>
  <c r="G58" i="68"/>
  <c r="L58" i="68" s="1"/>
  <c r="J58" i="68" s="1"/>
  <c r="G52" i="68"/>
  <c r="L52" i="68"/>
  <c r="L51" i="68"/>
  <c r="J51" i="68" s="1"/>
  <c r="G51" i="68"/>
  <c r="G50" i="68"/>
  <c r="L50" i="68"/>
  <c r="G48" i="68"/>
  <c r="L44" i="68"/>
  <c r="J44" i="68"/>
  <c r="G41" i="68"/>
  <c r="L41" i="68" s="1"/>
  <c r="G40" i="68"/>
  <c r="L40" i="68" s="1"/>
  <c r="J40" i="68" s="1"/>
  <c r="G38" i="68"/>
  <c r="G39" i="68" s="1"/>
  <c r="G30" i="68"/>
  <c r="G28" i="68"/>
  <c r="L28" i="68"/>
  <c r="J28" i="68" s="1"/>
  <c r="G22" i="68"/>
  <c r="G20" i="68"/>
  <c r="L20" i="68" s="1"/>
  <c r="AV31" i="32"/>
  <c r="L64" i="32"/>
  <c r="J64" i="32" s="1"/>
  <c r="L63" i="32"/>
  <c r="J63" i="32"/>
  <c r="L62" i="32"/>
  <c r="L61" i="32"/>
  <c r="J61" i="32"/>
  <c r="L60" i="32"/>
  <c r="J60" i="32" s="1"/>
  <c r="L59" i="32"/>
  <c r="J59" i="32"/>
  <c r="L55" i="32"/>
  <c r="J55" i="32" s="1"/>
  <c r="L54" i="32"/>
  <c r="J54" i="32" s="1"/>
  <c r="L52" i="32"/>
  <c r="L51" i="32"/>
  <c r="J51" i="32" s="1"/>
  <c r="L50" i="32"/>
  <c r="J50" i="32" s="1"/>
  <c r="L49" i="32"/>
  <c r="J49" i="32" s="1"/>
  <c r="L48" i="32"/>
  <c r="L45" i="32"/>
  <c r="P45" i="32" s="1"/>
  <c r="L44" i="32"/>
  <c r="J44" i="32" s="1"/>
  <c r="L43" i="32"/>
  <c r="L42" i="32"/>
  <c r="J42" i="32" s="1"/>
  <c r="L41" i="32"/>
  <c r="J41" i="32"/>
  <c r="L40" i="32"/>
  <c r="L39" i="32"/>
  <c r="L38" i="32"/>
  <c r="O38" i="32" s="1"/>
  <c r="L35" i="32"/>
  <c r="J35" i="32" s="1"/>
  <c r="L34" i="32"/>
  <c r="J34" i="32" s="1"/>
  <c r="L33" i="32"/>
  <c r="J33" i="32" s="1"/>
  <c r="L32" i="32"/>
  <c r="J32" i="32"/>
  <c r="L31" i="32"/>
  <c r="J31" i="32" s="1"/>
  <c r="L30" i="32"/>
  <c r="J30" i="32"/>
  <c r="L29" i="32"/>
  <c r="J29" i="32" s="1"/>
  <c r="L28" i="32"/>
  <c r="L25" i="32"/>
  <c r="J25" i="32" s="1"/>
  <c r="L24" i="32"/>
  <c r="J24" i="32" s="1"/>
  <c r="L23" i="32"/>
  <c r="L22" i="32"/>
  <c r="J22" i="32" s="1"/>
  <c r="L21" i="32"/>
  <c r="J21" i="32" s="1"/>
  <c r="J20" i="68"/>
  <c r="L60" i="68"/>
  <c r="G32" i="68"/>
  <c r="L32" i="68" s="1"/>
  <c r="J32" i="68" s="1"/>
  <c r="G21" i="68"/>
  <c r="L21" i="68" s="1"/>
  <c r="G25" i="68"/>
  <c r="G29" i="68"/>
  <c r="L29" i="68" s="1"/>
  <c r="L49" i="68"/>
  <c r="J49" i="68"/>
  <c r="AR20" i="68"/>
  <c r="AR40" i="68" s="1"/>
  <c r="AR40" i="32"/>
  <c r="AR39" i="32"/>
  <c r="AR38" i="32"/>
  <c r="AR35" i="32"/>
  <c r="AR34" i="32"/>
  <c r="AR33" i="32"/>
  <c r="AR32" i="32"/>
  <c r="AR31" i="32"/>
  <c r="AR30" i="32"/>
  <c r="AS30" i="32" s="1"/>
  <c r="AR29" i="32"/>
  <c r="AR28" i="32"/>
  <c r="AR25" i="32"/>
  <c r="AR21" i="32"/>
  <c r="AR22" i="32"/>
  <c r="AR23" i="32"/>
  <c r="AR20" i="32"/>
  <c r="BM65" i="68"/>
  <c r="BH65" i="68"/>
  <c r="BG65" i="68"/>
  <c r="BE65" i="68"/>
  <c r="BC65" i="68"/>
  <c r="BA65" i="68"/>
  <c r="AY65" i="68"/>
  <c r="AS65" i="68"/>
  <c r="AP65" i="68"/>
  <c r="N65" i="68"/>
  <c r="M65" i="68"/>
  <c r="O64" i="68"/>
  <c r="O63" i="68"/>
  <c r="O62" i="68"/>
  <c r="P61" i="68"/>
  <c r="O61" i="68"/>
  <c r="O60" i="68"/>
  <c r="O59" i="68"/>
  <c r="U59" i="68"/>
  <c r="AA59" i="68" s="1"/>
  <c r="O58" i="68"/>
  <c r="U58" i="68" s="1"/>
  <c r="AA58" i="68" s="1"/>
  <c r="BM56" i="68"/>
  <c r="BG56" i="68"/>
  <c r="BE56" i="68"/>
  <c r="BC56" i="68"/>
  <c r="AY56" i="68"/>
  <c r="N56" i="68"/>
  <c r="M56" i="68"/>
  <c r="O55" i="68"/>
  <c r="W55" i="68" s="1"/>
  <c r="O54" i="68"/>
  <c r="W54" i="68"/>
  <c r="O53" i="68"/>
  <c r="O52" i="68"/>
  <c r="U52" i="68" s="1"/>
  <c r="AA52" i="68" s="1"/>
  <c r="O51" i="68"/>
  <c r="P51" i="68"/>
  <c r="O50" i="68"/>
  <c r="W50" i="68" s="1"/>
  <c r="O49" i="68"/>
  <c r="W49" i="68"/>
  <c r="A49" i="68"/>
  <c r="A50" i="68" s="1"/>
  <c r="A51" i="68" s="1"/>
  <c r="A52" i="68" s="1"/>
  <c r="O48" i="68"/>
  <c r="N46" i="68"/>
  <c r="M46" i="68"/>
  <c r="O45" i="68"/>
  <c r="O44" i="68"/>
  <c r="U44" i="68"/>
  <c r="O43" i="68"/>
  <c r="O42" i="68"/>
  <c r="U42" i="68"/>
  <c r="AA42" i="68" s="1"/>
  <c r="O41" i="68"/>
  <c r="U41" i="68" s="1"/>
  <c r="AA41" i="68" s="1"/>
  <c r="BF40" i="68"/>
  <c r="AO40" i="68"/>
  <c r="AP40" i="68" s="1"/>
  <c r="P40" i="68"/>
  <c r="BM40" i="68"/>
  <c r="BE40" i="68" s="1"/>
  <c r="BF39" i="68"/>
  <c r="AO39" i="68"/>
  <c r="P39" i="68"/>
  <c r="V39" i="68" s="1"/>
  <c r="AB39" i="68" s="1"/>
  <c r="BF38" i="68"/>
  <c r="AO38" i="68"/>
  <c r="AP38" i="68" s="1"/>
  <c r="P38" i="68"/>
  <c r="X38" i="68" s="1"/>
  <c r="N36" i="68"/>
  <c r="M36" i="68"/>
  <c r="BF35" i="68"/>
  <c r="AO35" i="68"/>
  <c r="AP35" i="68" s="1"/>
  <c r="BF34" i="68"/>
  <c r="AO34" i="68"/>
  <c r="BF33" i="68"/>
  <c r="AO33" i="68"/>
  <c r="AP33" i="68" s="1"/>
  <c r="P33" i="68"/>
  <c r="V33" i="68" s="1"/>
  <c r="BF32" i="68"/>
  <c r="AO32" i="68"/>
  <c r="AP32" i="68" s="1"/>
  <c r="P32" i="68"/>
  <c r="V32" i="68" s="1"/>
  <c r="AB32" i="68" s="1"/>
  <c r="BF31" i="68"/>
  <c r="AO31" i="68"/>
  <c r="P31" i="68"/>
  <c r="BF30" i="68"/>
  <c r="AO30" i="68"/>
  <c r="P30" i="68"/>
  <c r="BH29" i="68"/>
  <c r="BF29" i="68"/>
  <c r="AO29" i="68"/>
  <c r="AP29" i="68" s="1"/>
  <c r="P29" i="68"/>
  <c r="BF28" i="68"/>
  <c r="AO28" i="68"/>
  <c r="AP28" i="68" s="1"/>
  <c r="P28" i="68"/>
  <c r="A28" i="68"/>
  <c r="A29" i="68" s="1"/>
  <c r="A30" i="68" s="1"/>
  <c r="A31" i="68" s="1"/>
  <c r="A32" i="68" s="1"/>
  <c r="N26" i="68"/>
  <c r="M26" i="68"/>
  <c r="BF25" i="68"/>
  <c r="AO25" i="68"/>
  <c r="P25" i="68"/>
  <c r="X25" i="68"/>
  <c r="AO24" i="68"/>
  <c r="BF23" i="68"/>
  <c r="AO23" i="68"/>
  <c r="BF22" i="68"/>
  <c r="AO22" i="68"/>
  <c r="AP22" i="68" s="1"/>
  <c r="P22" i="68"/>
  <c r="X22" i="68"/>
  <c r="BF21" i="68"/>
  <c r="AO21" i="68"/>
  <c r="AP21" i="68" s="1"/>
  <c r="P21" i="68"/>
  <c r="V21" i="68" s="1"/>
  <c r="AB21" i="68" s="1"/>
  <c r="A21" i="68"/>
  <c r="A22" i="68" s="1"/>
  <c r="A23" i="68" s="1"/>
  <c r="A24" i="68" s="1"/>
  <c r="A25" i="68" s="1"/>
  <c r="BF20" i="68"/>
  <c r="AO20" i="68"/>
  <c r="AP20" i="68" s="1"/>
  <c r="P20" i="68"/>
  <c r="BH20" i="68"/>
  <c r="G18" i="68"/>
  <c r="H18" i="68" s="1"/>
  <c r="I18" i="68" s="1"/>
  <c r="J18" i="68" s="1"/>
  <c r="K18" i="68" s="1"/>
  <c r="L18" i="68" s="1"/>
  <c r="M18" i="68" s="1"/>
  <c r="N18" i="68" s="1"/>
  <c r="O18" i="68" s="1"/>
  <c r="P18" i="68" s="1"/>
  <c r="Q18" i="68" s="1"/>
  <c r="R18" i="68" s="1"/>
  <c r="S18" i="68" s="1"/>
  <c r="T18" i="68" s="1"/>
  <c r="U18" i="68" s="1"/>
  <c r="V18" i="68" s="1"/>
  <c r="W18" i="68" s="1"/>
  <c r="X18" i="68" s="1"/>
  <c r="Y18" i="68" s="1"/>
  <c r="Z18" i="68" s="1"/>
  <c r="AA18" i="68" s="1"/>
  <c r="AB18" i="68" s="1"/>
  <c r="AC18" i="68" s="1"/>
  <c r="AD18" i="68" s="1"/>
  <c r="AE18" i="68" s="1"/>
  <c r="AF18" i="68" s="1"/>
  <c r="AG18" i="68" s="1"/>
  <c r="AH18" i="68" s="1"/>
  <c r="AI18" i="68" s="1"/>
  <c r="AJ18" i="68" s="1"/>
  <c r="AK18" i="68" s="1"/>
  <c r="AL18" i="68" s="1"/>
  <c r="AM18" i="68" s="1"/>
  <c r="AN18" i="68" s="1"/>
  <c r="AO18" i="68" s="1"/>
  <c r="AP18" i="68" s="1"/>
  <c r="AQ18" i="68" s="1"/>
  <c r="AR18" i="68" s="1"/>
  <c r="AS18" i="68" s="1"/>
  <c r="AT18" i="68" s="1"/>
  <c r="AU18" i="68" s="1"/>
  <c r="AV18" i="68" s="1"/>
  <c r="AW18" i="68" s="1"/>
  <c r="AX18" i="68" s="1"/>
  <c r="AY18" i="68" s="1"/>
  <c r="AZ18" i="68" s="1"/>
  <c r="BA18" i="68" s="1"/>
  <c r="BB18" i="68" s="1"/>
  <c r="BC18" i="68" s="1"/>
  <c r="BD18" i="68" s="1"/>
  <c r="BE18" i="68" s="1"/>
  <c r="BF18" i="68" s="1"/>
  <c r="BG18" i="68" s="1"/>
  <c r="BH18" i="68" s="1"/>
  <c r="BI18" i="68" s="1"/>
  <c r="BJ18" i="68" s="1"/>
  <c r="BK18" i="68" s="1"/>
  <c r="BL18" i="68" s="1"/>
  <c r="BM18" i="68" s="1"/>
  <c r="B18" i="68"/>
  <c r="A18" i="68"/>
  <c r="H11" i="68"/>
  <c r="H10" i="68"/>
  <c r="L53" i="68"/>
  <c r="H9" i="68"/>
  <c r="L45" i="68"/>
  <c r="J45" i="68" s="1"/>
  <c r="H8" i="68"/>
  <c r="L34" i="68"/>
  <c r="H7" i="68"/>
  <c r="G24" i="68" s="1"/>
  <c r="L24" i="68" s="1"/>
  <c r="U54" i="68"/>
  <c r="Y54" i="68" s="1"/>
  <c r="X21" i="68"/>
  <c r="O20" i="68"/>
  <c r="BC40" i="68"/>
  <c r="BM20" i="68"/>
  <c r="X33" i="68"/>
  <c r="W48" i="68"/>
  <c r="U49" i="68"/>
  <c r="AA49" i="68" s="1"/>
  <c r="O40" i="68"/>
  <c r="P58" i="68"/>
  <c r="BH40" i="68"/>
  <c r="U48" i="68"/>
  <c r="Y48" i="68" s="1"/>
  <c r="W52" i="68"/>
  <c r="W60" i="68"/>
  <c r="U60" i="68"/>
  <c r="Y60" i="68" s="1"/>
  <c r="P49" i="68"/>
  <c r="BK49" i="68" s="1"/>
  <c r="W51" i="68"/>
  <c r="W59" i="68"/>
  <c r="U55" i="68"/>
  <c r="Y55" i="68" s="1"/>
  <c r="BF40" i="32"/>
  <c r="BF39" i="32"/>
  <c r="BF38" i="32"/>
  <c r="BF35" i="32"/>
  <c r="BF34" i="32"/>
  <c r="BF33" i="32"/>
  <c r="BF32" i="32"/>
  <c r="BF31" i="32"/>
  <c r="BF30" i="32"/>
  <c r="BF29" i="32"/>
  <c r="BF28" i="32"/>
  <c r="BG28" i="32" s="1"/>
  <c r="BF25" i="32"/>
  <c r="BF23" i="32"/>
  <c r="BF22" i="32"/>
  <c r="BF21" i="32"/>
  <c r="BF20" i="32"/>
  <c r="BR45" i="31"/>
  <c r="BR44" i="31"/>
  <c r="BR32" i="31"/>
  <c r="BR30" i="31"/>
  <c r="BR27" i="31"/>
  <c r="BR25" i="31"/>
  <c r="BR23" i="31"/>
  <c r="BR24" i="31"/>
  <c r="BR22" i="31"/>
  <c r="BG48" i="31"/>
  <c r="P44" i="31"/>
  <c r="X44" i="31"/>
  <c r="O36" i="31"/>
  <c r="V44" i="31"/>
  <c r="AB44" i="31" s="1"/>
  <c r="AO44" i="31"/>
  <c r="AP44" i="31" s="1"/>
  <c r="G24" i="31"/>
  <c r="L24" i="31" s="1"/>
  <c r="P24" i="31"/>
  <c r="G22" i="31"/>
  <c r="L22" i="31" s="1"/>
  <c r="AO24" i="31"/>
  <c r="AP24" i="31" s="1"/>
  <c r="A23" i="31"/>
  <c r="A24" i="31" s="1"/>
  <c r="A25" i="31" s="1"/>
  <c r="A26" i="31" s="1"/>
  <c r="A27" i="31" s="1"/>
  <c r="A28" i="31" s="1"/>
  <c r="A29" i="31" s="1"/>
  <c r="P23" i="31"/>
  <c r="V23" i="31" s="1"/>
  <c r="AB23" i="31" s="1"/>
  <c r="AO23" i="31"/>
  <c r="P22" i="31"/>
  <c r="AO22" i="31"/>
  <c r="AP22" i="31" s="1"/>
  <c r="BH35" i="87"/>
  <c r="D12" i="31"/>
  <c r="G25" i="31"/>
  <c r="L25" i="31" s="1"/>
  <c r="G32" i="31"/>
  <c r="L32" i="31" s="1"/>
  <c r="A30" i="31"/>
  <c r="A31" i="31" s="1"/>
  <c r="A32" i="31" s="1"/>
  <c r="G38" i="30"/>
  <c r="L38" i="30" s="1"/>
  <c r="M38" i="30" s="1"/>
  <c r="G22" i="30"/>
  <c r="L22" i="30" s="1"/>
  <c r="G24" i="30"/>
  <c r="L24" i="30" s="1"/>
  <c r="G25" i="30"/>
  <c r="G32" i="30"/>
  <c r="AU32" i="30" s="1"/>
  <c r="AU34" i="30" s="1"/>
  <c r="G36" i="30"/>
  <c r="L36" i="30" s="1"/>
  <c r="BH40" i="30"/>
  <c r="BH42" i="30" s="1"/>
  <c r="BH43" i="30" s="1"/>
  <c r="A38" i="30"/>
  <c r="A39" i="30"/>
  <c r="A40" i="30" s="1"/>
  <c r="A41" i="30" s="1"/>
  <c r="O39" i="30"/>
  <c r="O40" i="30"/>
  <c r="U40" i="30" s="1"/>
  <c r="AA40" i="30" s="1"/>
  <c r="O41" i="30"/>
  <c r="U41" i="30" s="1"/>
  <c r="AA41" i="30" s="1"/>
  <c r="A23" i="30"/>
  <c r="A24" i="30" s="1"/>
  <c r="A25" i="30" s="1"/>
  <c r="A26" i="30" s="1"/>
  <c r="A27" i="30" s="1"/>
  <c r="A28" i="30" s="1"/>
  <c r="A29" i="30" s="1"/>
  <c r="A30" i="30" s="1"/>
  <c r="AP21" i="32"/>
  <c r="AP25" i="32"/>
  <c r="AP28" i="32"/>
  <c r="H8" i="32"/>
  <c r="AS65" i="32"/>
  <c r="O21" i="32"/>
  <c r="BK21" i="32" s="1"/>
  <c r="O25" i="32"/>
  <c r="O28" i="32"/>
  <c r="O29" i="32"/>
  <c r="O32" i="32"/>
  <c r="O39" i="32"/>
  <c r="O40" i="32"/>
  <c r="H7" i="32"/>
  <c r="O41" i="32"/>
  <c r="O42" i="32"/>
  <c r="O43" i="32"/>
  <c r="W43" i="32" s="1"/>
  <c r="O44" i="32"/>
  <c r="O45" i="32"/>
  <c r="BK45" i="32" s="1"/>
  <c r="O49" i="32"/>
  <c r="O50" i="32"/>
  <c r="BK50" i="32" s="1"/>
  <c r="O51" i="32"/>
  <c r="O52" i="32"/>
  <c r="O53" i="32"/>
  <c r="O54" i="32"/>
  <c r="O55" i="32"/>
  <c r="O58" i="32"/>
  <c r="O59" i="32"/>
  <c r="O60" i="32"/>
  <c r="O61" i="32"/>
  <c r="W61" i="32" s="1"/>
  <c r="O62" i="32"/>
  <c r="W62" i="32" s="1"/>
  <c r="O63" i="32"/>
  <c r="O64" i="32"/>
  <c r="P41" i="32"/>
  <c r="P42" i="32"/>
  <c r="H9" i="32"/>
  <c r="P44" i="32"/>
  <c r="P48" i="32"/>
  <c r="T48" i="32" s="1"/>
  <c r="V48" i="32" s="1"/>
  <c r="P51" i="32"/>
  <c r="H10" i="32"/>
  <c r="P59" i="32"/>
  <c r="BK59" i="32" s="1"/>
  <c r="P61" i="32"/>
  <c r="P60" i="32"/>
  <c r="H11" i="32"/>
  <c r="AX20" i="32"/>
  <c r="AY20" i="32" s="1"/>
  <c r="AX28" i="32"/>
  <c r="AY28" i="32" s="1"/>
  <c r="AX32" i="32"/>
  <c r="AY32" i="32" s="1"/>
  <c r="AX35" i="32"/>
  <c r="AX40" i="32"/>
  <c r="AY40" i="32" s="1"/>
  <c r="AY56" i="32"/>
  <c r="AY65" i="32"/>
  <c r="BA65" i="32"/>
  <c r="BM21" i="32"/>
  <c r="BM25" i="32"/>
  <c r="BG25" i="32" s="1"/>
  <c r="BH21" i="32"/>
  <c r="BH25" i="32"/>
  <c r="BM28" i="32"/>
  <c r="BE28" i="32" s="1"/>
  <c r="BM29" i="32"/>
  <c r="BE29" i="32" s="1"/>
  <c r="BC29" i="32"/>
  <c r="BM32" i="32"/>
  <c r="BH28" i="32"/>
  <c r="BH29" i="32"/>
  <c r="BH32" i="32"/>
  <c r="BM38" i="32"/>
  <c r="BC38" i="32"/>
  <c r="BE38" i="32"/>
  <c r="BM39" i="32"/>
  <c r="BM40" i="32"/>
  <c r="BC40" i="32"/>
  <c r="BG38" i="32"/>
  <c r="BH38" i="32"/>
  <c r="BH39" i="32"/>
  <c r="BH40" i="32"/>
  <c r="BC56" i="32"/>
  <c r="BE56" i="32"/>
  <c r="BG56" i="32"/>
  <c r="BC65" i="32"/>
  <c r="BE65" i="32"/>
  <c r="BG65" i="32"/>
  <c r="BH65" i="32"/>
  <c r="AO46" i="31"/>
  <c r="AO45" i="31"/>
  <c r="AO37" i="31"/>
  <c r="AP37" i="31" s="1"/>
  <c r="AO36" i="31"/>
  <c r="AP36" i="31" s="1"/>
  <c r="AS36" i="31" s="1"/>
  <c r="AO32" i="31"/>
  <c r="AP32" i="31" s="1"/>
  <c r="AO30" i="31"/>
  <c r="AP30" i="31" s="1"/>
  <c r="AS30" i="31" s="1"/>
  <c r="AO27" i="31"/>
  <c r="AO25" i="31"/>
  <c r="AP25" i="31" s="1"/>
  <c r="AS25" i="31" s="1"/>
  <c r="AO38" i="30"/>
  <c r="AO37" i="30"/>
  <c r="AO36" i="30"/>
  <c r="AP36" i="30" s="1"/>
  <c r="AO32" i="30"/>
  <c r="AO30" i="30"/>
  <c r="AO22" i="30"/>
  <c r="AO23" i="30"/>
  <c r="AO24" i="30"/>
  <c r="AP24" i="30" s="1"/>
  <c r="AS24" i="30" s="1"/>
  <c r="AO25" i="30"/>
  <c r="AO26" i="30"/>
  <c r="AO27" i="30"/>
  <c r="O47" i="31"/>
  <c r="O48" i="31"/>
  <c r="O49" i="31"/>
  <c r="BC47" i="31"/>
  <c r="AW50" i="31"/>
  <c r="AZ32" i="31"/>
  <c r="BA32" i="31" s="1"/>
  <c r="BA34" i="31" s="1"/>
  <c r="BA51" i="31" s="1"/>
  <c r="B14" i="56" s="1"/>
  <c r="C14" i="56" s="1"/>
  <c r="BA50" i="31"/>
  <c r="BI27" i="31"/>
  <c r="BM46" i="31"/>
  <c r="BM50" i="31" s="1"/>
  <c r="BM51" i="31" s="1"/>
  <c r="B20" i="56" s="1"/>
  <c r="C20" i="56" s="1"/>
  <c r="B26" i="56"/>
  <c r="BE34" i="31"/>
  <c r="BE47" i="31"/>
  <c r="BE50" i="31" s="1"/>
  <c r="AW42" i="30"/>
  <c r="BA42" i="30"/>
  <c r="BM42" i="30"/>
  <c r="BM43" i="30" s="1"/>
  <c r="B19" i="102" s="1"/>
  <c r="C19" i="102" s="1"/>
  <c r="BY22" i="30"/>
  <c r="BO22" i="30" s="1"/>
  <c r="P20" i="32"/>
  <c r="P21" i="32"/>
  <c r="P22" i="32"/>
  <c r="P25" i="32"/>
  <c r="P28" i="32"/>
  <c r="P29" i="32"/>
  <c r="P30" i="32"/>
  <c r="P31" i="32"/>
  <c r="P32" i="32"/>
  <c r="P33" i="32"/>
  <c r="P38" i="32"/>
  <c r="P39" i="32"/>
  <c r="P40" i="32"/>
  <c r="BK51" i="32"/>
  <c r="BK41" i="32"/>
  <c r="BK38" i="32"/>
  <c r="BK25" i="32"/>
  <c r="P46" i="31"/>
  <c r="P45" i="31"/>
  <c r="P25" i="31"/>
  <c r="V25" i="31" s="1"/>
  <c r="P38" i="30"/>
  <c r="T38" i="30" s="1"/>
  <c r="P37" i="30"/>
  <c r="P36" i="30"/>
  <c r="P22" i="30"/>
  <c r="P23" i="30"/>
  <c r="X23" i="30" s="1"/>
  <c r="P24" i="30"/>
  <c r="X24" i="30" s="1"/>
  <c r="P25" i="30"/>
  <c r="X25" i="30" s="1"/>
  <c r="G18" i="32"/>
  <c r="H18" i="32" s="1"/>
  <c r="I18" i="32" s="1"/>
  <c r="J18" i="32" s="1"/>
  <c r="K18" i="32" s="1"/>
  <c r="L18" i="32" s="1"/>
  <c r="M18" i="32" s="1"/>
  <c r="N18" i="32" s="1"/>
  <c r="O18" i="32" s="1"/>
  <c r="P18" i="32" s="1"/>
  <c r="Q18" i="32" s="1"/>
  <c r="R18" i="32" s="1"/>
  <c r="S18" i="32" s="1"/>
  <c r="T18" i="32" s="1"/>
  <c r="U18" i="32" s="1"/>
  <c r="V18" i="32" s="1"/>
  <c r="W18" i="32" s="1"/>
  <c r="X18" i="32" s="1"/>
  <c r="Y18" i="32" s="1"/>
  <c r="Z18" i="32" s="1"/>
  <c r="AA18" i="32" s="1"/>
  <c r="AB18" i="32" s="1"/>
  <c r="AC18" i="32" s="1"/>
  <c r="AD18" i="32" s="1"/>
  <c r="AE18" i="32" s="1"/>
  <c r="AF18" i="32" s="1"/>
  <c r="AG18" i="32" s="1"/>
  <c r="AH18" i="32" s="1"/>
  <c r="AI18" i="32" s="1"/>
  <c r="AJ18" i="32" s="1"/>
  <c r="AK18" i="32" s="1"/>
  <c r="AL18" i="32" s="1"/>
  <c r="AM18" i="32" s="1"/>
  <c r="AN18" i="32" s="1"/>
  <c r="AO18" i="32" s="1"/>
  <c r="AP18" i="32" s="1"/>
  <c r="AQ18" i="32" s="1"/>
  <c r="AR18" i="32" s="1"/>
  <c r="AS18" i="32" s="1"/>
  <c r="AT18" i="32" s="1"/>
  <c r="AU18" i="32" s="1"/>
  <c r="AV18" i="32" s="1"/>
  <c r="AW18" i="32" s="1"/>
  <c r="AX18" i="32" s="1"/>
  <c r="AY18" i="32" s="1"/>
  <c r="AZ18" i="32" s="1"/>
  <c r="BA18" i="32" s="1"/>
  <c r="BB18" i="32" s="1"/>
  <c r="BC18" i="32" s="1"/>
  <c r="BD18" i="32" s="1"/>
  <c r="BE18" i="32" s="1"/>
  <c r="BF18" i="32" s="1"/>
  <c r="BG18" i="32" s="1"/>
  <c r="BH18" i="32" s="1"/>
  <c r="BI18" i="32" s="1"/>
  <c r="BJ18" i="32" s="1"/>
  <c r="BK18" i="32" s="1"/>
  <c r="BL18" i="32" s="1"/>
  <c r="BM18" i="32" s="1"/>
  <c r="B29" i="56"/>
  <c r="G20" i="30"/>
  <c r="H20" i="30" s="1"/>
  <c r="I20" i="30" s="1"/>
  <c r="J20" i="30" s="1"/>
  <c r="K20" i="30" s="1"/>
  <c r="L20" i="30" s="1"/>
  <c r="M20" i="30" s="1"/>
  <c r="N20" i="30" s="1"/>
  <c r="O20" i="30" s="1"/>
  <c r="P20" i="30" s="1"/>
  <c r="Q20" i="30" s="1"/>
  <c r="R20" i="30" s="1"/>
  <c r="S20" i="30" s="1"/>
  <c r="T20" i="30" s="1"/>
  <c r="U20" i="30" s="1"/>
  <c r="V20" i="30" s="1"/>
  <c r="W20" i="30" s="1"/>
  <c r="X20" i="30" s="1"/>
  <c r="Y20" i="30" s="1"/>
  <c r="Z20" i="30" s="1"/>
  <c r="AA20" i="30" s="1"/>
  <c r="AB20" i="30" s="1"/>
  <c r="AC20" i="30" s="1"/>
  <c r="AD20" i="30" s="1"/>
  <c r="AE20" i="30" s="1"/>
  <c r="AF20" i="30" s="1"/>
  <c r="AG20" i="30" s="1"/>
  <c r="AH20" i="30" s="1"/>
  <c r="AI20" i="30" s="1"/>
  <c r="AJ20" i="30" s="1"/>
  <c r="AK20" i="30" s="1"/>
  <c r="AL20" i="30" s="1"/>
  <c r="AM20" i="30" s="1"/>
  <c r="AN20" i="30" s="1"/>
  <c r="AO20" i="30" s="1"/>
  <c r="AP20" i="30" s="1"/>
  <c r="AQ20" i="30" s="1"/>
  <c r="AR20" i="30" s="1"/>
  <c r="AS20" i="30" s="1"/>
  <c r="AT20" i="30" s="1"/>
  <c r="AU20" i="30" s="1"/>
  <c r="AV20" i="30" s="1"/>
  <c r="AW20" i="30" s="1"/>
  <c r="AX20" i="30" s="1"/>
  <c r="AY20" i="30" s="1"/>
  <c r="AZ20" i="30" s="1"/>
  <c r="BA20" i="30" s="1"/>
  <c r="BB20" i="30" s="1"/>
  <c r="BC20" i="30" s="1"/>
  <c r="BD20" i="30" s="1"/>
  <c r="BE20" i="30" s="1"/>
  <c r="BF20" i="30" s="1"/>
  <c r="BG20" i="30" s="1"/>
  <c r="BH20" i="30" s="1"/>
  <c r="BI20" i="30" s="1"/>
  <c r="BJ20" i="30" s="1"/>
  <c r="BK20" i="30" s="1"/>
  <c r="BL20" i="30" s="1"/>
  <c r="BM20" i="30" s="1"/>
  <c r="BN20" i="30" s="1"/>
  <c r="BO20" i="30" s="1"/>
  <c r="BP20" i="30" s="1"/>
  <c r="BQ20" i="30" s="1"/>
  <c r="BR20" i="30" s="1"/>
  <c r="BS20" i="30" s="1"/>
  <c r="BT20" i="30" s="1"/>
  <c r="BU20" i="30" s="1"/>
  <c r="BV20" i="30" s="1"/>
  <c r="BW20" i="30" s="1"/>
  <c r="BX20" i="30" s="1"/>
  <c r="BY20" i="30" s="1"/>
  <c r="G20" i="31"/>
  <c r="H20" i="31" s="1"/>
  <c r="I20" i="31" s="1"/>
  <c r="J20" i="31" s="1"/>
  <c r="K20" i="31" s="1"/>
  <c r="L20" i="31" s="1"/>
  <c r="M20" i="31" s="1"/>
  <c r="N20" i="31" s="1"/>
  <c r="O20" i="31" s="1"/>
  <c r="P20" i="31" s="1"/>
  <c r="Q20" i="31" s="1"/>
  <c r="R20" i="31" s="1"/>
  <c r="S20" i="31" s="1"/>
  <c r="T20" i="31" s="1"/>
  <c r="U20" i="31" s="1"/>
  <c r="V20" i="31" s="1"/>
  <c r="W20" i="31" s="1"/>
  <c r="X20" i="31" s="1"/>
  <c r="Y20" i="31" s="1"/>
  <c r="Z20" i="31" s="1"/>
  <c r="AA20" i="31" s="1"/>
  <c r="AB20" i="31" s="1"/>
  <c r="AC20" i="31" s="1"/>
  <c r="AD20" i="31" s="1"/>
  <c r="AE20" i="31" s="1"/>
  <c r="AF20" i="31" s="1"/>
  <c r="AG20" i="31" s="1"/>
  <c r="AH20" i="31" s="1"/>
  <c r="AI20" i="31" s="1"/>
  <c r="AJ20" i="31" s="1"/>
  <c r="AK20" i="31" s="1"/>
  <c r="AL20" i="31" s="1"/>
  <c r="AM20" i="31" s="1"/>
  <c r="AN20" i="31" s="1"/>
  <c r="AO20" i="31" s="1"/>
  <c r="AP20" i="31" s="1"/>
  <c r="AQ20" i="31" s="1"/>
  <c r="AR20" i="31" s="1"/>
  <c r="AS20" i="31" s="1"/>
  <c r="AT20" i="31" s="1"/>
  <c r="AU20" i="31" s="1"/>
  <c r="AV20" i="31" s="1"/>
  <c r="AW20" i="31" s="1"/>
  <c r="AX20" i="31" s="1"/>
  <c r="AY20" i="31" s="1"/>
  <c r="AZ20" i="31" s="1"/>
  <c r="BA20" i="31" s="1"/>
  <c r="BB20" i="31" s="1"/>
  <c r="BC20" i="31" s="1"/>
  <c r="BD20" i="31" s="1"/>
  <c r="BE20" i="31" s="1"/>
  <c r="BF20" i="31" s="1"/>
  <c r="BG20" i="31" s="1"/>
  <c r="BH20" i="31" s="1"/>
  <c r="BI20" i="31" s="1"/>
  <c r="BJ20" i="31" s="1"/>
  <c r="BK20" i="31" s="1"/>
  <c r="BL20" i="31" s="1"/>
  <c r="BM20" i="31" s="1"/>
  <c r="BN20" i="31" s="1"/>
  <c r="BO20" i="31" s="1"/>
  <c r="BP20" i="31" s="1"/>
  <c r="BQ20" i="31" s="1"/>
  <c r="BR20" i="31" s="1"/>
  <c r="BS20" i="31" s="1"/>
  <c r="BT20" i="31" s="1"/>
  <c r="BU20" i="31" s="1"/>
  <c r="BV20" i="31" s="1"/>
  <c r="BW20" i="31" s="1"/>
  <c r="BX20" i="31" s="1"/>
  <c r="BY20" i="31" s="1"/>
  <c r="AZ28" i="32"/>
  <c r="BA28" i="32" s="1"/>
  <c r="AZ31" i="32"/>
  <c r="BA31" i="32" s="1"/>
  <c r="AZ23" i="32"/>
  <c r="BA23" i="32" s="1"/>
  <c r="BK44" i="31"/>
  <c r="BL44" i="31" s="1"/>
  <c r="BH34" i="87"/>
  <c r="BH32" i="87"/>
  <c r="BH31" i="87"/>
  <c r="BH30" i="87"/>
  <c r="BI30" i="87" s="1"/>
  <c r="D11" i="31"/>
  <c r="B8" i="56"/>
  <c r="B9" i="56" s="1"/>
  <c r="M26" i="32"/>
  <c r="M36" i="32"/>
  <c r="M46" i="32"/>
  <c r="M56" i="32"/>
  <c r="M65" i="32"/>
  <c r="N26" i="32"/>
  <c r="N36" i="32"/>
  <c r="N46" i="32"/>
  <c r="N56" i="32"/>
  <c r="N65" i="32"/>
  <c r="AP65" i="32"/>
  <c r="BM46" i="32"/>
  <c r="BM56" i="32"/>
  <c r="BM65" i="32"/>
  <c r="C29" i="56"/>
  <c r="C26" i="56"/>
  <c r="M34" i="31"/>
  <c r="M50" i="31"/>
  <c r="N34" i="31"/>
  <c r="N50" i="31"/>
  <c r="AU50" i="31"/>
  <c r="AY50" i="31"/>
  <c r="BC34" i="31"/>
  <c r="AU42" i="30"/>
  <c r="AY42" i="30"/>
  <c r="A18" i="32"/>
  <c r="B18" i="32"/>
  <c r="A21" i="32"/>
  <c r="A22" i="32" s="1"/>
  <c r="A23" i="32" s="1"/>
  <c r="A24" i="32" s="1"/>
  <c r="A25" i="32" s="1"/>
  <c r="A28" i="32"/>
  <c r="A29" i="32"/>
  <c r="A30" i="32" s="1"/>
  <c r="A31" i="32" s="1"/>
  <c r="A32" i="32" s="1"/>
  <c r="A49" i="32"/>
  <c r="A50" i="32" s="1"/>
  <c r="A51" i="32" s="1"/>
  <c r="A52" i="32" s="1"/>
  <c r="A20" i="31"/>
  <c r="B20" i="31"/>
  <c r="A37" i="31"/>
  <c r="A46" i="31"/>
  <c r="A47" i="31" s="1"/>
  <c r="A20" i="30"/>
  <c r="B20" i="30"/>
  <c r="BK27" i="31"/>
  <c r="BK45" i="31"/>
  <c r="BK30" i="31"/>
  <c r="BL30" i="31" s="1"/>
  <c r="BK22" i="31"/>
  <c r="BL22" i="31" s="1"/>
  <c r="BK46" i="31"/>
  <c r="V46" i="31"/>
  <c r="AB46" i="31" s="1"/>
  <c r="X46" i="31"/>
  <c r="BK25" i="31"/>
  <c r="BK37" i="31"/>
  <c r="BI37" i="31"/>
  <c r="BI46" i="31"/>
  <c r="BK36" i="31"/>
  <c r="V23" i="30"/>
  <c r="V45" i="31"/>
  <c r="AB45" i="31" s="1"/>
  <c r="X45" i="31"/>
  <c r="V40" i="32"/>
  <c r="AB40" i="32" s="1"/>
  <c r="X40" i="32"/>
  <c r="V30" i="32"/>
  <c r="AB30" i="32" s="1"/>
  <c r="X30" i="32"/>
  <c r="X20" i="32"/>
  <c r="V20" i="32"/>
  <c r="V39" i="32"/>
  <c r="Z39" i="32" s="1"/>
  <c r="X39" i="32"/>
  <c r="V33" i="32"/>
  <c r="AB33" i="32" s="1"/>
  <c r="V25" i="32"/>
  <c r="X25" i="32"/>
  <c r="V38" i="32"/>
  <c r="AB38" i="32" s="1"/>
  <c r="X38" i="32"/>
  <c r="X32" i="32"/>
  <c r="V32" i="32"/>
  <c r="AB32" i="32" s="1"/>
  <c r="V28" i="32"/>
  <c r="AB28" i="32" s="1"/>
  <c r="X28" i="32"/>
  <c r="V22" i="32"/>
  <c r="AB22" i="32" s="1"/>
  <c r="X22" i="32"/>
  <c r="X31" i="32"/>
  <c r="V31" i="32"/>
  <c r="AB31" i="32" s="1"/>
  <c r="X21" i="32"/>
  <c r="U49" i="31"/>
  <c r="Y49" i="31" s="1"/>
  <c r="W49" i="31"/>
  <c r="O30" i="32"/>
  <c r="BH30" i="32"/>
  <c r="BM30" i="32"/>
  <c r="BK20" i="32"/>
  <c r="BM20" i="32"/>
  <c r="BH20" i="32"/>
  <c r="U48" i="31"/>
  <c r="AA48" i="31" s="1"/>
  <c r="W48" i="31"/>
  <c r="BH50" i="32"/>
  <c r="P50" i="32"/>
  <c r="BG40" i="32"/>
  <c r="BE40" i="32"/>
  <c r="BE46" i="32" s="1"/>
  <c r="U52" i="32"/>
  <c r="AA52" i="32" s="1"/>
  <c r="W52" i="32"/>
  <c r="U43" i="32"/>
  <c r="AA43" i="32" s="1"/>
  <c r="W41" i="30"/>
  <c r="BG29" i="32"/>
  <c r="BC25" i="32"/>
  <c r="U55" i="32"/>
  <c r="AA55" i="32" s="1"/>
  <c r="W55" i="32"/>
  <c r="U51" i="32"/>
  <c r="AA51" i="32" s="1"/>
  <c r="W51" i="32"/>
  <c r="U42" i="32"/>
  <c r="W42" i="32"/>
  <c r="W63" i="32"/>
  <c r="U63" i="32"/>
  <c r="AA63" i="32" s="1"/>
  <c r="W59" i="32"/>
  <c r="U59" i="32"/>
  <c r="AA59" i="32" s="1"/>
  <c r="U54" i="32"/>
  <c r="W45" i="32"/>
  <c r="U45" i="32"/>
  <c r="AA45" i="32" s="1"/>
  <c r="U41" i="32"/>
  <c r="Y41" i="32" s="1"/>
  <c r="W41" i="32"/>
  <c r="L32" i="30"/>
  <c r="AU32" i="31"/>
  <c r="G26" i="31" s="1"/>
  <c r="AU34" i="31"/>
  <c r="AU51" i="31" s="1"/>
  <c r="AY32" i="31"/>
  <c r="U62" i="32"/>
  <c r="AA62" i="32" s="1"/>
  <c r="U58" i="32"/>
  <c r="AA58" i="32" s="1"/>
  <c r="W58" i="32"/>
  <c r="W53" i="32"/>
  <c r="U53" i="32"/>
  <c r="Y53" i="32" s="1"/>
  <c r="W44" i="32"/>
  <c r="BI44" i="31"/>
  <c r="BJ44" i="31" s="1"/>
  <c r="BI24" i="31"/>
  <c r="X24" i="31"/>
  <c r="O24" i="31"/>
  <c r="BW24" i="31" s="1"/>
  <c r="BY24" i="31"/>
  <c r="BT24" i="31"/>
  <c r="O22" i="32"/>
  <c r="BM22" i="32"/>
  <c r="BH22" i="32"/>
  <c r="P32" i="31"/>
  <c r="BK30" i="32"/>
  <c r="G29" i="31"/>
  <c r="L29" i="31" s="1"/>
  <c r="AY34" i="31"/>
  <c r="AP31" i="32"/>
  <c r="AS31" i="32" s="1"/>
  <c r="BC30" i="32"/>
  <c r="G26" i="30"/>
  <c r="L26" i="30" s="1"/>
  <c r="N26" i="30" s="1"/>
  <c r="BH23" i="32"/>
  <c r="BM31" i="32"/>
  <c r="BH31" i="32"/>
  <c r="O31" i="32"/>
  <c r="BK31" i="32" s="1"/>
  <c r="G30" i="31"/>
  <c r="L30" i="31" s="1"/>
  <c r="P29" i="31"/>
  <c r="BK22" i="32"/>
  <c r="BG31" i="32"/>
  <c r="BC31" i="32"/>
  <c r="BE31" i="32"/>
  <c r="O29" i="31"/>
  <c r="G31" i="31"/>
  <c r="L31" i="31" s="1"/>
  <c r="P30" i="31"/>
  <c r="O30" i="31"/>
  <c r="BY30" i="31"/>
  <c r="BT30" i="31"/>
  <c r="BW30" i="31"/>
  <c r="P24" i="32"/>
  <c r="BH28" i="68"/>
  <c r="BM28" i="68"/>
  <c r="O28" i="68"/>
  <c r="BK28" i="68" s="1"/>
  <c r="BK20" i="68"/>
  <c r="BK58" i="68"/>
  <c r="BE20" i="68"/>
  <c r="BC20" i="68"/>
  <c r="BG20" i="68"/>
  <c r="P62" i="32"/>
  <c r="BK62" i="32" s="1"/>
  <c r="P53" i="32"/>
  <c r="BK53" i="32" s="1"/>
  <c r="BM33" i="32"/>
  <c r="BC33" i="32" s="1"/>
  <c r="O33" i="32"/>
  <c r="BH33" i="32"/>
  <c r="BG28" i="68"/>
  <c r="P63" i="32"/>
  <c r="BK63" i="32"/>
  <c r="P64" i="32"/>
  <c r="P54" i="32"/>
  <c r="P55" i="32"/>
  <c r="BK55" i="32" s="1"/>
  <c r="AP35" i="32"/>
  <c r="BH34" i="32"/>
  <c r="BK54" i="32"/>
  <c r="P35" i="32"/>
  <c r="BM35" i="32"/>
  <c r="BC35" i="32" s="1"/>
  <c r="R22" i="31"/>
  <c r="W22" i="31" s="1"/>
  <c r="R36" i="31"/>
  <c r="W36" i="31" s="1"/>
  <c r="R37" i="31"/>
  <c r="R46" i="31"/>
  <c r="AR33" i="68"/>
  <c r="AR22" i="68"/>
  <c r="AR30" i="68"/>
  <c r="AR32" i="68"/>
  <c r="AR21" i="68"/>
  <c r="L62" i="68"/>
  <c r="L43" i="68"/>
  <c r="P43" i="68"/>
  <c r="BK43" i="68" s="1"/>
  <c r="L33" i="68"/>
  <c r="O33" i="68"/>
  <c r="BK33" i="68" s="1"/>
  <c r="BK51" i="68"/>
  <c r="X32" i="68"/>
  <c r="Y52" i="68"/>
  <c r="V22" i="68"/>
  <c r="AB22" i="68" s="1"/>
  <c r="U50" i="68"/>
  <c r="Y50" i="68" s="1"/>
  <c r="W42" i="68"/>
  <c r="U51" i="68"/>
  <c r="Y51" i="68" s="1"/>
  <c r="V25" i="68"/>
  <c r="AB25" i="68" s="1"/>
  <c r="W58" i="68"/>
  <c r="W61" i="68"/>
  <c r="BA24" i="68"/>
  <c r="AY24" i="68"/>
  <c r="O24" i="68"/>
  <c r="BC39" i="32"/>
  <c r="BC46" i="32" s="1"/>
  <c r="BE21" i="32"/>
  <c r="BE32" i="32"/>
  <c r="BE25" i="32"/>
  <c r="BK44" i="32"/>
  <c r="BK42" i="32"/>
  <c r="BC21" i="32"/>
  <c r="BC32" i="32"/>
  <c r="BC28" i="32"/>
  <c r="L55" i="68"/>
  <c r="J55" i="68" s="1"/>
  <c r="J33" i="68"/>
  <c r="BK64" i="32"/>
  <c r="P49" i="32"/>
  <c r="BA49" i="32"/>
  <c r="P43" i="32"/>
  <c r="BK43" i="32" s="1"/>
  <c r="O46" i="32"/>
  <c r="J43" i="32"/>
  <c r="J45" i="32"/>
  <c r="BE35" i="32"/>
  <c r="AY35" i="32"/>
  <c r="BM34" i="32"/>
  <c r="BG34" i="32" s="1"/>
  <c r="O34" i="32"/>
  <c r="BH35" i="32"/>
  <c r="O35" i="32"/>
  <c r="P34" i="32"/>
  <c r="AY24" i="32"/>
  <c r="O24" i="32"/>
  <c r="BK24" i="32" s="1"/>
  <c r="BM24" i="32"/>
  <c r="BE24" i="32" s="1"/>
  <c r="BA24" i="32"/>
  <c r="AU36" i="32"/>
  <c r="AU66" i="32" s="1"/>
  <c r="U64" i="68"/>
  <c r="AA64" i="68" s="1"/>
  <c r="P50" i="68"/>
  <c r="BK50" i="68" s="1"/>
  <c r="V38" i="68"/>
  <c r="W44" i="68"/>
  <c r="P44" i="68"/>
  <c r="BK44" i="68" s="1"/>
  <c r="X39" i="68"/>
  <c r="BG40" i="68"/>
  <c r="BA49" i="68"/>
  <c r="U45" i="68"/>
  <c r="AA45" i="68" s="1"/>
  <c r="BM33" i="68"/>
  <c r="BG33" i="68" s="1"/>
  <c r="J53" i="68"/>
  <c r="P53" i="68"/>
  <c r="BK53" i="68" s="1"/>
  <c r="BH33" i="68"/>
  <c r="BM24" i="68"/>
  <c r="J24" i="68"/>
  <c r="L54" i="68"/>
  <c r="P54" i="68"/>
  <c r="BK54" i="68" s="1"/>
  <c r="P24" i="68"/>
  <c r="BK24" i="68" s="1"/>
  <c r="J34" i="68"/>
  <c r="P34" i="68"/>
  <c r="O34" i="68"/>
  <c r="BM34" i="68"/>
  <c r="BH34" i="68"/>
  <c r="J43" i="68"/>
  <c r="L64" i="68"/>
  <c r="L63" i="68"/>
  <c r="J63" i="68" s="1"/>
  <c r="P55" i="68"/>
  <c r="P45" i="68"/>
  <c r="AP34" i="68"/>
  <c r="BC33" i="68"/>
  <c r="BG22" i="32"/>
  <c r="BC22" i="32"/>
  <c r="BE22" i="32"/>
  <c r="BE34" i="32"/>
  <c r="BK35" i="32"/>
  <c r="BE33" i="32"/>
  <c r="BG33" i="32"/>
  <c r="BG24" i="32"/>
  <c r="U47" i="31"/>
  <c r="AA47" i="31" s="1"/>
  <c r="L40" i="30"/>
  <c r="BS24" i="31"/>
  <c r="BQ24" i="31"/>
  <c r="BO24" i="31"/>
  <c r="BQ22" i="30"/>
  <c r="BE28" i="68"/>
  <c r="BC28" i="68"/>
  <c r="BG20" i="32"/>
  <c r="N66" i="32"/>
  <c r="O32" i="31"/>
  <c r="BY32" i="31"/>
  <c r="AZ50" i="68"/>
  <c r="BA50" i="68" s="1"/>
  <c r="AZ50" i="32"/>
  <c r="BA50" i="32" s="1"/>
  <c r="AZ25" i="68"/>
  <c r="AZ32" i="68"/>
  <c r="BA32" i="68" s="1"/>
  <c r="AZ32" i="32"/>
  <c r="BA32" i="32" s="1"/>
  <c r="AZ25" i="32"/>
  <c r="BA25" i="32" s="1"/>
  <c r="AZ39" i="68"/>
  <c r="AZ30" i="68"/>
  <c r="AZ22" i="68"/>
  <c r="AZ21" i="68"/>
  <c r="BA21" i="68" s="1"/>
  <c r="AZ29" i="68"/>
  <c r="BA29" i="68" s="1"/>
  <c r="AZ40" i="68"/>
  <c r="BA40" i="68" s="1"/>
  <c r="AZ30" i="32"/>
  <c r="BA30" i="32" s="1"/>
  <c r="AZ21" i="32"/>
  <c r="BA21" i="32" s="1"/>
  <c r="AZ40" i="32"/>
  <c r="BA40" i="32" s="1"/>
  <c r="AZ39" i="32"/>
  <c r="BA39" i="32" s="1"/>
  <c r="AZ22" i="32"/>
  <c r="BA22" i="32" s="1"/>
  <c r="AZ29" i="32"/>
  <c r="BA29" i="32" s="1"/>
  <c r="N51" i="31"/>
  <c r="M66" i="32"/>
  <c r="AZ33" i="68"/>
  <c r="BA33" i="68" s="1"/>
  <c r="AZ33" i="32"/>
  <c r="BA33" i="32" s="1"/>
  <c r="AZ35" i="68"/>
  <c r="AZ35" i="32"/>
  <c r="BA35" i="32" s="1"/>
  <c r="AZ34" i="68"/>
  <c r="BA34" i="68" s="1"/>
  <c r="AZ20" i="68"/>
  <c r="BA20" i="68" s="1"/>
  <c r="AZ38" i="68"/>
  <c r="AZ28" i="68"/>
  <c r="BA28" i="68" s="1"/>
  <c r="AZ48" i="68"/>
  <c r="AZ23" i="68"/>
  <c r="AZ31" i="68"/>
  <c r="X30" i="68"/>
  <c r="V30" i="68"/>
  <c r="AB30" i="68" s="1"/>
  <c r="V31" i="68"/>
  <c r="X31" i="68"/>
  <c r="U62" i="68"/>
  <c r="W62" i="68"/>
  <c r="BE39" i="32"/>
  <c r="BG39" i="32"/>
  <c r="BG46" i="32" s="1"/>
  <c r="G37" i="30"/>
  <c r="U61" i="68"/>
  <c r="AA61" i="68" s="1"/>
  <c r="O65" i="68"/>
  <c r="BK32" i="32"/>
  <c r="BF48" i="31"/>
  <c r="BK23" i="31"/>
  <c r="BS22" i="30"/>
  <c r="V40" i="68"/>
  <c r="X40" i="68"/>
  <c r="U43" i="68"/>
  <c r="AA43" i="68" s="1"/>
  <c r="W43" i="68"/>
  <c r="V22" i="31"/>
  <c r="AB22" i="31" s="1"/>
  <c r="X22" i="31"/>
  <c r="Z22" i="31"/>
  <c r="L44" i="31"/>
  <c r="N66" i="68"/>
  <c r="AX20" i="68"/>
  <c r="AY20" i="68" s="1"/>
  <c r="AX21" i="68"/>
  <c r="AY21" i="68" s="1"/>
  <c r="AX25" i="68"/>
  <c r="AX35" i="68"/>
  <c r="AX40" i="68"/>
  <c r="AY40" i="68" s="1"/>
  <c r="AX31" i="68"/>
  <c r="AX29" i="68"/>
  <c r="AY29" i="68" s="1"/>
  <c r="AX22" i="68"/>
  <c r="AX39" i="68"/>
  <c r="AX38" i="68"/>
  <c r="AX28" i="68"/>
  <c r="AY28" i="68" s="1"/>
  <c r="AX23" i="68"/>
  <c r="AX33" i="68"/>
  <c r="AY33" i="68" s="1"/>
  <c r="L26" i="32"/>
  <c r="L36" i="32"/>
  <c r="J28" i="32"/>
  <c r="J36" i="32"/>
  <c r="BK49" i="32"/>
  <c r="O36" i="32"/>
  <c r="BE33" i="68"/>
  <c r="J54" i="68"/>
  <c r="L35" i="68"/>
  <c r="BH48" i="31"/>
  <c r="BH50" i="31" s="1"/>
  <c r="BH51" i="31" s="1"/>
  <c r="B28" i="56" s="1"/>
  <c r="C28" i="56" s="1"/>
  <c r="BF50" i="31"/>
  <c r="BF51" i="31" s="1"/>
  <c r="O22" i="31"/>
  <c r="BY22" i="31"/>
  <c r="BT22" i="31"/>
  <c r="BW32" i="31"/>
  <c r="BK45" i="68"/>
  <c r="BK34" i="68"/>
  <c r="R29" i="31"/>
  <c r="W29" i="31" s="1"/>
  <c r="T49" i="32"/>
  <c r="T50" i="32"/>
  <c r="X50" i="32" s="1"/>
  <c r="BK55" i="68"/>
  <c r="P63" i="68"/>
  <c r="J64" i="68"/>
  <c r="P64" i="68"/>
  <c r="BK64" i="68" s="1"/>
  <c r="BE34" i="68"/>
  <c r="BC34" i="68"/>
  <c r="BG34" i="68"/>
  <c r="BK63" i="68"/>
  <c r="BQ22" i="31"/>
  <c r="BS22" i="31"/>
  <c r="BO22" i="31"/>
  <c r="BW22" i="31"/>
  <c r="AZ48" i="32"/>
  <c r="BA48" i="32" s="1"/>
  <c r="BI22" i="31"/>
  <c r="BJ22" i="31" s="1"/>
  <c r="BI23" i="31"/>
  <c r="BK24" i="31"/>
  <c r="BL24" i="31" s="1"/>
  <c r="BK32" i="31"/>
  <c r="BL32" i="31" s="1"/>
  <c r="AZ34" i="32"/>
  <c r="BA34" i="32" s="1"/>
  <c r="AX30" i="68"/>
  <c r="AB65" i="68"/>
  <c r="Z65" i="32"/>
  <c r="AB65" i="32"/>
  <c r="Z65" i="68"/>
  <c r="Y44" i="68"/>
  <c r="AA54" i="68"/>
  <c r="P31" i="31"/>
  <c r="O31" i="31"/>
  <c r="R31" i="31" s="1"/>
  <c r="W31" i="31" s="1"/>
  <c r="X23" i="31"/>
  <c r="Z23" i="31" s="1"/>
  <c r="BJ24" i="31"/>
  <c r="G27" i="31"/>
  <c r="K38" i="31"/>
  <c r="L38" i="31" s="1"/>
  <c r="BE51" i="31"/>
  <c r="Z44" i="31"/>
  <c r="B15" i="56"/>
  <c r="C15" i="56" s="1"/>
  <c r="G28" i="31"/>
  <c r="AP27" i="31"/>
  <c r="O28" i="31"/>
  <c r="J34" i="31"/>
  <c r="AW32" i="31"/>
  <c r="AW34" i="31" s="1"/>
  <c r="AW51" i="31" s="1"/>
  <c r="B13" i="56" s="1"/>
  <c r="C13" i="56" s="1"/>
  <c r="K36" i="31"/>
  <c r="L36" i="31" s="1"/>
  <c r="BY36" i="31" s="1"/>
  <c r="K37" i="31"/>
  <c r="L37" i="31" s="1"/>
  <c r="P37" i="31"/>
  <c r="T37" i="31"/>
  <c r="X37" i="31" s="1"/>
  <c r="J34" i="83"/>
  <c r="W48" i="83"/>
  <c r="W49" i="83"/>
  <c r="X46" i="83"/>
  <c r="BY36" i="83"/>
  <c r="BS36" i="83" s="1"/>
  <c r="BT36" i="83"/>
  <c r="P36" i="83"/>
  <c r="BJ36" i="83"/>
  <c r="BY44" i="83"/>
  <c r="BQ44" i="83" s="1"/>
  <c r="BT44" i="83"/>
  <c r="O44" i="83"/>
  <c r="AP23" i="83"/>
  <c r="L23" i="83"/>
  <c r="AN40" i="83"/>
  <c r="AP40" i="83" s="1"/>
  <c r="K40" i="83"/>
  <c r="L40" i="83" s="1"/>
  <c r="G41" i="83"/>
  <c r="C20" i="84"/>
  <c r="BH48" i="83"/>
  <c r="BH50" i="83" s="1"/>
  <c r="BH51" i="83" s="1"/>
  <c r="B28" i="84" s="1"/>
  <c r="C28" i="84" s="1"/>
  <c r="BF50" i="83"/>
  <c r="BF51" i="83" s="1"/>
  <c r="G47" i="83"/>
  <c r="L47" i="83" s="1"/>
  <c r="P47" i="83" s="1"/>
  <c r="BC50" i="83"/>
  <c r="BC51" i="83" s="1"/>
  <c r="BE47" i="83"/>
  <c r="BE50" i="83" s="1"/>
  <c r="BE51" i="83" s="1"/>
  <c r="B15" i="84" s="1"/>
  <c r="C15" i="84" s="1"/>
  <c r="BW36" i="83"/>
  <c r="D13" i="83"/>
  <c r="AP22" i="83"/>
  <c r="L25" i="83"/>
  <c r="BY25" i="83" s="1"/>
  <c r="R28" i="83"/>
  <c r="W28" i="83" s="1"/>
  <c r="G29" i="83"/>
  <c r="U29" i="83"/>
  <c r="R31" i="83"/>
  <c r="U31" i="83" s="1"/>
  <c r="AA31" i="83" s="1"/>
  <c r="L32" i="83"/>
  <c r="BA32" i="83"/>
  <c r="BA34" i="83" s="1"/>
  <c r="BA51" i="83" s="1"/>
  <c r="B14" i="84" s="1"/>
  <c r="C14" i="84" s="1"/>
  <c r="T37" i="83"/>
  <c r="X37" i="83" s="1"/>
  <c r="K39" i="83"/>
  <c r="L39" i="83" s="1"/>
  <c r="AN39" i="83"/>
  <c r="T41" i="83"/>
  <c r="X41" i="83" s="1"/>
  <c r="V44" i="83"/>
  <c r="Z44" i="83" s="1"/>
  <c r="U47" i="83"/>
  <c r="AA47" i="83" s="1"/>
  <c r="Z22" i="83"/>
  <c r="X23" i="83"/>
  <c r="O24" i="83"/>
  <c r="BT24" i="83"/>
  <c r="BY24" i="83"/>
  <c r="X25" i="83"/>
  <c r="G45" i="83"/>
  <c r="G49" i="83"/>
  <c r="W29" i="83"/>
  <c r="AP39" i="83"/>
  <c r="G46" i="83"/>
  <c r="V23" i="83"/>
  <c r="Z23" i="83" s="1"/>
  <c r="V25" i="83"/>
  <c r="T39" i="83"/>
  <c r="V39" i="83" s="1"/>
  <c r="AB39" i="83" s="1"/>
  <c r="BY32" i="83"/>
  <c r="BS32" i="83" s="1"/>
  <c r="BT32" i="83"/>
  <c r="O32" i="83"/>
  <c r="BW32" i="83" s="1"/>
  <c r="P32" i="83"/>
  <c r="AP46" i="83"/>
  <c r="BS24" i="83"/>
  <c r="BO24" i="83"/>
  <c r="BQ24" i="83"/>
  <c r="BW24" i="83"/>
  <c r="G30" i="83"/>
  <c r="L29" i="83"/>
  <c r="P29" i="83" s="1"/>
  <c r="BW29" i="83" s="1"/>
  <c r="AN41" i="83"/>
  <c r="K41" i="83"/>
  <c r="L41" i="83" s="1"/>
  <c r="BW44" i="83"/>
  <c r="BY23" i="83"/>
  <c r="BO23" i="83" s="1"/>
  <c r="BT23" i="83"/>
  <c r="O23" i="83"/>
  <c r="BS44" i="83"/>
  <c r="BO36" i="83"/>
  <c r="BO32" i="83"/>
  <c r="BQ23" i="83"/>
  <c r="BS23" i="83"/>
  <c r="AP30" i="83"/>
  <c r="L30" i="83"/>
  <c r="P30" i="83" s="1"/>
  <c r="G31" i="83"/>
  <c r="L31" i="83" s="1"/>
  <c r="P31" i="83" s="1"/>
  <c r="BW31" i="83" s="1"/>
  <c r="BT30" i="83"/>
  <c r="U49" i="85"/>
  <c r="AA49" i="85" s="1"/>
  <c r="G49" i="85"/>
  <c r="G46" i="85"/>
  <c r="G45" i="85"/>
  <c r="AP45" i="85" s="1"/>
  <c r="AS45" i="85" s="1"/>
  <c r="L23" i="85"/>
  <c r="AP23" i="85"/>
  <c r="AS23" i="85" s="1"/>
  <c r="V22" i="85"/>
  <c r="AB22" i="85" s="1"/>
  <c r="X22" i="85"/>
  <c r="BY24" i="85"/>
  <c r="BO24" i="85" s="1"/>
  <c r="O24" i="85"/>
  <c r="J46" i="85"/>
  <c r="AU34" i="85"/>
  <c r="AU51" i="85" s="1"/>
  <c r="AW32" i="85"/>
  <c r="AW34" i="85" s="1"/>
  <c r="AW51" i="85" s="1"/>
  <c r="B13" i="86" s="1"/>
  <c r="C13" i="86" s="1"/>
  <c r="G26" i="85"/>
  <c r="BY44" i="85"/>
  <c r="BO44" i="85" s="1"/>
  <c r="AS44" i="85"/>
  <c r="BS24" i="85"/>
  <c r="L22" i="85"/>
  <c r="O22" i="85" s="1"/>
  <c r="BY25" i="85"/>
  <c r="BO25" i="85" s="1"/>
  <c r="L36" i="85"/>
  <c r="V45" i="85"/>
  <c r="AB45" i="85" s="1"/>
  <c r="V46" i="85"/>
  <c r="AB46" i="85" s="1"/>
  <c r="U48" i="85"/>
  <c r="AA48" i="85" s="1"/>
  <c r="BF50" i="85"/>
  <c r="BF51" i="85" s="1"/>
  <c r="X24" i="85"/>
  <c r="O25" i="85"/>
  <c r="BA32" i="85"/>
  <c r="BA34" i="85" s="1"/>
  <c r="BA51" i="85" s="1"/>
  <c r="B14" i="86" s="1"/>
  <c r="C14" i="86" s="1"/>
  <c r="X44" i="85"/>
  <c r="W47" i="85"/>
  <c r="L32" i="85"/>
  <c r="BY32" i="85" s="1"/>
  <c r="AP32" i="85"/>
  <c r="AS32" i="85" s="1"/>
  <c r="X45" i="85"/>
  <c r="V24" i="85"/>
  <c r="U47" i="85"/>
  <c r="AA47" i="85" s="1"/>
  <c r="BQ25" i="85"/>
  <c r="AP46" i="85"/>
  <c r="BS25" i="85"/>
  <c r="L45" i="85"/>
  <c r="J47" i="85"/>
  <c r="J48" i="85"/>
  <c r="J49" i="85"/>
  <c r="AP26" i="32"/>
  <c r="AS40" i="68"/>
  <c r="AR38" i="68"/>
  <c r="AR35" i="68"/>
  <c r="AR25" i="87"/>
  <c r="AR20" i="87"/>
  <c r="AS20" i="87" s="1"/>
  <c r="AR27" i="87"/>
  <c r="AR35" i="87"/>
  <c r="V31" i="87"/>
  <c r="AB31" i="87" s="1"/>
  <c r="U23" i="87"/>
  <c r="R38" i="31"/>
  <c r="U38" i="31" s="1"/>
  <c r="AA38" i="31" s="1"/>
  <c r="R22" i="83"/>
  <c r="R45" i="83"/>
  <c r="R39" i="31"/>
  <c r="R46" i="83"/>
  <c r="R40" i="31"/>
  <c r="W40" i="31" s="1"/>
  <c r="R45" i="31"/>
  <c r="R37" i="83"/>
  <c r="R39" i="83"/>
  <c r="R41" i="31"/>
  <c r="R36" i="83"/>
  <c r="U36" i="83" s="1"/>
  <c r="R38" i="83"/>
  <c r="W38" i="83" s="1"/>
  <c r="R40" i="83"/>
  <c r="U40" i="83" s="1"/>
  <c r="R41" i="83"/>
  <c r="R24" i="31"/>
  <c r="B8" i="86" l="1"/>
  <c r="B9" i="86" s="1"/>
  <c r="BQ24" i="85"/>
  <c r="AP37" i="30"/>
  <c r="AA41" i="32"/>
  <c r="Y49" i="68"/>
  <c r="AD49" i="68" s="1"/>
  <c r="Z21" i="68"/>
  <c r="AA48" i="68"/>
  <c r="BS44" i="85"/>
  <c r="AR39" i="68"/>
  <c r="AR25" i="68"/>
  <c r="W28" i="85"/>
  <c r="AB44" i="85"/>
  <c r="X25" i="85"/>
  <c r="AP41" i="83"/>
  <c r="AS39" i="83"/>
  <c r="AS40" i="83"/>
  <c r="AS23" i="83"/>
  <c r="AR31" i="68"/>
  <c r="U22" i="31"/>
  <c r="AR28" i="68"/>
  <c r="AR23" i="68"/>
  <c r="AR34" i="68"/>
  <c r="AR29" i="68"/>
  <c r="AS35" i="32"/>
  <c r="AS35" i="68"/>
  <c r="M24" i="30"/>
  <c r="BT24" i="30"/>
  <c r="BL24" i="30"/>
  <c r="BJ24" i="30"/>
  <c r="M22" i="30"/>
  <c r="O22" i="30" s="1"/>
  <c r="BT22" i="30"/>
  <c r="BL22" i="30"/>
  <c r="BJ22" i="30"/>
  <c r="BT44" i="85"/>
  <c r="M44" i="85"/>
  <c r="BL44" i="85"/>
  <c r="BJ44" i="85"/>
  <c r="P32" i="85"/>
  <c r="BT32" i="85"/>
  <c r="M32" i="85"/>
  <c r="O32" i="85" s="1"/>
  <c r="R32" i="85" s="1"/>
  <c r="BL32" i="85"/>
  <c r="BJ32" i="85"/>
  <c r="BT36" i="30"/>
  <c r="M36" i="30"/>
  <c r="BL36" i="30"/>
  <c r="BJ36" i="30"/>
  <c r="N40" i="30"/>
  <c r="P40" i="30" s="1"/>
  <c r="BT32" i="30"/>
  <c r="M32" i="30"/>
  <c r="BJ32" i="30"/>
  <c r="BL32" i="30"/>
  <c r="BY32" i="30"/>
  <c r="BQ32" i="30" s="1"/>
  <c r="BT45" i="85"/>
  <c r="M45" i="85"/>
  <c r="M50" i="85" s="1"/>
  <c r="BT36" i="85"/>
  <c r="M36" i="85"/>
  <c r="R22" i="30"/>
  <c r="U22" i="30" s="1"/>
  <c r="BW22" i="30"/>
  <c r="BL36" i="85"/>
  <c r="BJ26" i="30"/>
  <c r="BL26" i="30"/>
  <c r="BL45" i="85"/>
  <c r="BJ45" i="85"/>
  <c r="G27" i="30"/>
  <c r="L27" i="30" s="1"/>
  <c r="O38" i="30"/>
  <c r="R38" i="30" s="1"/>
  <c r="U38" i="30" s="1"/>
  <c r="AA38" i="30" s="1"/>
  <c r="BJ38" i="30"/>
  <c r="BH46" i="32"/>
  <c r="BH26" i="32"/>
  <c r="BH36" i="32"/>
  <c r="BA56" i="32"/>
  <c r="L37" i="30"/>
  <c r="M37" i="30" s="1"/>
  <c r="O37" i="30" s="1"/>
  <c r="AW32" i="30"/>
  <c r="AW34" i="30" s="1"/>
  <c r="AW43" i="30" s="1"/>
  <c r="B13" i="102" s="1"/>
  <c r="BF42" i="30"/>
  <c r="BF43" i="30" s="1"/>
  <c r="O24" i="30"/>
  <c r="R24" i="30" s="1"/>
  <c r="U24" i="30" s="1"/>
  <c r="G41" i="30"/>
  <c r="L41" i="30" s="1"/>
  <c r="N41" i="30" s="1"/>
  <c r="BO32" i="30"/>
  <c r="G23" i="30"/>
  <c r="AP22" i="30"/>
  <c r="AP32" i="30"/>
  <c r="O36" i="30"/>
  <c r="BW36" i="30" s="1"/>
  <c r="BS32" i="30"/>
  <c r="AU43" i="30"/>
  <c r="W38" i="31"/>
  <c r="BW24" i="85"/>
  <c r="R24" i="85"/>
  <c r="U24" i="85" s="1"/>
  <c r="AA24" i="85" s="1"/>
  <c r="T36" i="30"/>
  <c r="V36" i="30" s="1"/>
  <c r="AB36" i="30" s="1"/>
  <c r="BW22" i="85"/>
  <c r="R22" i="85"/>
  <c r="W22" i="85" s="1"/>
  <c r="T37" i="30"/>
  <c r="V37" i="30" s="1"/>
  <c r="AE44" i="31"/>
  <c r="AS22" i="68"/>
  <c r="AS33" i="68"/>
  <c r="W40" i="30"/>
  <c r="Y40" i="30" s="1"/>
  <c r="AD40" i="30" s="1"/>
  <c r="V25" i="30"/>
  <c r="AB25" i="30" s="1"/>
  <c r="AB39" i="32"/>
  <c r="AA49" i="31"/>
  <c r="V24" i="30"/>
  <c r="AB24" i="30" s="1"/>
  <c r="AS28" i="32"/>
  <c r="AS21" i="32"/>
  <c r="Z30" i="32"/>
  <c r="G29" i="85"/>
  <c r="K29" i="85" s="1"/>
  <c r="AY34" i="85"/>
  <c r="AY51" i="85" s="1"/>
  <c r="AP48" i="68"/>
  <c r="AS48" i="68" s="1"/>
  <c r="L46" i="85"/>
  <c r="BJ46" i="85" s="1"/>
  <c r="Y61" i="68"/>
  <c r="X48" i="32"/>
  <c r="BW24" i="30"/>
  <c r="AS24" i="31"/>
  <c r="AP38" i="30"/>
  <c r="U40" i="31"/>
  <c r="U31" i="31"/>
  <c r="AA31" i="31" s="1"/>
  <c r="AS44" i="83"/>
  <c r="AP37" i="83"/>
  <c r="AS37" i="83" s="1"/>
  <c r="AP38" i="83"/>
  <c r="AS38" i="83" s="1"/>
  <c r="L37" i="85"/>
  <c r="J42" i="85"/>
  <c r="BW25" i="85"/>
  <c r="R25" i="85"/>
  <c r="BC47" i="85"/>
  <c r="BC50" i="85" s="1"/>
  <c r="BC51" i="85" s="1"/>
  <c r="AP25" i="85"/>
  <c r="AS25" i="85" s="1"/>
  <c r="O36" i="85"/>
  <c r="AP56" i="32"/>
  <c r="AP36" i="32"/>
  <c r="AS28" i="68"/>
  <c r="AS20" i="32"/>
  <c r="AS48" i="32"/>
  <c r="BA27" i="87"/>
  <c r="BA28" i="87" s="1"/>
  <c r="BA37" i="87" s="1"/>
  <c r="B14" i="88" s="1"/>
  <c r="C14" i="88" s="1"/>
  <c r="AS23" i="32"/>
  <c r="AS34" i="68"/>
  <c r="AB25" i="85"/>
  <c r="Z25" i="85"/>
  <c r="X23" i="85"/>
  <c r="Z23" i="85" s="1"/>
  <c r="AE23" i="85" s="1"/>
  <c r="AI23" i="85" s="1"/>
  <c r="AK23" i="85" s="1"/>
  <c r="AM23" i="85" s="1"/>
  <c r="Z44" i="85"/>
  <c r="BW32" i="85"/>
  <c r="B25" i="86"/>
  <c r="B25" i="102"/>
  <c r="AP36" i="85"/>
  <c r="AS36" i="85" s="1"/>
  <c r="AP37" i="85"/>
  <c r="AS37" i="85" s="1"/>
  <c r="BJ36" i="85"/>
  <c r="AS44" i="31"/>
  <c r="AS32" i="31"/>
  <c r="AS22" i="31"/>
  <c r="AS22" i="83"/>
  <c r="AB23" i="83"/>
  <c r="Z22" i="32"/>
  <c r="AE22" i="32" s="1"/>
  <c r="AA53" i="32"/>
  <c r="Z28" i="32"/>
  <c r="AE28" i="32" s="1"/>
  <c r="Y52" i="32"/>
  <c r="AD52" i="32" s="1"/>
  <c r="AR32" i="87"/>
  <c r="AR19" i="87"/>
  <c r="AR33" i="87"/>
  <c r="AR18" i="87"/>
  <c r="AR30" i="87"/>
  <c r="AS30" i="87" s="1"/>
  <c r="AS30" i="83"/>
  <c r="AS46" i="83"/>
  <c r="AS27" i="31"/>
  <c r="Y59" i="68"/>
  <c r="AD59" i="68" s="1"/>
  <c r="X41" i="31"/>
  <c r="Z41" i="31" s="1"/>
  <c r="AE41" i="31" s="1"/>
  <c r="X39" i="83"/>
  <c r="Z39" i="83" s="1"/>
  <c r="V37" i="31"/>
  <c r="AB37" i="31" s="1"/>
  <c r="U31" i="85"/>
  <c r="AA31" i="85" s="1"/>
  <c r="U29" i="31"/>
  <c r="AA29" i="31" s="1"/>
  <c r="AS25" i="32"/>
  <c r="AS20" i="68"/>
  <c r="R24" i="83"/>
  <c r="U24" i="83" s="1"/>
  <c r="AA24" i="83" s="1"/>
  <c r="R19" i="87"/>
  <c r="Z31" i="87"/>
  <c r="AE31" i="87" s="1"/>
  <c r="Z25" i="68"/>
  <c r="AE25" i="68" s="1"/>
  <c r="AI25" i="68" s="1"/>
  <c r="AM25" i="68" s="1"/>
  <c r="R23" i="31"/>
  <c r="R18" i="87"/>
  <c r="R20" i="87"/>
  <c r="R23" i="83"/>
  <c r="W23" i="83" s="1"/>
  <c r="AE22" i="83"/>
  <c r="AI22" i="83" s="1"/>
  <c r="AK22" i="83" s="1"/>
  <c r="AM22" i="83" s="1"/>
  <c r="AE22" i="31"/>
  <c r="AI22" i="31" s="1"/>
  <c r="AK22" i="31" s="1"/>
  <c r="AM22" i="31" s="1"/>
  <c r="Y59" i="32"/>
  <c r="AD59" i="32" s="1"/>
  <c r="Y58" i="32"/>
  <c r="AD58" i="32" s="1"/>
  <c r="AA55" i="68"/>
  <c r="Y43" i="32"/>
  <c r="AD43" i="32" s="1"/>
  <c r="AS34" i="32"/>
  <c r="AS22" i="30"/>
  <c r="AS36" i="30"/>
  <c r="AS37" i="31"/>
  <c r="AS38" i="32"/>
  <c r="AS32" i="32"/>
  <c r="AD61" i="68"/>
  <c r="Z45" i="85"/>
  <c r="AE45" i="85" s="1"/>
  <c r="AS49" i="68"/>
  <c r="AR31" i="87"/>
  <c r="AR34" i="87"/>
  <c r="AS17" i="87"/>
  <c r="Y28" i="85"/>
  <c r="AD28" i="85" s="1"/>
  <c r="Y47" i="83"/>
  <c r="AD47" i="83" s="1"/>
  <c r="AP19" i="87"/>
  <c r="AS38" i="68"/>
  <c r="AP50" i="85"/>
  <c r="AP36" i="83"/>
  <c r="AS36" i="83" s="1"/>
  <c r="AP66" i="32"/>
  <c r="AS29" i="68"/>
  <c r="AS21" i="68"/>
  <c r="AS32" i="68"/>
  <c r="AS22" i="32"/>
  <c r="AS40" i="32"/>
  <c r="W36" i="83"/>
  <c r="Y36" i="83" s="1"/>
  <c r="AA51" i="68"/>
  <c r="AD51" i="68" s="1"/>
  <c r="AD52" i="68"/>
  <c r="AD48" i="68"/>
  <c r="AE39" i="32"/>
  <c r="Y38" i="31"/>
  <c r="AD38" i="31" s="1"/>
  <c r="AB48" i="32"/>
  <c r="Z48" i="32"/>
  <c r="W40" i="83"/>
  <c r="Y40" i="83" s="1"/>
  <c r="AB44" i="83"/>
  <c r="AE44" i="83" s="1"/>
  <c r="U28" i="83"/>
  <c r="AA28" i="83" s="1"/>
  <c r="AD49" i="31"/>
  <c r="Z39" i="68"/>
  <c r="AE39" i="68" s="1"/>
  <c r="Z32" i="32"/>
  <c r="AE32" i="32" s="1"/>
  <c r="Z31" i="32"/>
  <c r="AE31" i="32" s="1"/>
  <c r="AD53" i="32"/>
  <c r="Y62" i="32"/>
  <c r="AD62" i="32" s="1"/>
  <c r="AE30" i="32"/>
  <c r="Y45" i="32"/>
  <c r="AD45" i="32" s="1"/>
  <c r="AA60" i="68"/>
  <c r="AD60" i="68" s="1"/>
  <c r="Y40" i="31"/>
  <c r="AA50" i="68"/>
  <c r="AD50" i="68" s="1"/>
  <c r="Y63" i="32"/>
  <c r="AD63" i="32" s="1"/>
  <c r="Y42" i="68"/>
  <c r="AD42" i="68" s="1"/>
  <c r="Z38" i="32"/>
  <c r="AE38" i="32" s="1"/>
  <c r="Y41" i="30"/>
  <c r="AD41" i="30" s="1"/>
  <c r="Y51" i="32"/>
  <c r="AD51" i="32" s="1"/>
  <c r="AD41" i="32"/>
  <c r="AE23" i="83"/>
  <c r="AI23" i="83" s="1"/>
  <c r="AK23" i="83" s="1"/>
  <c r="AM23" i="83" s="1"/>
  <c r="Z30" i="68"/>
  <c r="AE30" i="68" s="1"/>
  <c r="AE21" i="68"/>
  <c r="Z40" i="32"/>
  <c r="AE40" i="32" s="1"/>
  <c r="Y23" i="87"/>
  <c r="V41" i="83"/>
  <c r="Z41" i="83" s="1"/>
  <c r="V37" i="83"/>
  <c r="Z37" i="83" s="1"/>
  <c r="Y31" i="31"/>
  <c r="AD31" i="31" s="1"/>
  <c r="V32" i="87"/>
  <c r="AB32" i="87" s="1"/>
  <c r="U17" i="87"/>
  <c r="AA17" i="87" s="1"/>
  <c r="W17" i="87"/>
  <c r="AA40" i="31"/>
  <c r="V30" i="87"/>
  <c r="P40" i="83"/>
  <c r="BY40" i="83"/>
  <c r="BJ40" i="83"/>
  <c r="BT40" i="83"/>
  <c r="BT37" i="31"/>
  <c r="BY37" i="31"/>
  <c r="BL37" i="31"/>
  <c r="O37" i="31"/>
  <c r="AA40" i="83"/>
  <c r="BY36" i="85"/>
  <c r="Y48" i="85"/>
  <c r="AD48" i="85" s="1"/>
  <c r="AS46" i="85"/>
  <c r="AS50" i="85" s="1"/>
  <c r="O30" i="83"/>
  <c r="BW30" i="83" s="1"/>
  <c r="BQ32" i="83"/>
  <c r="BQ36" i="83"/>
  <c r="BO44" i="83"/>
  <c r="W31" i="83"/>
  <c r="Y31" i="83" s="1"/>
  <c r="AD31" i="83" s="1"/>
  <c r="V50" i="32"/>
  <c r="AB50" i="32" s="1"/>
  <c r="BY44" i="31"/>
  <c r="O44" i="31"/>
  <c r="BW44" i="31" s="1"/>
  <c r="V49" i="32"/>
  <c r="AB49" i="32" s="1"/>
  <c r="P36" i="85"/>
  <c r="AE44" i="85"/>
  <c r="BQ44" i="85"/>
  <c r="Z46" i="85"/>
  <c r="AE46" i="85" s="1"/>
  <c r="Z22" i="85"/>
  <c r="AE22" i="85" s="1"/>
  <c r="AI22" i="85" s="1"/>
  <c r="AK22" i="85" s="1"/>
  <c r="AM22" i="85" s="1"/>
  <c r="BY30" i="83"/>
  <c r="AE23" i="31"/>
  <c r="AI23" i="31" s="1"/>
  <c r="AK23" i="31" s="1"/>
  <c r="AM23" i="31" s="1"/>
  <c r="BT44" i="31"/>
  <c r="AY35" i="68"/>
  <c r="AA23" i="87"/>
  <c r="Y49" i="85"/>
  <c r="AD49" i="85" s="1"/>
  <c r="R28" i="31"/>
  <c r="W28" i="31" s="1"/>
  <c r="X49" i="32"/>
  <c r="P36" i="32"/>
  <c r="BK34" i="32"/>
  <c r="BW31" i="31"/>
  <c r="BW38" i="30"/>
  <c r="Y43" i="68"/>
  <c r="AD43" i="68" s="1"/>
  <c r="BY27" i="30"/>
  <c r="P27" i="30"/>
  <c r="T27" i="30" s="1"/>
  <c r="G28" i="30"/>
  <c r="L28" i="30" s="1"/>
  <c r="N28" i="30" s="1"/>
  <c r="BA30" i="68"/>
  <c r="W47" i="31"/>
  <c r="Y47" i="31" s="1"/>
  <c r="BC24" i="32"/>
  <c r="P46" i="32"/>
  <c r="AY51" i="31"/>
  <c r="U64" i="32"/>
  <c r="W64" i="32"/>
  <c r="BK60" i="32"/>
  <c r="W60" i="32"/>
  <c r="W65" i="32" s="1"/>
  <c r="U60" i="32"/>
  <c r="Y60" i="32" s="1"/>
  <c r="W54" i="32"/>
  <c r="AA54" i="32"/>
  <c r="AX32" i="68"/>
  <c r="AY32" i="68" s="1"/>
  <c r="AX23" i="32"/>
  <c r="AX22" i="32"/>
  <c r="AY22" i="32" s="1"/>
  <c r="AX30" i="32"/>
  <c r="AY30" i="32" s="1"/>
  <c r="BI32" i="31"/>
  <c r="AX25" i="32"/>
  <c r="AY25" i="32" s="1"/>
  <c r="AX31" i="32"/>
  <c r="AY31" i="32" s="1"/>
  <c r="AX34" i="32"/>
  <c r="AY34" i="32" s="1"/>
  <c r="AX39" i="32"/>
  <c r="AY39" i="32" s="1"/>
  <c r="BI25" i="31"/>
  <c r="BJ25" i="31" s="1"/>
  <c r="BI45" i="31"/>
  <c r="AX21" i="32"/>
  <c r="AY21" i="32" s="1"/>
  <c r="AX29" i="32"/>
  <c r="AY29" i="32" s="1"/>
  <c r="AX33" i="32"/>
  <c r="AY33" i="32" s="1"/>
  <c r="AX38" i="32"/>
  <c r="AY38" i="32" s="1"/>
  <c r="BI30" i="31"/>
  <c r="BJ30" i="31" s="1"/>
  <c r="J46" i="32"/>
  <c r="AZ38" i="32"/>
  <c r="BA38" i="32" s="1"/>
  <c r="BA46" i="32" s="1"/>
  <c r="AZ20" i="32"/>
  <c r="BA20" i="32" s="1"/>
  <c r="BA26" i="32" s="1"/>
  <c r="U39" i="30"/>
  <c r="L25" i="30"/>
  <c r="AP25" i="30"/>
  <c r="AS25" i="30" s="1"/>
  <c r="BY38" i="30"/>
  <c r="BL38" i="30"/>
  <c r="O25" i="31"/>
  <c r="BW25" i="31" s="1"/>
  <c r="BY25" i="31"/>
  <c r="BT25" i="31"/>
  <c r="V29" i="68"/>
  <c r="AB29" i="68" s="1"/>
  <c r="W53" i="68"/>
  <c r="O56" i="68"/>
  <c r="U53" i="68"/>
  <c r="AA53" i="68" s="1"/>
  <c r="J21" i="68"/>
  <c r="BH21" i="68"/>
  <c r="BM21" i="68"/>
  <c r="O21" i="68"/>
  <c r="BK21" i="68" s="1"/>
  <c r="J48" i="32"/>
  <c r="O48" i="32"/>
  <c r="BH48" i="32"/>
  <c r="J62" i="32"/>
  <c r="L65" i="32"/>
  <c r="G31" i="68"/>
  <c r="L30" i="68"/>
  <c r="AP30" i="68"/>
  <c r="T20" i="87"/>
  <c r="X20" i="87" s="1"/>
  <c r="R21" i="87"/>
  <c r="U21" i="87" s="1"/>
  <c r="X33" i="87"/>
  <c r="V33" i="87"/>
  <c r="T35" i="87"/>
  <c r="X35" i="87" s="1"/>
  <c r="V22" i="30"/>
  <c r="X22" i="30"/>
  <c r="X25" i="31"/>
  <c r="Z25" i="31" s="1"/>
  <c r="AB25" i="31"/>
  <c r="BA35" i="68"/>
  <c r="BM36" i="32"/>
  <c r="BC34" i="32"/>
  <c r="BC36" i="32" s="1"/>
  <c r="AD55" i="68"/>
  <c r="O32" i="30"/>
  <c r="R32" i="30" s="1"/>
  <c r="P32" i="30"/>
  <c r="T32" i="30" s="1"/>
  <c r="W39" i="30"/>
  <c r="BG30" i="32"/>
  <c r="BE30" i="32"/>
  <c r="BE36" i="32" s="1"/>
  <c r="BL25" i="31"/>
  <c r="BK33" i="32"/>
  <c r="X33" i="32"/>
  <c r="Z33" i="32" s="1"/>
  <c r="AE33" i="32" s="1"/>
  <c r="V29" i="32"/>
  <c r="Z29" i="32" s="1"/>
  <c r="X29" i="32"/>
  <c r="V21" i="32"/>
  <c r="AB21" i="32" s="1"/>
  <c r="U44" i="32"/>
  <c r="AA44" i="32" s="1"/>
  <c r="BK29" i="32"/>
  <c r="V24" i="31"/>
  <c r="AB24" i="31" s="1"/>
  <c r="U36" i="31"/>
  <c r="Y36" i="31" s="1"/>
  <c r="Y55" i="32"/>
  <c r="AD55" i="32" s="1"/>
  <c r="Z46" i="31"/>
  <c r="AE46" i="31" s="1"/>
  <c r="BG32" i="32"/>
  <c r="L25" i="68"/>
  <c r="BH25" i="68" s="1"/>
  <c r="AP25" i="68"/>
  <c r="AS25" i="68" s="1"/>
  <c r="J41" i="68"/>
  <c r="P41" i="68"/>
  <c r="BK41" i="68" s="1"/>
  <c r="J50" i="68"/>
  <c r="BH50" i="68"/>
  <c r="J52" i="68"/>
  <c r="P52" i="68"/>
  <c r="BK52" i="68" s="1"/>
  <c r="I46" i="83"/>
  <c r="J45" i="83"/>
  <c r="T17" i="87"/>
  <c r="X17" i="87" s="1"/>
  <c r="AP27" i="87"/>
  <c r="AS27" i="87" s="1"/>
  <c r="BG35" i="32"/>
  <c r="M51" i="31"/>
  <c r="AS38" i="30"/>
  <c r="BK40" i="32"/>
  <c r="BK28" i="32"/>
  <c r="W41" i="68"/>
  <c r="BG21" i="68"/>
  <c r="V24" i="83"/>
  <c r="Z24" i="83" s="1"/>
  <c r="X24" i="83"/>
  <c r="BU20" i="87"/>
  <c r="O20" i="87"/>
  <c r="BP20" i="87"/>
  <c r="AP18" i="87"/>
  <c r="AS18" i="87" s="1"/>
  <c r="L18" i="87"/>
  <c r="BW29" i="31"/>
  <c r="AS32" i="30"/>
  <c r="BG21" i="32"/>
  <c r="J59" i="68"/>
  <c r="P59" i="68"/>
  <c r="BK59" i="68" s="1"/>
  <c r="BK61" i="68"/>
  <c r="AS29" i="32"/>
  <c r="AS33" i="32"/>
  <c r="AS39" i="32"/>
  <c r="V45" i="83"/>
  <c r="Z45" i="83" s="1"/>
  <c r="AS22" i="85"/>
  <c r="BS17" i="87"/>
  <c r="L19" i="87"/>
  <c r="BP19" i="87" s="1"/>
  <c r="AA44" i="68"/>
  <c r="AD44" i="68" s="1"/>
  <c r="AW31" i="32"/>
  <c r="AW36" i="32" s="1"/>
  <c r="AP50" i="68"/>
  <c r="AP24" i="83"/>
  <c r="AS24" i="83" s="1"/>
  <c r="J28" i="87"/>
  <c r="J37" i="87" s="1"/>
  <c r="BK40" i="68"/>
  <c r="AS50" i="32"/>
  <c r="AS56" i="32" s="1"/>
  <c r="G39" i="31"/>
  <c r="L22" i="83"/>
  <c r="J37" i="83"/>
  <c r="K38" i="83"/>
  <c r="L38" i="83" s="1"/>
  <c r="J32" i="85"/>
  <c r="J34" i="85" s="1"/>
  <c r="BP17" i="87"/>
  <c r="L29" i="85"/>
  <c r="G30" i="85"/>
  <c r="AS41" i="83"/>
  <c r="AP42" i="83"/>
  <c r="Y29" i="31"/>
  <c r="AA29" i="83"/>
  <c r="Y29" i="83"/>
  <c r="AA36" i="83"/>
  <c r="Z37" i="31"/>
  <c r="BW23" i="83"/>
  <c r="U23" i="83"/>
  <c r="O29" i="30"/>
  <c r="BW29" i="30" s="1"/>
  <c r="U24" i="31"/>
  <c r="W24" i="31"/>
  <c r="U38" i="83"/>
  <c r="Y38" i="83" s="1"/>
  <c r="L48" i="85"/>
  <c r="J50" i="85"/>
  <c r="Z24" i="85"/>
  <c r="AB24" i="85"/>
  <c r="BW47" i="83"/>
  <c r="AE39" i="83"/>
  <c r="R21" i="32"/>
  <c r="R22" i="32"/>
  <c r="R21" i="68"/>
  <c r="BY45" i="85"/>
  <c r="BT50" i="85"/>
  <c r="O45" i="85"/>
  <c r="R45" i="85" s="1"/>
  <c r="BS40" i="83"/>
  <c r="BO40" i="83"/>
  <c r="BQ40" i="83"/>
  <c r="BS36" i="31"/>
  <c r="BO36" i="31"/>
  <c r="BQ36" i="31"/>
  <c r="AD54" i="68"/>
  <c r="AS37" i="30"/>
  <c r="AP42" i="30"/>
  <c r="BS32" i="85"/>
  <c r="BO32" i="85"/>
  <c r="Y47" i="85"/>
  <c r="AD47" i="85" s="1"/>
  <c r="BS25" i="83"/>
  <c r="BO25" i="83"/>
  <c r="AB25" i="83"/>
  <c r="Z25" i="83"/>
  <c r="K28" i="31"/>
  <c r="L28" i="31" s="1"/>
  <c r="P28" i="31" s="1"/>
  <c r="L26" i="85"/>
  <c r="N26" i="85" s="1"/>
  <c r="G27" i="85"/>
  <c r="BY23" i="85"/>
  <c r="O23" i="85"/>
  <c r="R23" i="85" s="1"/>
  <c r="L49" i="85"/>
  <c r="N49" i="85" s="1"/>
  <c r="BQ25" i="83"/>
  <c r="AP45" i="83"/>
  <c r="L45" i="83"/>
  <c r="O39" i="83"/>
  <c r="BY39" i="83"/>
  <c r="BT39" i="83"/>
  <c r="Y48" i="83"/>
  <c r="Y62" i="68"/>
  <c r="AA62" i="68"/>
  <c r="Z31" i="68"/>
  <c r="AB31" i="68"/>
  <c r="BA36" i="32"/>
  <c r="BS32" i="31"/>
  <c r="BO32" i="31"/>
  <c r="BQ32" i="31"/>
  <c r="Y48" i="31"/>
  <c r="AD48" i="31" s="1"/>
  <c r="BQ32" i="85"/>
  <c r="BY46" i="85"/>
  <c r="O46" i="85"/>
  <c r="R46" i="85" s="1"/>
  <c r="BL46" i="85"/>
  <c r="U29" i="85"/>
  <c r="AA29" i="85" s="1"/>
  <c r="W29" i="85"/>
  <c r="O41" i="83"/>
  <c r="BY41" i="83"/>
  <c r="BT41" i="83"/>
  <c r="BT25" i="83"/>
  <c r="O25" i="83"/>
  <c r="W37" i="31"/>
  <c r="BW37" i="31"/>
  <c r="U37" i="31"/>
  <c r="BT36" i="31"/>
  <c r="BJ36" i="31"/>
  <c r="P36" i="31"/>
  <c r="BL36" i="31"/>
  <c r="BJ38" i="31"/>
  <c r="BT38" i="31"/>
  <c r="BY38" i="31"/>
  <c r="P38" i="31"/>
  <c r="BW38" i="31" s="1"/>
  <c r="AB40" i="68"/>
  <c r="Z40" i="68"/>
  <c r="J62" i="68"/>
  <c r="P62" i="68"/>
  <c r="L65" i="68"/>
  <c r="L26" i="31"/>
  <c r="K26" i="31"/>
  <c r="AA42" i="32"/>
  <c r="Y42" i="32"/>
  <c r="G47" i="31"/>
  <c r="L47" i="31" s="1"/>
  <c r="P47" i="31" s="1"/>
  <c r="BC50" i="31"/>
  <c r="BC51" i="31" s="1"/>
  <c r="G45" i="31"/>
  <c r="D13" i="31"/>
  <c r="G46" i="31"/>
  <c r="AY31" i="68"/>
  <c r="BS44" i="31"/>
  <c r="BO44" i="31"/>
  <c r="BQ44" i="31"/>
  <c r="BA31" i="68"/>
  <c r="BS30" i="31"/>
  <c r="BQ30" i="31"/>
  <c r="BO30" i="31"/>
  <c r="K27" i="31"/>
  <c r="L27" i="31" s="1"/>
  <c r="AA22" i="31"/>
  <c r="Y22" i="31"/>
  <c r="BH35" i="68"/>
  <c r="P35" i="68"/>
  <c r="J35" i="68"/>
  <c r="BM35" i="68"/>
  <c r="O35" i="68"/>
  <c r="AB25" i="32"/>
  <c r="Z25" i="32"/>
  <c r="Y58" i="68"/>
  <c r="Z32" i="68"/>
  <c r="AE32" i="68" s="1"/>
  <c r="BE20" i="32"/>
  <c r="BC20" i="32"/>
  <c r="AB20" i="32"/>
  <c r="Z20" i="32"/>
  <c r="V38" i="30"/>
  <c r="X38" i="30"/>
  <c r="BH18" i="87"/>
  <c r="BI18" i="87" s="1"/>
  <c r="BK23" i="83"/>
  <c r="BL23" i="83" s="1"/>
  <c r="AB33" i="68"/>
  <c r="Z33" i="68"/>
  <c r="J60" i="68"/>
  <c r="J65" i="68" s="1"/>
  <c r="P60" i="68"/>
  <c r="J23" i="32"/>
  <c r="J26" i="32" s="1"/>
  <c r="P23" i="32"/>
  <c r="O23" i="32"/>
  <c r="BM23" i="32"/>
  <c r="J52" i="32"/>
  <c r="J56" i="32" s="1"/>
  <c r="P52" i="32"/>
  <c r="BJ32" i="31"/>
  <c r="BT32" i="31"/>
  <c r="W22" i="30"/>
  <c r="BG36" i="32"/>
  <c r="BG24" i="68"/>
  <c r="BC24" i="68"/>
  <c r="BE24" i="68"/>
  <c r="Z38" i="68"/>
  <c r="AB38" i="68"/>
  <c r="P26" i="30"/>
  <c r="T26" i="30" s="1"/>
  <c r="O26" i="30"/>
  <c r="Z45" i="31"/>
  <c r="AE45" i="31" s="1"/>
  <c r="AB23" i="30"/>
  <c r="Z23" i="30"/>
  <c r="BJ37" i="31"/>
  <c r="O65" i="32"/>
  <c r="BK61" i="32"/>
  <c r="U61" i="32"/>
  <c r="AA61" i="32" s="1"/>
  <c r="BH33" i="87"/>
  <c r="BI33" i="87" s="1"/>
  <c r="BI39" i="83"/>
  <c r="BJ39" i="83" s="1"/>
  <c r="BI39" i="31"/>
  <c r="BI46" i="83"/>
  <c r="BI41" i="83"/>
  <c r="BJ41" i="83" s="1"/>
  <c r="BI37" i="83"/>
  <c r="BI41" i="31"/>
  <c r="BH56" i="32"/>
  <c r="BY36" i="30"/>
  <c r="BE39" i="30"/>
  <c r="BE42" i="30" s="1"/>
  <c r="BE43" i="30" s="1"/>
  <c r="B27" i="102" s="1"/>
  <c r="C27" i="102" s="1"/>
  <c r="G39" i="30"/>
  <c r="BC42" i="30"/>
  <c r="BC43" i="30" s="1"/>
  <c r="J58" i="32"/>
  <c r="J65" i="32" s="1"/>
  <c r="P58" i="32"/>
  <c r="BK39" i="32"/>
  <c r="AY23" i="32"/>
  <c r="BY24" i="30"/>
  <c r="BI31" i="87"/>
  <c r="BK44" i="83"/>
  <c r="BL44" i="83" s="1"/>
  <c r="BK38" i="83"/>
  <c r="BL38" i="83" s="1"/>
  <c r="BK36" i="83"/>
  <c r="BL36" i="83" s="1"/>
  <c r="BK40" i="83"/>
  <c r="BL40" i="83" s="1"/>
  <c r="BK40" i="31"/>
  <c r="BK38" i="31"/>
  <c r="BL38" i="31" s="1"/>
  <c r="BH22" i="87"/>
  <c r="BH25" i="87"/>
  <c r="BK30" i="83"/>
  <c r="BL30" i="83" s="1"/>
  <c r="BK27" i="83"/>
  <c r="BK45" i="83"/>
  <c r="BL45" i="83" s="1"/>
  <c r="BK22" i="83"/>
  <c r="BL22" i="83" s="1"/>
  <c r="BH17" i="87"/>
  <c r="BI17" i="87" s="1"/>
  <c r="BF34" i="87"/>
  <c r="BF30" i="87"/>
  <c r="BG30" i="87" s="1"/>
  <c r="BF27" i="87"/>
  <c r="BG27" i="87" s="1"/>
  <c r="BF25" i="87"/>
  <c r="BF31" i="87"/>
  <c r="BG31" i="87" s="1"/>
  <c r="BF22" i="87"/>
  <c r="BF35" i="87"/>
  <c r="BF32" i="87"/>
  <c r="BF20" i="87"/>
  <c r="BG20" i="87" s="1"/>
  <c r="BF33" i="87"/>
  <c r="BG33" i="87" s="1"/>
  <c r="BI32" i="83"/>
  <c r="BJ32" i="83" s="1"/>
  <c r="BI30" i="83"/>
  <c r="BJ30" i="83" s="1"/>
  <c r="BI25" i="83"/>
  <c r="BJ25" i="83" s="1"/>
  <c r="BI45" i="83"/>
  <c r="BJ45" i="83" s="1"/>
  <c r="BI44" i="83"/>
  <c r="BJ44" i="83" s="1"/>
  <c r="BI27" i="83"/>
  <c r="AX34" i="68"/>
  <c r="AY34" i="68" s="1"/>
  <c r="BH19" i="87"/>
  <c r="BK24" i="83"/>
  <c r="BL24" i="83" s="1"/>
  <c r="X28" i="68"/>
  <c r="V28" i="68"/>
  <c r="U63" i="68"/>
  <c r="W63" i="68"/>
  <c r="J29" i="68"/>
  <c r="O29" i="68"/>
  <c r="BM29" i="68"/>
  <c r="L39" i="68"/>
  <c r="AY39" i="68" s="1"/>
  <c r="AP39" i="68"/>
  <c r="BH27" i="87"/>
  <c r="BI27" i="87" s="1"/>
  <c r="BK32" i="83"/>
  <c r="BL32" i="83" s="1"/>
  <c r="BF19" i="87"/>
  <c r="BF17" i="87"/>
  <c r="BG17" i="87" s="1"/>
  <c r="BF18" i="87"/>
  <c r="BG18" i="87" s="1"/>
  <c r="BI22" i="83"/>
  <c r="BI23" i="83"/>
  <c r="BJ23" i="83" s="1"/>
  <c r="BI24" i="83"/>
  <c r="BJ24" i="83" s="1"/>
  <c r="W56" i="68"/>
  <c r="Z22" i="68"/>
  <c r="AE22" i="68" s="1"/>
  <c r="M66" i="68"/>
  <c r="X29" i="68"/>
  <c r="W64" i="68"/>
  <c r="BK46" i="83"/>
  <c r="U49" i="83"/>
  <c r="BH20" i="87"/>
  <c r="BI20" i="87" s="1"/>
  <c r="BK25" i="83"/>
  <c r="BL25" i="83" s="1"/>
  <c r="BK39" i="83"/>
  <c r="BL39" i="83" s="1"/>
  <c r="BK39" i="31"/>
  <c r="BK37" i="83"/>
  <c r="BK41" i="83"/>
  <c r="BL41" i="83" s="1"/>
  <c r="BK41" i="31"/>
  <c r="X20" i="68"/>
  <c r="V20" i="68"/>
  <c r="W45" i="68"/>
  <c r="J25" i="68"/>
  <c r="O25" i="68"/>
  <c r="BM25" i="68"/>
  <c r="O32" i="68"/>
  <c r="BM32" i="68"/>
  <c r="BH32" i="68"/>
  <c r="G23" i="31"/>
  <c r="L46" i="32"/>
  <c r="L56" i="32"/>
  <c r="L38" i="68"/>
  <c r="G42" i="68"/>
  <c r="L42" i="68" s="1"/>
  <c r="J42" i="31"/>
  <c r="T39" i="31"/>
  <c r="I47" i="31"/>
  <c r="J45" i="31"/>
  <c r="L22" i="68"/>
  <c r="AY22" i="68" s="1"/>
  <c r="G23" i="68"/>
  <c r="L31" i="68"/>
  <c r="L48" i="68"/>
  <c r="AP38" i="31"/>
  <c r="V46" i="83"/>
  <c r="X18" i="87"/>
  <c r="V18" i="87"/>
  <c r="AB18" i="87" s="1"/>
  <c r="X34" i="87"/>
  <c r="V34" i="87"/>
  <c r="AB34" i="87" s="1"/>
  <c r="AS25" i="83"/>
  <c r="AN39" i="31"/>
  <c r="AP39" i="31" s="1"/>
  <c r="AS39" i="31" s="1"/>
  <c r="AU32" i="83"/>
  <c r="AP32" i="83"/>
  <c r="AS32" i="83" s="1"/>
  <c r="AA48" i="83"/>
  <c r="AP24" i="85"/>
  <c r="BU33" i="87"/>
  <c r="BP33" i="87"/>
  <c r="O33" i="87"/>
  <c r="BU19" i="87"/>
  <c r="BU27" i="87"/>
  <c r="BP27" i="87"/>
  <c r="U24" i="87"/>
  <c r="W24" i="87"/>
  <c r="AY28" i="87"/>
  <c r="AY37" i="87" s="1"/>
  <c r="G24" i="87"/>
  <c r="BK17" i="87"/>
  <c r="BM17" i="87"/>
  <c r="BO17" i="87"/>
  <c r="V19" i="87"/>
  <c r="O30" i="87"/>
  <c r="BU30" i="87"/>
  <c r="G32" i="87"/>
  <c r="AP31" i="87"/>
  <c r="L31" i="87"/>
  <c r="G34" i="87"/>
  <c r="G35" i="87"/>
  <c r="AP33" i="87"/>
  <c r="AS33" i="87" s="1"/>
  <c r="AB27" i="87"/>
  <c r="X27" i="87"/>
  <c r="P36" i="87"/>
  <c r="U26" i="87"/>
  <c r="AU27" i="87"/>
  <c r="B8" i="88"/>
  <c r="B9" i="88" s="1"/>
  <c r="C25" i="86" l="1"/>
  <c r="C25" i="102"/>
  <c r="C13" i="102"/>
  <c r="O44" i="85"/>
  <c r="BW44" i="85" s="1"/>
  <c r="M25" i="30"/>
  <c r="BT25" i="30"/>
  <c r="BJ25" i="30"/>
  <c r="BL25" i="30"/>
  <c r="BY37" i="30"/>
  <c r="AE37" i="31"/>
  <c r="AS19" i="87"/>
  <c r="AP27" i="30"/>
  <c r="AS27" i="30" s="1"/>
  <c r="T40" i="30"/>
  <c r="BW40" i="30"/>
  <c r="BT37" i="85"/>
  <c r="N37" i="85"/>
  <c r="N42" i="85" s="1"/>
  <c r="M37" i="85"/>
  <c r="M42" i="85" s="1"/>
  <c r="BT37" i="30"/>
  <c r="BT42" i="30" s="1"/>
  <c r="BT27" i="30"/>
  <c r="M27" i="30"/>
  <c r="N48" i="85"/>
  <c r="W38" i="30"/>
  <c r="Y38" i="30" s="1"/>
  <c r="AD38" i="30" s="1"/>
  <c r="N29" i="85"/>
  <c r="P29" i="85" s="1"/>
  <c r="BW29" i="85" s="1"/>
  <c r="BL29" i="85"/>
  <c r="BJ29" i="85"/>
  <c r="BJ26" i="85"/>
  <c r="BL26" i="85"/>
  <c r="BL37" i="85"/>
  <c r="BJ37" i="85"/>
  <c r="BL27" i="30"/>
  <c r="BJ27" i="30"/>
  <c r="BL37" i="30"/>
  <c r="BL42" i="30" s="1"/>
  <c r="BJ37" i="30"/>
  <c r="BJ42" i="30" s="1"/>
  <c r="BA36" i="68"/>
  <c r="P28" i="30"/>
  <c r="T28" i="30" s="1"/>
  <c r="W24" i="30"/>
  <c r="Y24" i="30" s="1"/>
  <c r="U22" i="85"/>
  <c r="AA22" i="85" s="1"/>
  <c r="W24" i="85"/>
  <c r="Y24" i="85" s="1"/>
  <c r="AD24" i="85" s="1"/>
  <c r="Z24" i="30"/>
  <c r="AE24" i="30" s="1"/>
  <c r="AI24" i="30" s="1"/>
  <c r="AK24" i="30" s="1"/>
  <c r="AM24" i="30" s="1"/>
  <c r="X37" i="30"/>
  <c r="Z37" i="30" s="1"/>
  <c r="BA32" i="30"/>
  <c r="BA34" i="30" s="1"/>
  <c r="BA43" i="30" s="1"/>
  <c r="B14" i="102" s="1"/>
  <c r="AY34" i="30"/>
  <c r="AY43" i="30" s="1"/>
  <c r="AP23" i="30"/>
  <c r="AS23" i="30" s="1"/>
  <c r="L23" i="30"/>
  <c r="P41" i="30"/>
  <c r="G30" i="30"/>
  <c r="L30" i="30" s="1"/>
  <c r="AB37" i="30"/>
  <c r="Z25" i="30"/>
  <c r="AE25" i="30" s="1"/>
  <c r="AI25" i="30" s="1"/>
  <c r="AK25" i="30" s="1"/>
  <c r="AM25" i="30" s="1"/>
  <c r="X36" i="30"/>
  <c r="Z36" i="30" s="1"/>
  <c r="AE36" i="30" s="1"/>
  <c r="R36" i="85"/>
  <c r="U36" i="85" s="1"/>
  <c r="P37" i="85"/>
  <c r="L39" i="30"/>
  <c r="N39" i="30" s="1"/>
  <c r="N42" i="30" s="1"/>
  <c r="J51" i="85"/>
  <c r="BE47" i="85"/>
  <c r="BE50" i="85" s="1"/>
  <c r="BE51" i="85" s="1"/>
  <c r="B27" i="86" s="1"/>
  <c r="C27" i="86" s="1"/>
  <c r="G47" i="85"/>
  <c r="L47" i="85" s="1"/>
  <c r="O37" i="85"/>
  <c r="R37" i="85" s="1"/>
  <c r="BY37" i="85"/>
  <c r="BW36" i="85"/>
  <c r="AS46" i="32"/>
  <c r="AS26" i="32"/>
  <c r="AS42" i="83"/>
  <c r="Z22" i="30"/>
  <c r="AE25" i="85"/>
  <c r="Y39" i="30"/>
  <c r="Z32" i="87"/>
  <c r="Y31" i="85"/>
  <c r="AD31" i="85" s="1"/>
  <c r="AA36" i="31"/>
  <c r="AB37" i="83"/>
  <c r="AE37" i="83" s="1"/>
  <c r="AD23" i="87"/>
  <c r="W24" i="83"/>
  <c r="Y24" i="83" s="1"/>
  <c r="AD24" i="83" s="1"/>
  <c r="AD40" i="83"/>
  <c r="AA56" i="68"/>
  <c r="AD40" i="31"/>
  <c r="AS36" i="32"/>
  <c r="AE48" i="32"/>
  <c r="AD62" i="68"/>
  <c r="AB45" i="83"/>
  <c r="AE45" i="83" s="1"/>
  <c r="Y44" i="32"/>
  <c r="AD44" i="32" s="1"/>
  <c r="R20" i="68"/>
  <c r="R20" i="32"/>
  <c r="AE25" i="31"/>
  <c r="Y28" i="83"/>
  <c r="AD28" i="83" s="1"/>
  <c r="AD29" i="83"/>
  <c r="AD29" i="31"/>
  <c r="AE33" i="68"/>
  <c r="AE25" i="32"/>
  <c r="AI25" i="32" s="1"/>
  <c r="AM25" i="32" s="1"/>
  <c r="AE25" i="83"/>
  <c r="AA38" i="83"/>
  <c r="AD38" i="83" s="1"/>
  <c r="Y53" i="68"/>
  <c r="Y56" i="68" s="1"/>
  <c r="Y17" i="87"/>
  <c r="AD17" i="87" s="1"/>
  <c r="AB22" i="30"/>
  <c r="AB41" i="83"/>
  <c r="AE41" i="83" s="1"/>
  <c r="AE32" i="87"/>
  <c r="Y37" i="31"/>
  <c r="AD22" i="31"/>
  <c r="Z49" i="32"/>
  <c r="AE49" i="32" s="1"/>
  <c r="AB30" i="87"/>
  <c r="Z30" i="87"/>
  <c r="O22" i="83"/>
  <c r="BT22" i="83"/>
  <c r="BY22" i="83"/>
  <c r="BS20" i="87"/>
  <c r="W20" i="87"/>
  <c r="U20" i="87"/>
  <c r="AA20" i="87" s="1"/>
  <c r="BY25" i="30"/>
  <c r="O25" i="30"/>
  <c r="BW25" i="30" s="1"/>
  <c r="BO36" i="85"/>
  <c r="BQ36" i="85"/>
  <c r="BS36" i="85"/>
  <c r="L66" i="32"/>
  <c r="BJ22" i="83"/>
  <c r="O28" i="30"/>
  <c r="AD48" i="83"/>
  <c r="G40" i="31"/>
  <c r="K39" i="31"/>
  <c r="L39" i="31" s="1"/>
  <c r="AS50" i="68"/>
  <c r="AS56" i="68" s="1"/>
  <c r="AP56" i="68"/>
  <c r="O18" i="87"/>
  <c r="BP18" i="87"/>
  <c r="BU18" i="87"/>
  <c r="BO20" i="87"/>
  <c r="BM20" i="87"/>
  <c r="BK20" i="87"/>
  <c r="J46" i="83"/>
  <c r="K46" i="83" s="1"/>
  <c r="L46" i="83" s="1"/>
  <c r="I47" i="83"/>
  <c r="Z24" i="31"/>
  <c r="AE24" i="31" s="1"/>
  <c r="AI24" i="31" s="1"/>
  <c r="AK24" i="31" s="1"/>
  <c r="AM24" i="31" s="1"/>
  <c r="Z21" i="32"/>
  <c r="AE21" i="32" s="1"/>
  <c r="BW32" i="30"/>
  <c r="AB33" i="87"/>
  <c r="Z33" i="87"/>
  <c r="J30" i="68"/>
  <c r="BM30" i="68"/>
  <c r="BH30" i="68"/>
  <c r="O30" i="68"/>
  <c r="BK30" i="68" s="1"/>
  <c r="AY46" i="32"/>
  <c r="BA25" i="68"/>
  <c r="U28" i="31"/>
  <c r="Y28" i="31" s="1"/>
  <c r="Z50" i="32"/>
  <c r="AE50" i="32" s="1"/>
  <c r="BJ39" i="31"/>
  <c r="BH66" i="32"/>
  <c r="AA21" i="87"/>
  <c r="BO27" i="30"/>
  <c r="BS27" i="30"/>
  <c r="BQ27" i="30"/>
  <c r="O31" i="30"/>
  <c r="BQ30" i="83"/>
  <c r="BO30" i="83"/>
  <c r="BS30" i="83"/>
  <c r="P38" i="83"/>
  <c r="BW38" i="83" s="1"/>
  <c r="BY38" i="83"/>
  <c r="BJ38" i="83"/>
  <c r="BT38" i="83"/>
  <c r="AW66" i="32"/>
  <c r="AB29" i="32"/>
  <c r="AE29" i="32" s="1"/>
  <c r="AU31" i="68"/>
  <c r="AP31" i="68"/>
  <c r="AS31" i="68" s="1"/>
  <c r="BS25" i="31"/>
  <c r="BO25" i="31"/>
  <c r="BQ25" i="31"/>
  <c r="BQ38" i="30"/>
  <c r="BO38" i="30"/>
  <c r="BS38" i="30"/>
  <c r="AA60" i="32"/>
  <c r="AD60" i="32" s="1"/>
  <c r="Y64" i="32"/>
  <c r="AA64" i="32"/>
  <c r="AY25" i="68"/>
  <c r="BW40" i="83"/>
  <c r="Y41" i="68"/>
  <c r="AD41" i="68" s="1"/>
  <c r="AS30" i="68"/>
  <c r="BK48" i="32"/>
  <c r="O56" i="32"/>
  <c r="Y54" i="32"/>
  <c r="AD54" i="32" s="1"/>
  <c r="X36" i="87"/>
  <c r="BL39" i="31"/>
  <c r="W65" i="68"/>
  <c r="O19" i="87"/>
  <c r="BL46" i="83"/>
  <c r="BG19" i="87"/>
  <c r="BI19" i="87"/>
  <c r="BL50" i="85"/>
  <c r="AY26" i="32"/>
  <c r="BJ46" i="83"/>
  <c r="AE23" i="30"/>
  <c r="AI23" i="30" s="1"/>
  <c r="AD42" i="32"/>
  <c r="Y29" i="85"/>
  <c r="AD29" i="85" s="1"/>
  <c r="AE31" i="68"/>
  <c r="AS42" i="30"/>
  <c r="K37" i="83"/>
  <c r="L37" i="83" s="1"/>
  <c r="J42" i="83"/>
  <c r="AB24" i="83"/>
  <c r="AE24" i="83" s="1"/>
  <c r="AI24" i="83" s="1"/>
  <c r="AK24" i="83" s="1"/>
  <c r="AM24" i="83" s="1"/>
  <c r="V17" i="87"/>
  <c r="AB17" i="87" s="1"/>
  <c r="V35" i="87"/>
  <c r="AB35" i="87" s="1"/>
  <c r="W21" i="87"/>
  <c r="Y21" i="87" s="1"/>
  <c r="V20" i="87"/>
  <c r="Z20" i="87" s="1"/>
  <c r="BE21" i="68"/>
  <c r="BC21" i="68"/>
  <c r="U56" i="68"/>
  <c r="AA39" i="30"/>
  <c r="AY36" i="32"/>
  <c r="AY30" i="68"/>
  <c r="AY36" i="68" s="1"/>
  <c r="AD47" i="31"/>
  <c r="BS37" i="31"/>
  <c r="BS42" i="31" s="1"/>
  <c r="BQ37" i="31"/>
  <c r="BO37" i="31"/>
  <c r="BL27" i="31"/>
  <c r="P27" i="31"/>
  <c r="O27" i="31"/>
  <c r="BJ27" i="31"/>
  <c r="BY27" i="31"/>
  <c r="BT27" i="31"/>
  <c r="P49" i="85"/>
  <c r="L50" i="85"/>
  <c r="X39" i="31"/>
  <c r="BC29" i="68"/>
  <c r="BE29" i="68"/>
  <c r="BG29" i="68"/>
  <c r="AA63" i="68"/>
  <c r="AA65" i="68" s="1"/>
  <c r="Y63" i="68"/>
  <c r="Y22" i="30"/>
  <c r="AE20" i="32"/>
  <c r="BC35" i="68"/>
  <c r="BG35" i="68"/>
  <c r="BE35" i="68"/>
  <c r="BQ41" i="83"/>
  <c r="BS41" i="83"/>
  <c r="BO41" i="83"/>
  <c r="BW46" i="85"/>
  <c r="U46" i="85"/>
  <c r="AA46" i="85" s="1"/>
  <c r="W46" i="85"/>
  <c r="BW39" i="83"/>
  <c r="U39" i="83"/>
  <c r="AA39" i="83" s="1"/>
  <c r="W39" i="83"/>
  <c r="O26" i="85"/>
  <c r="P26" i="85"/>
  <c r="L42" i="85"/>
  <c r="R31" i="32"/>
  <c r="Y26" i="87"/>
  <c r="AA26" i="87"/>
  <c r="BU31" i="87"/>
  <c r="O31" i="87"/>
  <c r="BP31" i="87"/>
  <c r="BS30" i="87"/>
  <c r="R30" i="87"/>
  <c r="W30" i="87" s="1"/>
  <c r="BK27" i="87"/>
  <c r="BO27" i="87"/>
  <c r="BM27" i="87"/>
  <c r="G26" i="83"/>
  <c r="AW32" i="83"/>
  <c r="AW34" i="83" s="1"/>
  <c r="AW51" i="83" s="1"/>
  <c r="B13" i="84" s="1"/>
  <c r="AU34" i="83"/>
  <c r="AU51" i="83" s="1"/>
  <c r="AS31" i="87"/>
  <c r="AB19" i="87"/>
  <c r="Z19" i="87"/>
  <c r="BM33" i="87"/>
  <c r="BO33" i="87"/>
  <c r="BK33" i="87"/>
  <c r="AS24" i="85"/>
  <c r="AS38" i="31"/>
  <c r="J31" i="68"/>
  <c r="O31" i="68"/>
  <c r="BH31" i="68"/>
  <c r="BH36" i="68" s="1"/>
  <c r="BM31" i="68"/>
  <c r="L36" i="68"/>
  <c r="L23" i="68"/>
  <c r="L26" i="68" s="1"/>
  <c r="AP23" i="68"/>
  <c r="I48" i="31"/>
  <c r="J47" i="31"/>
  <c r="J42" i="68"/>
  <c r="P42" i="68"/>
  <c r="BC32" i="68"/>
  <c r="BE32" i="68"/>
  <c r="BG32" i="68"/>
  <c r="Y64" i="68"/>
  <c r="AD64" i="68" s="1"/>
  <c r="BJ50" i="85"/>
  <c r="BL50" i="83"/>
  <c r="BQ24" i="30"/>
  <c r="BS24" i="30"/>
  <c r="BO24" i="30"/>
  <c r="Y61" i="32"/>
  <c r="U65" i="32"/>
  <c r="BW26" i="30"/>
  <c r="BK23" i="32"/>
  <c r="O26" i="32"/>
  <c r="BK60" i="68"/>
  <c r="P65" i="68"/>
  <c r="AB38" i="30"/>
  <c r="AD36" i="31"/>
  <c r="P36" i="68"/>
  <c r="BW36" i="31"/>
  <c r="BY45" i="83"/>
  <c r="BT45" i="83"/>
  <c r="BT50" i="83" s="1"/>
  <c r="O45" i="83"/>
  <c r="BO23" i="85"/>
  <c r="BQ23" i="85"/>
  <c r="BS23" i="85"/>
  <c r="T29" i="31"/>
  <c r="R34" i="68"/>
  <c r="T36" i="83"/>
  <c r="T42" i="32"/>
  <c r="R29" i="32"/>
  <c r="BC33" i="87"/>
  <c r="L34" i="87"/>
  <c r="AP34" i="87"/>
  <c r="AS34" i="87" s="1"/>
  <c r="BC34" i="87"/>
  <c r="BE34" i="87" s="1"/>
  <c r="BS33" i="87"/>
  <c r="Z46" i="83"/>
  <c r="BE25" i="68"/>
  <c r="BG25" i="68"/>
  <c r="BC25" i="68"/>
  <c r="Y49" i="83"/>
  <c r="AP46" i="68"/>
  <c r="AS39" i="68"/>
  <c r="AS46" i="68" s="1"/>
  <c r="BO38" i="31"/>
  <c r="BS38" i="31"/>
  <c r="BQ38" i="31"/>
  <c r="AA24" i="31"/>
  <c r="AA23" i="83"/>
  <c r="Z27" i="87"/>
  <c r="AE27" i="87" s="1"/>
  <c r="AP35" i="87"/>
  <c r="AS35" i="87" s="1"/>
  <c r="L35" i="87"/>
  <c r="AP32" i="87"/>
  <c r="AS32" i="87" s="1"/>
  <c r="L32" i="87"/>
  <c r="L24" i="87"/>
  <c r="P24" i="87" s="1"/>
  <c r="G25" i="87"/>
  <c r="Y24" i="87"/>
  <c r="AA24" i="87"/>
  <c r="BK19" i="87"/>
  <c r="BO19" i="87"/>
  <c r="BM19" i="87"/>
  <c r="J22" i="68"/>
  <c r="O22" i="68"/>
  <c r="BM22" i="68"/>
  <c r="BH22" i="68"/>
  <c r="BA22" i="68"/>
  <c r="V39" i="31"/>
  <c r="J38" i="68"/>
  <c r="BH38" i="68"/>
  <c r="O38" i="68"/>
  <c r="L46" i="68"/>
  <c r="BM38" i="68"/>
  <c r="L23" i="31"/>
  <c r="AP23" i="31"/>
  <c r="BK32" i="68"/>
  <c r="Y45" i="68"/>
  <c r="AD45" i="68" s="1"/>
  <c r="Z28" i="68"/>
  <c r="AB28" i="68"/>
  <c r="AE38" i="68"/>
  <c r="AA22" i="30"/>
  <c r="BK52" i="32"/>
  <c r="P56" i="32"/>
  <c r="P26" i="32"/>
  <c r="AD58" i="68"/>
  <c r="BK35" i="68"/>
  <c r="BA38" i="68"/>
  <c r="AP45" i="31"/>
  <c r="L45" i="31"/>
  <c r="BW47" i="31"/>
  <c r="P26" i="31"/>
  <c r="O26" i="31"/>
  <c r="AE40" i="68"/>
  <c r="AA37" i="31"/>
  <c r="AD37" i="31" s="1"/>
  <c r="BS39" i="83"/>
  <c r="BO39" i="83"/>
  <c r="BQ39" i="83"/>
  <c r="AS45" i="83"/>
  <c r="AS50" i="83" s="1"/>
  <c r="AP50" i="83"/>
  <c r="L27" i="85"/>
  <c r="AP27" i="85"/>
  <c r="AS27" i="85" s="1"/>
  <c r="G28" i="85"/>
  <c r="T32" i="85"/>
  <c r="T59" i="68"/>
  <c r="T41" i="68"/>
  <c r="AE24" i="85"/>
  <c r="Y24" i="31"/>
  <c r="AA24" i="30"/>
  <c r="BA66" i="32"/>
  <c r="Y23" i="83"/>
  <c r="AU28" i="87"/>
  <c r="AU37" i="87" s="1"/>
  <c r="AW27" i="87"/>
  <c r="AW28" i="87" s="1"/>
  <c r="AW37" i="87" s="1"/>
  <c r="B13" i="88" s="1"/>
  <c r="G21" i="87"/>
  <c r="BM30" i="87"/>
  <c r="BK30" i="87"/>
  <c r="BO30" i="87"/>
  <c r="Z18" i="87"/>
  <c r="AE18" i="87" s="1"/>
  <c r="T53" i="32"/>
  <c r="T63" i="68"/>
  <c r="BG34" i="87"/>
  <c r="BK58" i="32"/>
  <c r="P65" i="32"/>
  <c r="T58" i="32"/>
  <c r="X58" i="32" s="1"/>
  <c r="BO36" i="30"/>
  <c r="BQ36" i="30"/>
  <c r="BS36" i="30"/>
  <c r="BY42" i="30"/>
  <c r="BW23" i="85"/>
  <c r="W23" i="85"/>
  <c r="U23" i="85"/>
  <c r="BO45" i="85"/>
  <c r="BQ45" i="85"/>
  <c r="BS45" i="85"/>
  <c r="BY50" i="85"/>
  <c r="R33" i="32"/>
  <c r="W21" i="32"/>
  <c r="U21" i="32"/>
  <c r="BS19" i="87"/>
  <c r="U19" i="87"/>
  <c r="AA19" i="87" s="1"/>
  <c r="W19" i="87"/>
  <c r="V36" i="87"/>
  <c r="Z34" i="87"/>
  <c r="AE34" i="87" s="1"/>
  <c r="AB46" i="83"/>
  <c r="P48" i="68"/>
  <c r="J48" i="68"/>
  <c r="J56" i="68" s="1"/>
  <c r="BH48" i="68"/>
  <c r="BH56" i="68" s="1"/>
  <c r="L56" i="68"/>
  <c r="BA48" i="68"/>
  <c r="BA56" i="68" s="1"/>
  <c r="T40" i="83"/>
  <c r="T52" i="68"/>
  <c r="R25" i="32"/>
  <c r="T44" i="32"/>
  <c r="R27" i="87"/>
  <c r="BK25" i="68"/>
  <c r="AB20" i="68"/>
  <c r="Z20" i="68"/>
  <c r="AA49" i="83"/>
  <c r="AD49" i="83" s="1"/>
  <c r="Z29" i="68"/>
  <c r="AE29" i="68" s="1"/>
  <c r="BH39" i="68"/>
  <c r="J39" i="68"/>
  <c r="BM39" i="68"/>
  <c r="O39" i="68"/>
  <c r="BA39" i="68"/>
  <c r="BK29" i="68"/>
  <c r="O36" i="68"/>
  <c r="BJ50" i="83"/>
  <c r="BG32" i="87"/>
  <c r="AY66" i="32"/>
  <c r="P39" i="30"/>
  <c r="T39" i="30" s="1"/>
  <c r="BW28" i="30"/>
  <c r="BE23" i="32"/>
  <c r="BE26" i="32" s="1"/>
  <c r="BE66" i="32" s="1"/>
  <c r="BG23" i="32"/>
  <c r="BG26" i="32" s="1"/>
  <c r="BG66" i="32" s="1"/>
  <c r="BC23" i="32"/>
  <c r="BC26" i="32" s="1"/>
  <c r="BM26" i="32"/>
  <c r="BM66" i="32" s="1"/>
  <c r="J66" i="32"/>
  <c r="Z38" i="30"/>
  <c r="AY38" i="68"/>
  <c r="AY46" i="68" s="1"/>
  <c r="AP46" i="31"/>
  <c r="AS46" i="31" s="1"/>
  <c r="K46" i="31"/>
  <c r="L46" i="31" s="1"/>
  <c r="BK62" i="68"/>
  <c r="BW25" i="83"/>
  <c r="BW41" i="83"/>
  <c r="U41" i="83"/>
  <c r="W41" i="83"/>
  <c r="BQ22" i="85"/>
  <c r="BP13" i="85" s="1"/>
  <c r="BS22" i="85"/>
  <c r="BS46" i="85"/>
  <c r="BO46" i="85"/>
  <c r="BQ46" i="85"/>
  <c r="U65" i="68"/>
  <c r="BW28" i="31"/>
  <c r="T28" i="31"/>
  <c r="X28" i="31" s="1"/>
  <c r="O50" i="85"/>
  <c r="W45" i="85"/>
  <c r="U45" i="85"/>
  <c r="AA45" i="85" s="1"/>
  <c r="BW45" i="85"/>
  <c r="T45" i="32"/>
  <c r="R40" i="68"/>
  <c r="W21" i="68"/>
  <c r="U21" i="68"/>
  <c r="AA21" i="68" s="1"/>
  <c r="T64" i="32"/>
  <c r="R36" i="30"/>
  <c r="U22" i="32"/>
  <c r="W22" i="32"/>
  <c r="R28" i="68"/>
  <c r="R29" i="30"/>
  <c r="W29" i="30" s="1"/>
  <c r="AD36" i="83"/>
  <c r="L30" i="85"/>
  <c r="BT30" i="85" s="1"/>
  <c r="G31" i="85"/>
  <c r="AP30" i="85"/>
  <c r="AS30" i="85" s="1"/>
  <c r="B24" i="86" l="1"/>
  <c r="C14" i="102"/>
  <c r="AE37" i="30"/>
  <c r="AD53" i="68"/>
  <c r="AD56" i="68" s="1"/>
  <c r="BS37" i="30"/>
  <c r="BS42" i="30" s="1"/>
  <c r="BO37" i="30"/>
  <c r="BO42" i="30" s="1"/>
  <c r="BQ37" i="30"/>
  <c r="Z39" i="31"/>
  <c r="Y65" i="32"/>
  <c r="AE22" i="30"/>
  <c r="AI22" i="30" s="1"/>
  <c r="AK22" i="30" s="1"/>
  <c r="AM22" i="30" s="1"/>
  <c r="BT23" i="30"/>
  <c r="M23" i="30"/>
  <c r="BL23" i="30"/>
  <c r="BJ23" i="30"/>
  <c r="BT30" i="30"/>
  <c r="N30" i="30"/>
  <c r="M30" i="30"/>
  <c r="M34" i="30" s="1"/>
  <c r="N47" i="85"/>
  <c r="N50" i="85" s="1"/>
  <c r="M42" i="30"/>
  <c r="M27" i="85"/>
  <c r="BT27" i="85"/>
  <c r="O27" i="30"/>
  <c r="BW27" i="30" s="1"/>
  <c r="P48" i="85"/>
  <c r="BW48" i="85" s="1"/>
  <c r="M30" i="85"/>
  <c r="BJ30" i="85"/>
  <c r="BL30" i="85"/>
  <c r="M34" i="85"/>
  <c r="M51" i="85" s="1"/>
  <c r="K31" i="85"/>
  <c r="L31" i="85" s="1"/>
  <c r="BL30" i="30"/>
  <c r="BJ30" i="30"/>
  <c r="P30" i="30"/>
  <c r="T30" i="30" s="1"/>
  <c r="X30" i="30" s="1"/>
  <c r="BL27" i="85"/>
  <c r="BJ27" i="85"/>
  <c r="Y22" i="85"/>
  <c r="AD22" i="85" s="1"/>
  <c r="AA36" i="85"/>
  <c r="J42" i="30"/>
  <c r="BW41" i="30"/>
  <c r="T41" i="30"/>
  <c r="X41" i="30" s="1"/>
  <c r="O23" i="30"/>
  <c r="BY23" i="30"/>
  <c r="AP30" i="30"/>
  <c r="G31" i="30"/>
  <c r="L31" i="30" s="1"/>
  <c r="W36" i="85"/>
  <c r="Y36" i="85" s="1"/>
  <c r="T37" i="85"/>
  <c r="V37" i="85" s="1"/>
  <c r="AB37" i="85" s="1"/>
  <c r="L42" i="30"/>
  <c r="BO37" i="85"/>
  <c r="BS37" i="85"/>
  <c r="BS42" i="85" s="1"/>
  <c r="BQ37" i="85"/>
  <c r="BW37" i="85"/>
  <c r="U37" i="85"/>
  <c r="AA37" i="85" s="1"/>
  <c r="W37" i="85"/>
  <c r="AS66" i="32"/>
  <c r="AD39" i="30"/>
  <c r="BA46" i="68"/>
  <c r="AE46" i="83"/>
  <c r="AE38" i="30"/>
  <c r="R40" i="32"/>
  <c r="W40" i="32" s="1"/>
  <c r="U20" i="32"/>
  <c r="AA20" i="32" s="1"/>
  <c r="W20" i="32"/>
  <c r="W20" i="68"/>
  <c r="U20" i="68"/>
  <c r="AA20" i="68" s="1"/>
  <c r="Y65" i="68"/>
  <c r="AD24" i="87"/>
  <c r="AD26" i="87"/>
  <c r="AE28" i="68"/>
  <c r="AD63" i="68"/>
  <c r="Y22" i="32"/>
  <c r="Y19" i="87"/>
  <c r="AD19" i="87" s="1"/>
  <c r="Y21" i="32"/>
  <c r="R38" i="32"/>
  <c r="U38" i="32" s="1"/>
  <c r="AA38" i="32" s="1"/>
  <c r="AA28" i="31"/>
  <c r="AE33" i="87"/>
  <c r="AE30" i="87"/>
  <c r="Z35" i="87"/>
  <c r="AE35" i="87" s="1"/>
  <c r="AD28" i="31"/>
  <c r="AB36" i="87"/>
  <c r="G41" i="31"/>
  <c r="K40" i="31"/>
  <c r="L40" i="31" s="1"/>
  <c r="AP40" i="31"/>
  <c r="AN40" i="31"/>
  <c r="T47" i="83"/>
  <c r="BQ22" i="83"/>
  <c r="BS22" i="83"/>
  <c r="BO22" i="83"/>
  <c r="T51" i="68"/>
  <c r="V51" i="68" s="1"/>
  <c r="T34" i="32"/>
  <c r="X34" i="32" s="1"/>
  <c r="T64" i="68"/>
  <c r="X64" i="68" s="1"/>
  <c r="T61" i="68"/>
  <c r="X61" i="68" s="1"/>
  <c r="Y45" i="85"/>
  <c r="AD45" i="85" s="1"/>
  <c r="V28" i="31"/>
  <c r="Z28" i="31" s="1"/>
  <c r="R25" i="83"/>
  <c r="W25" i="83" s="1"/>
  <c r="T62" i="68"/>
  <c r="V62" i="68" s="1"/>
  <c r="R28" i="30"/>
  <c r="R32" i="83"/>
  <c r="W32" i="83" s="1"/>
  <c r="R34" i="32"/>
  <c r="U34" i="32" s="1"/>
  <c r="AA34" i="32" s="1"/>
  <c r="R32" i="32"/>
  <c r="W32" i="32" s="1"/>
  <c r="T58" i="68"/>
  <c r="V58" i="68" s="1"/>
  <c r="T54" i="68"/>
  <c r="X54" i="68" s="1"/>
  <c r="BS50" i="85"/>
  <c r="V58" i="32"/>
  <c r="AE58" i="32" s="1"/>
  <c r="T53" i="68"/>
  <c r="V53" i="68" s="1"/>
  <c r="AD24" i="31"/>
  <c r="T60" i="32"/>
  <c r="V60" i="32" s="1"/>
  <c r="R25" i="30"/>
  <c r="W25" i="30" s="1"/>
  <c r="T51" i="32"/>
  <c r="X51" i="32" s="1"/>
  <c r="R44" i="85"/>
  <c r="U44" i="85" s="1"/>
  <c r="U50" i="85" s="1"/>
  <c r="T45" i="68"/>
  <c r="V45" i="68" s="1"/>
  <c r="AB45" i="68" s="1"/>
  <c r="R32" i="68"/>
  <c r="W32" i="68" s="1"/>
  <c r="R31" i="30"/>
  <c r="W31" i="30" s="1"/>
  <c r="X27" i="30"/>
  <c r="T38" i="83"/>
  <c r="V38" i="83" s="1"/>
  <c r="AB38" i="83" s="1"/>
  <c r="T55" i="68"/>
  <c r="V55" i="68" s="1"/>
  <c r="AB55" i="68" s="1"/>
  <c r="R49" i="32"/>
  <c r="W49" i="32" s="1"/>
  <c r="T44" i="68"/>
  <c r="V44" i="68" s="1"/>
  <c r="R26" i="30"/>
  <c r="AD61" i="32"/>
  <c r="T36" i="85"/>
  <c r="X36" i="85" s="1"/>
  <c r="AP36" i="68"/>
  <c r="P42" i="83"/>
  <c r="AD64" i="32"/>
  <c r="AW31" i="68"/>
  <c r="AW36" i="68" s="1"/>
  <c r="AW66" i="68" s="1"/>
  <c r="AU36" i="68"/>
  <c r="AU66" i="68" s="1"/>
  <c r="R23" i="68"/>
  <c r="R23" i="32"/>
  <c r="R24" i="68"/>
  <c r="R24" i="32"/>
  <c r="BS18" i="87"/>
  <c r="W18" i="87"/>
  <c r="U18" i="87"/>
  <c r="AA18" i="87" s="1"/>
  <c r="Y20" i="87"/>
  <c r="AD20" i="87" s="1"/>
  <c r="AD24" i="30"/>
  <c r="W32" i="30"/>
  <c r="T43" i="32"/>
  <c r="V43" i="32" s="1"/>
  <c r="AB43" i="32" s="1"/>
  <c r="R33" i="68"/>
  <c r="W33" i="68" s="1"/>
  <c r="T55" i="32"/>
  <c r="X55" i="32" s="1"/>
  <c r="R25" i="68"/>
  <c r="W25" i="68" s="1"/>
  <c r="T41" i="32"/>
  <c r="V41" i="32" s="1"/>
  <c r="T34" i="68"/>
  <c r="X34" i="68" s="1"/>
  <c r="R35" i="32"/>
  <c r="U35" i="32" s="1"/>
  <c r="AA35" i="32" s="1"/>
  <c r="W32" i="85"/>
  <c r="R28" i="32"/>
  <c r="U28" i="32" s="1"/>
  <c r="AA28" i="32" s="1"/>
  <c r="T35" i="32"/>
  <c r="V35" i="32" s="1"/>
  <c r="AB35" i="32" s="1"/>
  <c r="T29" i="83"/>
  <c r="V29" i="83" s="1"/>
  <c r="X26" i="30"/>
  <c r="BQ42" i="30"/>
  <c r="T62" i="32"/>
  <c r="V62" i="32" s="1"/>
  <c r="R30" i="68"/>
  <c r="U30" i="68" s="1"/>
  <c r="AA30" i="68" s="1"/>
  <c r="R37" i="30"/>
  <c r="W37" i="30" s="1"/>
  <c r="T43" i="68"/>
  <c r="X43" i="68" s="1"/>
  <c r="T30" i="31"/>
  <c r="X30" i="31" s="1"/>
  <c r="T38" i="31"/>
  <c r="X38" i="31" s="1"/>
  <c r="T23" i="32"/>
  <c r="T30" i="83"/>
  <c r="V30" i="83" s="1"/>
  <c r="T59" i="32"/>
  <c r="X59" i="32" s="1"/>
  <c r="T29" i="85"/>
  <c r="R44" i="83"/>
  <c r="U44" i="83" s="1"/>
  <c r="V32" i="30"/>
  <c r="R50" i="32"/>
  <c r="W50" i="32" s="1"/>
  <c r="T50" i="68"/>
  <c r="V50" i="68" s="1"/>
  <c r="AB50" i="68" s="1"/>
  <c r="T61" i="32"/>
  <c r="X61" i="32" s="1"/>
  <c r="T36" i="31"/>
  <c r="T35" i="68"/>
  <c r="V35" i="68" s="1"/>
  <c r="J36" i="68"/>
  <c r="AP34" i="85"/>
  <c r="AE19" i="87"/>
  <c r="R32" i="31"/>
  <c r="W32" i="31" s="1"/>
  <c r="Y39" i="83"/>
  <c r="AD39" i="83" s="1"/>
  <c r="BT37" i="83"/>
  <c r="BT42" i="83" s="1"/>
  <c r="BY37" i="83"/>
  <c r="O37" i="83"/>
  <c r="L42" i="83"/>
  <c r="AS36" i="68"/>
  <c r="Z17" i="87"/>
  <c r="AE17" i="87" s="1"/>
  <c r="AA65" i="32"/>
  <c r="J47" i="83"/>
  <c r="I48" i="83"/>
  <c r="BJ37" i="83"/>
  <c r="BJ42" i="83" s="1"/>
  <c r="U22" i="83"/>
  <c r="AA22" i="83" s="1"/>
  <c r="BW22" i="83"/>
  <c r="W22" i="83"/>
  <c r="Y22" i="83" s="1"/>
  <c r="AD21" i="87"/>
  <c r="Y21" i="68"/>
  <c r="AD21" i="68" s="1"/>
  <c r="T31" i="83"/>
  <c r="X31" i="83" s="1"/>
  <c r="R29" i="68"/>
  <c r="W29" i="68" s="1"/>
  <c r="R30" i="31"/>
  <c r="W30" i="31" s="1"/>
  <c r="R39" i="32"/>
  <c r="U39" i="32" s="1"/>
  <c r="T24" i="32"/>
  <c r="V24" i="32" s="1"/>
  <c r="AB24" i="32" s="1"/>
  <c r="T49" i="68"/>
  <c r="V49" i="68" s="1"/>
  <c r="AB49" i="68" s="1"/>
  <c r="T54" i="32"/>
  <c r="V54" i="32" s="1"/>
  <c r="AA21" i="32"/>
  <c r="R30" i="83"/>
  <c r="W30" i="83" s="1"/>
  <c r="T63" i="32"/>
  <c r="X63" i="32" s="1"/>
  <c r="T48" i="85"/>
  <c r="V48" i="85" s="1"/>
  <c r="V28" i="30"/>
  <c r="AB28" i="30" s="1"/>
  <c r="R25" i="31"/>
  <c r="U25" i="31" s="1"/>
  <c r="AA25" i="31" s="1"/>
  <c r="T47" i="31"/>
  <c r="R35" i="68"/>
  <c r="U35" i="68" s="1"/>
  <c r="T52" i="32"/>
  <c r="T32" i="31"/>
  <c r="V32" i="31" s="1"/>
  <c r="AB32" i="31" s="1"/>
  <c r="R33" i="87"/>
  <c r="R30" i="32"/>
  <c r="W30" i="32" s="1"/>
  <c r="R48" i="32"/>
  <c r="W48" i="32" s="1"/>
  <c r="T24" i="68"/>
  <c r="X24" i="68" s="1"/>
  <c r="T31" i="31"/>
  <c r="V31" i="31" s="1"/>
  <c r="AB31" i="31" s="1"/>
  <c r="T60" i="68"/>
  <c r="X60" i="68" s="1"/>
  <c r="U30" i="87"/>
  <c r="AA30" i="87" s="1"/>
  <c r="T32" i="83"/>
  <c r="X32" i="83" s="1"/>
  <c r="R44" i="31"/>
  <c r="W44" i="31" s="1"/>
  <c r="AB20" i="87"/>
  <c r="AE20" i="87" s="1"/>
  <c r="BQ38" i="83"/>
  <c r="BS38" i="83"/>
  <c r="BO38" i="83"/>
  <c r="BE30" i="68"/>
  <c r="BC30" i="68"/>
  <c r="BG30" i="68"/>
  <c r="O46" i="83"/>
  <c r="BY46" i="83"/>
  <c r="BM18" i="87"/>
  <c r="BK18" i="87"/>
  <c r="BO18" i="87"/>
  <c r="BY39" i="31"/>
  <c r="O39" i="31"/>
  <c r="BT39" i="31"/>
  <c r="BL37" i="83"/>
  <c r="BL42" i="83" s="1"/>
  <c r="BQ25" i="30"/>
  <c r="BS25" i="30"/>
  <c r="BO25" i="30"/>
  <c r="AS42" i="85"/>
  <c r="AP42" i="85"/>
  <c r="BL42" i="85"/>
  <c r="O27" i="85"/>
  <c r="P27" i="85"/>
  <c r="BY27" i="85"/>
  <c r="BC66" i="32"/>
  <c r="X45" i="32"/>
  <c r="V45" i="32"/>
  <c r="AB45" i="32" s="1"/>
  <c r="BL46" i="31"/>
  <c r="BY46" i="31"/>
  <c r="BJ46" i="31"/>
  <c r="O46" i="31"/>
  <c r="B27" i="56"/>
  <c r="J46" i="68"/>
  <c r="U29" i="32"/>
  <c r="AA29" i="32" s="1"/>
  <c r="W29" i="32"/>
  <c r="U34" i="68"/>
  <c r="AA34" i="68" s="1"/>
  <c r="W34" i="68"/>
  <c r="O66" i="32"/>
  <c r="BG31" i="68"/>
  <c r="BC31" i="68"/>
  <c r="BE31" i="68"/>
  <c r="BO31" i="87"/>
  <c r="BM31" i="87"/>
  <c r="BK31" i="87"/>
  <c r="BW26" i="85"/>
  <c r="R26" i="85"/>
  <c r="W26" i="85" s="1"/>
  <c r="U29" i="30"/>
  <c r="U28" i="68"/>
  <c r="AA28" i="68" s="1"/>
  <c r="W28" i="68"/>
  <c r="U36" i="30"/>
  <c r="AA36" i="30" s="1"/>
  <c r="W36" i="30"/>
  <c r="X40" i="30"/>
  <c r="V40" i="30"/>
  <c r="AB40" i="30" s="1"/>
  <c r="BK39" i="68"/>
  <c r="R39" i="68"/>
  <c r="U39" i="68" s="1"/>
  <c r="BO50" i="85"/>
  <c r="G22" i="87"/>
  <c r="L21" i="87"/>
  <c r="AI24" i="85"/>
  <c r="P34" i="31"/>
  <c r="T26" i="31"/>
  <c r="X26" i="31" s="1"/>
  <c r="L34" i="31"/>
  <c r="BL23" i="31"/>
  <c r="BL34" i="31" s="1"/>
  <c r="BT23" i="31"/>
  <c r="BT34" i="31" s="1"/>
  <c r="O23" i="31"/>
  <c r="BY23" i="31"/>
  <c r="BJ23" i="31"/>
  <c r="BJ34" i="31" s="1"/>
  <c r="BH46" i="68"/>
  <c r="BE22" i="68"/>
  <c r="BC22" i="68"/>
  <c r="BG22" i="68"/>
  <c r="BP32" i="87"/>
  <c r="O32" i="87"/>
  <c r="BU32" i="87"/>
  <c r="BI32" i="87"/>
  <c r="L36" i="87"/>
  <c r="AD23" i="83"/>
  <c r="BS45" i="83"/>
  <c r="BY50" i="83"/>
  <c r="BQ45" i="83"/>
  <c r="BO45" i="83"/>
  <c r="J23" i="68"/>
  <c r="BH23" i="68"/>
  <c r="BH26" i="68" s="1"/>
  <c r="P23" i="68"/>
  <c r="BM23" i="68"/>
  <c r="O23" i="68"/>
  <c r="BA23" i="68"/>
  <c r="BA26" i="68" s="1"/>
  <c r="AY23" i="68"/>
  <c r="AY26" i="68" s="1"/>
  <c r="AP36" i="87"/>
  <c r="G27" i="83"/>
  <c r="K26" i="83"/>
  <c r="L26" i="83"/>
  <c r="P42" i="85"/>
  <c r="BC36" i="68"/>
  <c r="P30" i="85"/>
  <c r="BY30" i="85"/>
  <c r="O30" i="85"/>
  <c r="R30" i="85" s="1"/>
  <c r="V59" i="68"/>
  <c r="X59" i="68"/>
  <c r="J26" i="68"/>
  <c r="J66" i="68" s="1"/>
  <c r="T24" i="87"/>
  <c r="V24" i="87" s="1"/>
  <c r="AB24" i="87" s="1"/>
  <c r="BS24" i="87"/>
  <c r="BU35" i="87"/>
  <c r="BP35" i="87"/>
  <c r="O35" i="87"/>
  <c r="BI35" i="87"/>
  <c r="BC36" i="87"/>
  <c r="BC37" i="87" s="1"/>
  <c r="BE33" i="87"/>
  <c r="BE36" i="87" s="1"/>
  <c r="BE37" i="87" s="1"/>
  <c r="B15" i="88" s="1"/>
  <c r="X42" i="32"/>
  <c r="V42" i="32"/>
  <c r="V29" i="31"/>
  <c r="AB29" i="31" s="1"/>
  <c r="X29" i="31"/>
  <c r="BG35" i="87"/>
  <c r="BG36" i="87" s="1"/>
  <c r="J48" i="31"/>
  <c r="I49" i="31"/>
  <c r="J49" i="31" s="1"/>
  <c r="K49" i="31" s="1"/>
  <c r="L49" i="31" s="1"/>
  <c r="P49" i="31" s="1"/>
  <c r="W31" i="32"/>
  <c r="U31" i="32"/>
  <c r="AA31" i="32" s="1"/>
  <c r="AA22" i="32"/>
  <c r="AA41" i="83"/>
  <c r="BG39" i="68"/>
  <c r="BE39" i="68"/>
  <c r="BC39" i="68"/>
  <c r="AE20" i="68"/>
  <c r="W27" i="87"/>
  <c r="U27" i="87"/>
  <c r="AA27" i="87" s="1"/>
  <c r="X44" i="32"/>
  <c r="V44" i="32"/>
  <c r="U25" i="32"/>
  <c r="AA25" i="32" s="1"/>
  <c r="W25" i="32"/>
  <c r="X52" i="68"/>
  <c r="V52" i="68"/>
  <c r="X40" i="83"/>
  <c r="V40" i="83"/>
  <c r="AB40" i="83" s="1"/>
  <c r="U33" i="32"/>
  <c r="AA33" i="32" s="1"/>
  <c r="W33" i="32"/>
  <c r="AA23" i="85"/>
  <c r="Y23" i="85"/>
  <c r="BJ42" i="85"/>
  <c r="V63" i="68"/>
  <c r="X63" i="68"/>
  <c r="X53" i="32"/>
  <c r="V53" i="32"/>
  <c r="C13" i="88"/>
  <c r="BJ45" i="31"/>
  <c r="BJ50" i="31" s="1"/>
  <c r="O45" i="31"/>
  <c r="BT45" i="31"/>
  <c r="BT50" i="31" s="1"/>
  <c r="BL45" i="31"/>
  <c r="BL50" i="31" s="1"/>
  <c r="BY45" i="31"/>
  <c r="AD65" i="68"/>
  <c r="P66" i="32"/>
  <c r="BM46" i="68"/>
  <c r="BC38" i="68"/>
  <c r="BC46" i="68" s="1"/>
  <c r="BE38" i="68"/>
  <c r="BG38" i="68"/>
  <c r="BG46" i="68" s="1"/>
  <c r="O26" i="68"/>
  <c r="BK22" i="68"/>
  <c r="R22" i="68"/>
  <c r="L25" i="87"/>
  <c r="G26" i="87"/>
  <c r="L26" i="87" s="1"/>
  <c r="P26" i="87" s="1"/>
  <c r="AP25" i="87"/>
  <c r="AS25" i="87" s="1"/>
  <c r="BP34" i="87"/>
  <c r="BP36" i="87" s="1"/>
  <c r="O34" i="87"/>
  <c r="BU34" i="87"/>
  <c r="BI34" i="87"/>
  <c r="O50" i="83"/>
  <c r="U45" i="83"/>
  <c r="W45" i="83"/>
  <c r="BW45" i="83"/>
  <c r="BK31" i="68"/>
  <c r="R31" i="68"/>
  <c r="AS34" i="85"/>
  <c r="BS31" i="87"/>
  <c r="R31" i="87"/>
  <c r="W31" i="87" s="1"/>
  <c r="T26" i="85"/>
  <c r="Y46" i="85"/>
  <c r="AD46" i="85" s="1"/>
  <c r="BG36" i="68"/>
  <c r="AB39" i="31"/>
  <c r="AE39" i="31" s="1"/>
  <c r="BW27" i="31"/>
  <c r="R27" i="31"/>
  <c r="W40" i="68"/>
  <c r="U40" i="68"/>
  <c r="AA40" i="68" s="1"/>
  <c r="BW39" i="30"/>
  <c r="P42" i="30"/>
  <c r="V39" i="30"/>
  <c r="V41" i="68"/>
  <c r="AB41" i="68" s="1"/>
  <c r="X41" i="68"/>
  <c r="X32" i="85"/>
  <c r="V32" i="85"/>
  <c r="L28" i="85"/>
  <c r="N28" i="85" s="1"/>
  <c r="AP50" i="31"/>
  <c r="AS45" i="31"/>
  <c r="AS50" i="31" s="1"/>
  <c r="X36" i="83"/>
  <c r="V36" i="83"/>
  <c r="BM36" i="68"/>
  <c r="T27" i="31"/>
  <c r="V27" i="31" s="1"/>
  <c r="AK23" i="30"/>
  <c r="W25" i="85"/>
  <c r="U25" i="85"/>
  <c r="X64" i="32"/>
  <c r="V64" i="32"/>
  <c r="Y41" i="83"/>
  <c r="P56" i="68"/>
  <c r="T48" i="68"/>
  <c r="X48" i="68" s="1"/>
  <c r="BK48" i="68"/>
  <c r="BQ50" i="85"/>
  <c r="BW26" i="31"/>
  <c r="R26" i="31"/>
  <c r="W26" i="31" s="1"/>
  <c r="AS23" i="31"/>
  <c r="AS34" i="31" s="1"/>
  <c r="AP34" i="31"/>
  <c r="O46" i="68"/>
  <c r="BK38" i="68"/>
  <c r="R38" i="68"/>
  <c r="L66" i="68"/>
  <c r="AD22" i="30"/>
  <c r="BK42" i="68"/>
  <c r="P46" i="68"/>
  <c r="T42" i="68"/>
  <c r="V42" i="68" s="1"/>
  <c r="AS23" i="68"/>
  <c r="AS26" i="68" s="1"/>
  <c r="AP26" i="68"/>
  <c r="AP66" i="68" s="1"/>
  <c r="AS36" i="87"/>
  <c r="C13" i="84"/>
  <c r="O36" i="87"/>
  <c r="BY42" i="85"/>
  <c r="BT42" i="85"/>
  <c r="BE36" i="68"/>
  <c r="BW49" i="85"/>
  <c r="T49" i="85"/>
  <c r="BO27" i="31"/>
  <c r="BS27" i="31"/>
  <c r="BQ27" i="31"/>
  <c r="AP51" i="85" l="1"/>
  <c r="R27" i="30"/>
  <c r="U27" i="30" s="1"/>
  <c r="AA27" i="30" s="1"/>
  <c r="M43" i="30"/>
  <c r="P47" i="85"/>
  <c r="N31" i="30"/>
  <c r="P31" i="30" s="1"/>
  <c r="P34" i="30" s="1"/>
  <c r="P43" i="30" s="1"/>
  <c r="BW37" i="30"/>
  <c r="O42" i="30"/>
  <c r="N31" i="85"/>
  <c r="P31" i="85" s="1"/>
  <c r="BW31" i="85" s="1"/>
  <c r="BL31" i="85"/>
  <c r="BJ31" i="85"/>
  <c r="P28" i="85"/>
  <c r="T28" i="85" s="1"/>
  <c r="X28" i="85" s="1"/>
  <c r="BJ28" i="85"/>
  <c r="BL28" i="85"/>
  <c r="BL34" i="85" s="1"/>
  <c r="BL51" i="85" s="1"/>
  <c r="B18" i="86" s="1"/>
  <c r="AD36" i="85"/>
  <c r="C24" i="102"/>
  <c r="BS23" i="30"/>
  <c r="BQ23" i="30"/>
  <c r="BO23" i="30"/>
  <c r="R23" i="30"/>
  <c r="W23" i="30" s="1"/>
  <c r="BW23" i="30"/>
  <c r="U23" i="30"/>
  <c r="BJ34" i="30"/>
  <c r="BJ43" i="30" s="1"/>
  <c r="B17" i="102" s="1"/>
  <c r="BT34" i="30"/>
  <c r="BT43" i="30" s="1"/>
  <c r="B22" i="102" s="1"/>
  <c r="C22" i="102" s="1"/>
  <c r="BL34" i="30"/>
  <c r="BL43" i="30" s="1"/>
  <c r="B18" i="102" s="1"/>
  <c r="C18" i="102" s="1"/>
  <c r="O30" i="30"/>
  <c r="BY30" i="30"/>
  <c r="L34" i="30"/>
  <c r="L43" i="30" s="1"/>
  <c r="AS30" i="30"/>
  <c r="AS34" i="30" s="1"/>
  <c r="AS43" i="30" s="1"/>
  <c r="B23" i="102" s="1"/>
  <c r="C23" i="102" s="1"/>
  <c r="AP34" i="30"/>
  <c r="AP43" i="30" s="1"/>
  <c r="T29" i="30"/>
  <c r="X29" i="30" s="1"/>
  <c r="X37" i="85"/>
  <c r="Z37" i="85" s="1"/>
  <c r="AE37" i="85" s="1"/>
  <c r="C17" i="102"/>
  <c r="Z36" i="87"/>
  <c r="Y37" i="85"/>
  <c r="AD37" i="85" s="1"/>
  <c r="U40" i="32"/>
  <c r="U46" i="32" s="1"/>
  <c r="O34" i="85"/>
  <c r="X53" i="68"/>
  <c r="Z53" i="68" s="1"/>
  <c r="V51" i="32"/>
  <c r="AB51" i="32" s="1"/>
  <c r="AD65" i="32"/>
  <c r="Y20" i="32"/>
  <c r="AD20" i="32" s="1"/>
  <c r="AB28" i="31"/>
  <c r="AE28" i="31" s="1"/>
  <c r="AS51" i="85"/>
  <c r="B23" i="86" s="1"/>
  <c r="C23" i="86" s="1"/>
  <c r="AE36" i="87"/>
  <c r="Y20" i="68"/>
  <c r="AD20" i="68" s="1"/>
  <c r="X45" i="68"/>
  <c r="Z45" i="68" s="1"/>
  <c r="AE45" i="68" s="1"/>
  <c r="U25" i="83"/>
  <c r="AA25" i="83" s="1"/>
  <c r="W44" i="85"/>
  <c r="W50" i="85" s="1"/>
  <c r="U25" i="30"/>
  <c r="AA25" i="30" s="1"/>
  <c r="X35" i="32"/>
  <c r="Z35" i="32" s="1"/>
  <c r="AE35" i="32" s="1"/>
  <c r="X62" i="68"/>
  <c r="AE62" i="68" s="1"/>
  <c r="V34" i="32"/>
  <c r="AB34" i="32" s="1"/>
  <c r="AB36" i="32" s="1"/>
  <c r="V27" i="30"/>
  <c r="AB27" i="30" s="1"/>
  <c r="W25" i="31"/>
  <c r="Y25" i="31" s="1"/>
  <c r="AD25" i="31" s="1"/>
  <c r="X38" i="83"/>
  <c r="X42" i="83" s="1"/>
  <c r="V34" i="68"/>
  <c r="Z34" i="68" s="1"/>
  <c r="U32" i="32"/>
  <c r="AA32" i="32" s="1"/>
  <c r="V30" i="30"/>
  <c r="Z30" i="30" s="1"/>
  <c r="Y18" i="87"/>
  <c r="AD18" i="87" s="1"/>
  <c r="X44" i="68"/>
  <c r="Z44" i="68" s="1"/>
  <c r="X29" i="83"/>
  <c r="Z29" i="83" s="1"/>
  <c r="U32" i="85"/>
  <c r="AA32" i="85" s="1"/>
  <c r="U30" i="32"/>
  <c r="AA30" i="32" s="1"/>
  <c r="AA36" i="32" s="1"/>
  <c r="V30" i="31"/>
  <c r="AB30" i="31" s="1"/>
  <c r="V24" i="68"/>
  <c r="AB24" i="68" s="1"/>
  <c r="V41" i="30"/>
  <c r="V42" i="30" s="1"/>
  <c r="V60" i="68"/>
  <c r="AE60" i="68" s="1"/>
  <c r="V31" i="83"/>
  <c r="AB31" i="83" s="1"/>
  <c r="U32" i="31"/>
  <c r="AA32" i="31" s="1"/>
  <c r="U37" i="30"/>
  <c r="Y37" i="30" s="1"/>
  <c r="X49" i="68"/>
  <c r="Z49" i="68" s="1"/>
  <c r="AE49" i="68" s="1"/>
  <c r="X51" i="68"/>
  <c r="Z51" i="68" s="1"/>
  <c r="W34" i="32"/>
  <c r="Y34" i="32" s="1"/>
  <c r="U31" i="30"/>
  <c r="AA31" i="30" s="1"/>
  <c r="X41" i="32"/>
  <c r="Z41" i="32" s="1"/>
  <c r="AD21" i="32"/>
  <c r="X24" i="32"/>
  <c r="Z24" i="32" s="1"/>
  <c r="AE24" i="32" s="1"/>
  <c r="X32" i="31"/>
  <c r="Z32" i="31" s="1"/>
  <c r="AE32" i="31" s="1"/>
  <c r="X31" i="31"/>
  <c r="Z31" i="31" s="1"/>
  <c r="AE31" i="31" s="1"/>
  <c r="V32" i="83"/>
  <c r="Z32" i="83" s="1"/>
  <c r="X62" i="32"/>
  <c r="AE62" i="32" s="1"/>
  <c r="U44" i="31"/>
  <c r="Y44" i="31" s="1"/>
  <c r="X32" i="30"/>
  <c r="Z32" i="30" s="1"/>
  <c r="V59" i="32"/>
  <c r="AE59" i="32" s="1"/>
  <c r="V38" i="31"/>
  <c r="Z38" i="31" s="1"/>
  <c r="U30" i="31"/>
  <c r="AA30" i="31" s="1"/>
  <c r="V55" i="32"/>
  <c r="AB55" i="32" s="1"/>
  <c r="W35" i="32"/>
  <c r="Y35" i="32" s="1"/>
  <c r="AD35" i="32" s="1"/>
  <c r="W30" i="68"/>
  <c r="Y30" i="68" s="1"/>
  <c r="AD30" i="68" s="1"/>
  <c r="U32" i="30"/>
  <c r="Y32" i="30" s="1"/>
  <c r="W38" i="32"/>
  <c r="Y38" i="32" s="1"/>
  <c r="X55" i="68"/>
  <c r="Z55" i="68" s="1"/>
  <c r="AE55" i="68" s="1"/>
  <c r="X35" i="68"/>
  <c r="Z35" i="68" s="1"/>
  <c r="X60" i="32"/>
  <c r="W28" i="32"/>
  <c r="Y28" i="32" s="1"/>
  <c r="U48" i="32"/>
  <c r="Y48" i="32" s="1"/>
  <c r="X28" i="30"/>
  <c r="Z28" i="30" s="1"/>
  <c r="AE28" i="30" s="1"/>
  <c r="V54" i="68"/>
  <c r="AB54" i="68" s="1"/>
  <c r="U50" i="32"/>
  <c r="AA50" i="32" s="1"/>
  <c r="V43" i="68"/>
  <c r="AB43" i="68" s="1"/>
  <c r="U30" i="83"/>
  <c r="Y30" i="83" s="1"/>
  <c r="X54" i="32"/>
  <c r="Z54" i="32" s="1"/>
  <c r="U25" i="68"/>
  <c r="AA25" i="68" s="1"/>
  <c r="AB35" i="68"/>
  <c r="AD22" i="32"/>
  <c r="V64" i="68"/>
  <c r="AE64" i="68" s="1"/>
  <c r="U32" i="83"/>
  <c r="AA32" i="83" s="1"/>
  <c r="V63" i="32"/>
  <c r="AE63" i="32" s="1"/>
  <c r="W39" i="32"/>
  <c r="Y39" i="32" s="1"/>
  <c r="X43" i="32"/>
  <c r="Z43" i="32" s="1"/>
  <c r="AE43" i="32" s="1"/>
  <c r="U49" i="32"/>
  <c r="AA49" i="32" s="1"/>
  <c r="X50" i="68"/>
  <c r="Z50" i="68" s="1"/>
  <c r="U32" i="68"/>
  <c r="AA32" i="68" s="1"/>
  <c r="V26" i="30"/>
  <c r="Z26" i="30" s="1"/>
  <c r="V46" i="32"/>
  <c r="V48" i="68"/>
  <c r="AB48" i="68" s="1"/>
  <c r="V61" i="68"/>
  <c r="AE61" i="68" s="1"/>
  <c r="AB30" i="83"/>
  <c r="X48" i="85"/>
  <c r="Z48" i="85" s="1"/>
  <c r="Y25" i="32"/>
  <c r="AD25" i="32" s="1"/>
  <c r="W35" i="68"/>
  <c r="Y35" i="68" s="1"/>
  <c r="V36" i="85"/>
  <c r="Z36" i="85" s="1"/>
  <c r="X30" i="83"/>
  <c r="Z30" i="83" s="1"/>
  <c r="V61" i="32"/>
  <c r="W44" i="83"/>
  <c r="Y44" i="83" s="1"/>
  <c r="U33" i="68"/>
  <c r="AA33" i="68" s="1"/>
  <c r="X58" i="68"/>
  <c r="AE63" i="68"/>
  <c r="Z52" i="68"/>
  <c r="AD41" i="83"/>
  <c r="AE64" i="32"/>
  <c r="Z40" i="83"/>
  <c r="AE40" i="83" s="1"/>
  <c r="Z29" i="31"/>
  <c r="AE29" i="31" s="1"/>
  <c r="AE59" i="68"/>
  <c r="Z40" i="30"/>
  <c r="AE40" i="30" s="1"/>
  <c r="Y30" i="87"/>
  <c r="AD30" i="87" s="1"/>
  <c r="W38" i="68"/>
  <c r="Z32" i="85"/>
  <c r="Y29" i="32"/>
  <c r="AD29" i="32" s="1"/>
  <c r="U38" i="68"/>
  <c r="AA38" i="68" s="1"/>
  <c r="AB32" i="85"/>
  <c r="X39" i="30"/>
  <c r="X42" i="30" s="1"/>
  <c r="Z42" i="32"/>
  <c r="X24" i="87"/>
  <c r="Z24" i="87" s="1"/>
  <c r="AE24" i="87" s="1"/>
  <c r="AA39" i="32"/>
  <c r="AB51" i="68"/>
  <c r="AD22" i="83"/>
  <c r="BU36" i="87"/>
  <c r="AB48" i="85"/>
  <c r="BS39" i="31"/>
  <c r="BQ39" i="31"/>
  <c r="BO39" i="31"/>
  <c r="BQ46" i="83"/>
  <c r="BS46" i="83"/>
  <c r="BO46" i="83"/>
  <c r="BO50" i="83" s="1"/>
  <c r="X47" i="31"/>
  <c r="V47" i="31"/>
  <c r="U29" i="68"/>
  <c r="AA29" i="68" s="1"/>
  <c r="BQ37" i="83"/>
  <c r="BQ42" i="83" s="1"/>
  <c r="BO37" i="83"/>
  <c r="BO42" i="83" s="1"/>
  <c r="BS37" i="83"/>
  <c r="BS42" i="83" s="1"/>
  <c r="BY42" i="83"/>
  <c r="V29" i="85"/>
  <c r="X29" i="85"/>
  <c r="X23" i="32"/>
  <c r="V23" i="32"/>
  <c r="U24" i="68"/>
  <c r="W24" i="68"/>
  <c r="AS40" i="31"/>
  <c r="Y40" i="68"/>
  <c r="AD40" i="68" s="1"/>
  <c r="AB42" i="32"/>
  <c r="BQ50" i="83"/>
  <c r="AB32" i="30"/>
  <c r="BW46" i="83"/>
  <c r="W46" i="83"/>
  <c r="U46" i="83"/>
  <c r="U50" i="83" s="1"/>
  <c r="W33" i="87"/>
  <c r="U33" i="87"/>
  <c r="X36" i="31"/>
  <c r="V36" i="31"/>
  <c r="W23" i="32"/>
  <c r="U23" i="32"/>
  <c r="AA23" i="32" s="1"/>
  <c r="BY40" i="31"/>
  <c r="P40" i="31"/>
  <c r="BJ40" i="31"/>
  <c r="BT40" i="31"/>
  <c r="BL40" i="31"/>
  <c r="AB27" i="31"/>
  <c r="AB41" i="32"/>
  <c r="X27" i="31"/>
  <c r="W27" i="31"/>
  <c r="Y33" i="32"/>
  <c r="AD33" i="32" s="1"/>
  <c r="Y27" i="87"/>
  <c r="AD27" i="87" s="1"/>
  <c r="AA44" i="83"/>
  <c r="W39" i="68"/>
  <c r="Y39" i="68" s="1"/>
  <c r="U39" i="31"/>
  <c r="W39" i="31"/>
  <c r="BW39" i="31"/>
  <c r="X52" i="32"/>
  <c r="V52" i="32"/>
  <c r="J48" i="83"/>
  <c r="I49" i="83"/>
  <c r="J49" i="83" s="1"/>
  <c r="K49" i="83" s="1"/>
  <c r="L49" i="83" s="1"/>
  <c r="P49" i="83" s="1"/>
  <c r="V47" i="83"/>
  <c r="AB47" i="83" s="1"/>
  <c r="X47" i="83"/>
  <c r="K41" i="31"/>
  <c r="L41" i="31" s="1"/>
  <c r="AN41" i="31"/>
  <c r="AP41" i="31" s="1"/>
  <c r="AS41" i="31" s="1"/>
  <c r="X42" i="68"/>
  <c r="V42" i="83"/>
  <c r="AB53" i="68"/>
  <c r="AB39" i="30"/>
  <c r="U27" i="31"/>
  <c r="AA27" i="31" s="1"/>
  <c r="AD23" i="85"/>
  <c r="AB52" i="68"/>
  <c r="BS50" i="83"/>
  <c r="BI36" i="87"/>
  <c r="V26" i="31"/>
  <c r="AB26" i="31" s="1"/>
  <c r="U26" i="85"/>
  <c r="Y26" i="85" s="1"/>
  <c r="Z45" i="32"/>
  <c r="AE45" i="32" s="1"/>
  <c r="W37" i="83"/>
  <c r="W42" i="83" s="1"/>
  <c r="U37" i="83"/>
  <c r="U42" i="83" s="1"/>
  <c r="BW37" i="83"/>
  <c r="O42" i="83"/>
  <c r="W24" i="32"/>
  <c r="U24" i="32"/>
  <c r="AA24" i="32" s="1"/>
  <c r="W26" i="30"/>
  <c r="U26" i="30"/>
  <c r="U28" i="30"/>
  <c r="AA28" i="30" s="1"/>
  <c r="W28" i="30"/>
  <c r="BH66" i="68"/>
  <c r="X49" i="85"/>
  <c r="AB44" i="68"/>
  <c r="V26" i="85"/>
  <c r="AB26" i="85" s="1"/>
  <c r="X26" i="85"/>
  <c r="W56" i="32"/>
  <c r="BS26" i="87"/>
  <c r="T26" i="87"/>
  <c r="V26" i="87" s="1"/>
  <c r="U22" i="68"/>
  <c r="BE46" i="68"/>
  <c r="BO45" i="31"/>
  <c r="BS45" i="31"/>
  <c r="BY50" i="31"/>
  <c r="BQ45" i="31"/>
  <c r="O50" i="31"/>
  <c r="BW45" i="31"/>
  <c r="W45" i="31"/>
  <c r="U45" i="31"/>
  <c r="AA45" i="31" s="1"/>
  <c r="AB53" i="32"/>
  <c r="Z44" i="32"/>
  <c r="AB44" i="32"/>
  <c r="O42" i="85"/>
  <c r="U42" i="85"/>
  <c r="W42" i="85"/>
  <c r="BW49" i="31"/>
  <c r="T49" i="31"/>
  <c r="V49" i="31" s="1"/>
  <c r="BS35" i="87"/>
  <c r="R35" i="87"/>
  <c r="U35" i="87" s="1"/>
  <c r="BW30" i="85"/>
  <c r="W30" i="85"/>
  <c r="P26" i="83"/>
  <c r="O26" i="83"/>
  <c r="BK23" i="68"/>
  <c r="U23" i="68"/>
  <c r="W23" i="68"/>
  <c r="BS32" i="87"/>
  <c r="R32" i="87"/>
  <c r="AP22" i="87"/>
  <c r="L22" i="87"/>
  <c r="G23" i="87"/>
  <c r="L23" i="87" s="1"/>
  <c r="P23" i="87" s="1"/>
  <c r="AA39" i="68"/>
  <c r="W42" i="30"/>
  <c r="BS46" i="31"/>
  <c r="BQ46" i="31"/>
  <c r="BO46" i="31"/>
  <c r="BW27" i="85"/>
  <c r="R27" i="85"/>
  <c r="W27" i="85" s="1"/>
  <c r="BK34" i="87"/>
  <c r="BO34" i="87"/>
  <c r="BM34" i="87"/>
  <c r="W22" i="68"/>
  <c r="AA35" i="68"/>
  <c r="Y25" i="85"/>
  <c r="AB36" i="83"/>
  <c r="AB42" i="83" s="1"/>
  <c r="BW28" i="85"/>
  <c r="AB42" i="68"/>
  <c r="AB29" i="83"/>
  <c r="AA25" i="85"/>
  <c r="AM23" i="30"/>
  <c r="Z36" i="83"/>
  <c r="U31" i="87"/>
  <c r="AA31" i="87" s="1"/>
  <c r="W31" i="68"/>
  <c r="Y45" i="83"/>
  <c r="AA45" i="83"/>
  <c r="P25" i="87"/>
  <c r="O25" i="87"/>
  <c r="BP25" i="87"/>
  <c r="BU25" i="87"/>
  <c r="BG25" i="87"/>
  <c r="BI25" i="87"/>
  <c r="O66" i="68"/>
  <c r="Z53" i="32"/>
  <c r="Y31" i="32"/>
  <c r="AD31" i="32" s="1"/>
  <c r="K48" i="31"/>
  <c r="L48" i="31" s="1"/>
  <c r="J50" i="31"/>
  <c r="J51" i="31" s="1"/>
  <c r="BG23" i="68"/>
  <c r="BC23" i="68"/>
  <c r="BC26" i="68" s="1"/>
  <c r="BE23" i="68"/>
  <c r="BE26" i="68" s="1"/>
  <c r="BE66" i="68" s="1"/>
  <c r="BO23" i="31"/>
  <c r="BO34" i="31" s="1"/>
  <c r="BQ23" i="31"/>
  <c r="BQ34" i="31" s="1"/>
  <c r="BY34" i="31"/>
  <c r="BS23" i="31"/>
  <c r="BS34" i="31" s="1"/>
  <c r="AK24" i="85"/>
  <c r="Y36" i="30"/>
  <c r="Y29" i="30"/>
  <c r="Y34" i="68"/>
  <c r="AD34" i="68" s="1"/>
  <c r="C27" i="56"/>
  <c r="B25" i="56"/>
  <c r="L34" i="85"/>
  <c r="L51" i="85" s="1"/>
  <c r="BT34" i="85"/>
  <c r="BT51" i="85" s="1"/>
  <c r="B22" i="86" s="1"/>
  <c r="AY66" i="68"/>
  <c r="P26" i="68"/>
  <c r="P66" i="68" s="1"/>
  <c r="T23" i="68"/>
  <c r="X23" i="68" s="1"/>
  <c r="X26" i="68" s="1"/>
  <c r="BG26" i="68"/>
  <c r="BG66" i="68" s="1"/>
  <c r="BA66" i="68"/>
  <c r="BW23" i="31"/>
  <c r="O34" i="31"/>
  <c r="W23" i="31"/>
  <c r="U23" i="31"/>
  <c r="AA23" i="31" s="1"/>
  <c r="AB54" i="32"/>
  <c r="BW46" i="31"/>
  <c r="U46" i="31"/>
  <c r="AA46" i="31" s="1"/>
  <c r="W46" i="31"/>
  <c r="BO27" i="85"/>
  <c r="BQ27" i="85"/>
  <c r="BS27" i="85"/>
  <c r="BY34" i="85"/>
  <c r="BY51" i="85" s="1"/>
  <c r="AA29" i="30"/>
  <c r="AS66" i="68"/>
  <c r="U31" i="68"/>
  <c r="AA31" i="68" s="1"/>
  <c r="C15" i="88"/>
  <c r="BK35" i="87"/>
  <c r="BM35" i="87"/>
  <c r="BO35" i="87"/>
  <c r="BQ30" i="85"/>
  <c r="BO30" i="85"/>
  <c r="BS30" i="85"/>
  <c r="K27" i="83"/>
  <c r="L27" i="83" s="1"/>
  <c r="AP27" i="83"/>
  <c r="G28" i="83"/>
  <c r="V49" i="85"/>
  <c r="AB49" i="85" s="1"/>
  <c r="U26" i="31"/>
  <c r="AA26" i="31" s="1"/>
  <c r="AA44" i="85"/>
  <c r="AA50" i="85" s="1"/>
  <c r="Z41" i="68"/>
  <c r="BS34" i="87"/>
  <c r="R34" i="87"/>
  <c r="BQ42" i="85"/>
  <c r="BO42" i="85"/>
  <c r="T30" i="85"/>
  <c r="X30" i="85" s="1"/>
  <c r="BO32" i="87"/>
  <c r="BM32" i="87"/>
  <c r="BM36" i="87" s="1"/>
  <c r="BK32" i="87"/>
  <c r="BK36" i="87" s="1"/>
  <c r="BM26" i="68"/>
  <c r="BM66" i="68" s="1"/>
  <c r="P21" i="87"/>
  <c r="L28" i="87"/>
  <c r="L37" i="87" s="1"/>
  <c r="Y28" i="68"/>
  <c r="BJ34" i="85"/>
  <c r="BJ51" i="85" s="1"/>
  <c r="B17" i="86" s="1"/>
  <c r="T27" i="85"/>
  <c r="W27" i="30" l="1"/>
  <c r="Y27" i="30" s="1"/>
  <c r="AD27" i="30" s="1"/>
  <c r="N34" i="30"/>
  <c r="N43" i="30" s="1"/>
  <c r="BW47" i="85"/>
  <c r="T47" i="85"/>
  <c r="P50" i="85"/>
  <c r="N34" i="85"/>
  <c r="N51" i="85" s="1"/>
  <c r="T31" i="85"/>
  <c r="P34" i="85"/>
  <c r="V29" i="30"/>
  <c r="AB29" i="30" s="1"/>
  <c r="Y23" i="30"/>
  <c r="AA23" i="30"/>
  <c r="R30" i="30"/>
  <c r="U30" i="30" s="1"/>
  <c r="O34" i="30"/>
  <c r="O43" i="30" s="1"/>
  <c r="B34" i="102" s="1"/>
  <c r="B36" i="102" s="1"/>
  <c r="BW30" i="30"/>
  <c r="J34" i="30"/>
  <c r="J43" i="30" s="1"/>
  <c r="B16" i="102"/>
  <c r="C16" i="102" s="1"/>
  <c r="T31" i="30"/>
  <c r="V31" i="30" s="1"/>
  <c r="V34" i="30" s="1"/>
  <c r="V43" i="30" s="1"/>
  <c r="BW31" i="30"/>
  <c r="BQ30" i="30"/>
  <c r="BQ34" i="30" s="1"/>
  <c r="BQ43" i="30" s="1"/>
  <c r="BS30" i="30"/>
  <c r="BS34" i="30" s="1"/>
  <c r="BS43" i="30" s="1"/>
  <c r="BO30" i="30"/>
  <c r="BO34" i="30" s="1"/>
  <c r="BO43" i="30" s="1"/>
  <c r="BY34" i="30"/>
  <c r="BY43" i="30" s="1"/>
  <c r="O51" i="85"/>
  <c r="B35" i="102" s="1"/>
  <c r="V36" i="68"/>
  <c r="AA40" i="32"/>
  <c r="AA46" i="32" s="1"/>
  <c r="Y40" i="32"/>
  <c r="X65" i="68"/>
  <c r="Y25" i="30"/>
  <c r="AD25" i="30" s="1"/>
  <c r="Z51" i="32"/>
  <c r="AE51" i="32" s="1"/>
  <c r="Z24" i="68"/>
  <c r="AE24" i="68" s="1"/>
  <c r="Y44" i="85"/>
  <c r="Y50" i="85" s="1"/>
  <c r="U42" i="30"/>
  <c r="U36" i="32"/>
  <c r="Y25" i="83"/>
  <c r="AD25" i="83" s="1"/>
  <c r="AB26" i="30"/>
  <c r="AE26" i="30" s="1"/>
  <c r="Z27" i="30"/>
  <c r="AE27" i="30" s="1"/>
  <c r="X36" i="32"/>
  <c r="AA30" i="83"/>
  <c r="AD30" i="83" s="1"/>
  <c r="V36" i="32"/>
  <c r="Y32" i="31"/>
  <c r="AD32" i="31" s="1"/>
  <c r="Y30" i="32"/>
  <c r="AD30" i="32" s="1"/>
  <c r="AB34" i="68"/>
  <c r="AB36" i="68" s="1"/>
  <c r="Z38" i="83"/>
  <c r="AE38" i="83" s="1"/>
  <c r="X46" i="68"/>
  <c r="AB30" i="30"/>
  <c r="AE30" i="30" s="1"/>
  <c r="Y32" i="85"/>
  <c r="AD32" i="85" s="1"/>
  <c r="Z41" i="30"/>
  <c r="AA48" i="32"/>
  <c r="AA56" i="32" s="1"/>
  <c r="Z34" i="32"/>
  <c r="AE34" i="32" s="1"/>
  <c r="U56" i="32"/>
  <c r="Y30" i="31"/>
  <c r="AD30" i="31" s="1"/>
  <c r="Y32" i="32"/>
  <c r="AD32" i="32" s="1"/>
  <c r="Z30" i="31"/>
  <c r="AE30" i="31" s="1"/>
  <c r="Y31" i="30"/>
  <c r="AD31" i="30" s="1"/>
  <c r="AE35" i="68"/>
  <c r="AB41" i="30"/>
  <c r="AB42" i="30" s="1"/>
  <c r="Y24" i="68"/>
  <c r="Y24" i="32"/>
  <c r="AD24" i="32" s="1"/>
  <c r="AA37" i="30"/>
  <c r="AA42" i="30" s="1"/>
  <c r="Z31" i="83"/>
  <c r="AE31" i="83" s="1"/>
  <c r="Z26" i="31"/>
  <c r="AE26" i="31" s="1"/>
  <c r="V56" i="68"/>
  <c r="AA44" i="31"/>
  <c r="AA50" i="31" s="1"/>
  <c r="Z36" i="68"/>
  <c r="Z48" i="68"/>
  <c r="AE48" i="68" s="1"/>
  <c r="Z42" i="68"/>
  <c r="AE42" i="68" s="1"/>
  <c r="X36" i="68"/>
  <c r="AB32" i="83"/>
  <c r="AE32" i="83" s="1"/>
  <c r="Z39" i="30"/>
  <c r="Y27" i="31"/>
  <c r="AD27" i="31" s="1"/>
  <c r="AE52" i="68"/>
  <c r="V56" i="32"/>
  <c r="Y49" i="32"/>
  <c r="AD49" i="32" s="1"/>
  <c r="X56" i="32"/>
  <c r="Z55" i="32"/>
  <c r="AE55" i="32" s="1"/>
  <c r="X34" i="31"/>
  <c r="AE42" i="32"/>
  <c r="W36" i="32"/>
  <c r="AB36" i="85"/>
  <c r="AE36" i="85" s="1"/>
  <c r="V42" i="85"/>
  <c r="W50" i="83"/>
  <c r="Y32" i="68"/>
  <c r="AD32" i="68" s="1"/>
  <c r="X26" i="32"/>
  <c r="AB46" i="32"/>
  <c r="AE30" i="83"/>
  <c r="X65" i="32"/>
  <c r="AE32" i="30"/>
  <c r="AA32" i="30"/>
  <c r="AD32" i="30" s="1"/>
  <c r="AE58" i="68"/>
  <c r="AE65" i="68" s="1"/>
  <c r="AE60" i="32"/>
  <c r="W34" i="31"/>
  <c r="Y50" i="32"/>
  <c r="AD50" i="32" s="1"/>
  <c r="AB38" i="31"/>
  <c r="AE38" i="31" s="1"/>
  <c r="V65" i="68"/>
  <c r="AB56" i="68"/>
  <c r="V46" i="68"/>
  <c r="AD28" i="32"/>
  <c r="Y25" i="68"/>
  <c r="AD25" i="68" s="1"/>
  <c r="AE36" i="83"/>
  <c r="Y32" i="83"/>
  <c r="AD32" i="83" s="1"/>
  <c r="Z43" i="68"/>
  <c r="AE43" i="68" s="1"/>
  <c r="Z54" i="68"/>
  <c r="AE54" i="68" s="1"/>
  <c r="X56" i="68"/>
  <c r="V65" i="32"/>
  <c r="AE32" i="85"/>
  <c r="V34" i="31"/>
  <c r="Z27" i="31"/>
  <c r="AE27" i="31" s="1"/>
  <c r="W46" i="32"/>
  <c r="AE61" i="32"/>
  <c r="AD39" i="32"/>
  <c r="AD35" i="68"/>
  <c r="X46" i="32"/>
  <c r="Y42" i="30"/>
  <c r="W36" i="68"/>
  <c r="AE50" i="68"/>
  <c r="AE53" i="68"/>
  <c r="Z46" i="32"/>
  <c r="X42" i="85"/>
  <c r="AE29" i="83"/>
  <c r="Y38" i="68"/>
  <c r="Y46" i="68" s="1"/>
  <c r="U46" i="68"/>
  <c r="W46" i="68"/>
  <c r="V23" i="68"/>
  <c r="V26" i="68" s="1"/>
  <c r="AB46" i="68"/>
  <c r="Z29" i="30"/>
  <c r="AE29" i="30" s="1"/>
  <c r="AE51" i="68"/>
  <c r="AE44" i="32"/>
  <c r="AE44" i="68"/>
  <c r="Z36" i="31"/>
  <c r="AE48" i="85"/>
  <c r="AD44" i="83"/>
  <c r="AA46" i="68"/>
  <c r="AD36" i="30"/>
  <c r="V30" i="85"/>
  <c r="Z30" i="85" s="1"/>
  <c r="Y33" i="68"/>
  <c r="AD33" i="68" s="1"/>
  <c r="AB34" i="31"/>
  <c r="Y29" i="68"/>
  <c r="AD29" i="68" s="1"/>
  <c r="AD25" i="85"/>
  <c r="AA37" i="83"/>
  <c r="AA42" i="83" s="1"/>
  <c r="Z52" i="32"/>
  <c r="AA24" i="68"/>
  <c r="Y37" i="83"/>
  <c r="W35" i="87"/>
  <c r="Y35" i="87" s="1"/>
  <c r="AD39" i="68"/>
  <c r="BT41" i="31"/>
  <c r="BT42" i="31" s="1"/>
  <c r="BT51" i="31" s="1"/>
  <c r="B23" i="56" s="1"/>
  <c r="O41" i="31"/>
  <c r="BY41" i="31"/>
  <c r="BL41" i="31"/>
  <c r="BJ41" i="31"/>
  <c r="L42" i="31"/>
  <c r="AA34" i="31"/>
  <c r="W34" i="85"/>
  <c r="W51" i="85" s="1"/>
  <c r="AE54" i="32"/>
  <c r="W50" i="31"/>
  <c r="U26" i="68"/>
  <c r="AE53" i="32"/>
  <c r="Y26" i="30"/>
  <c r="AA26" i="30"/>
  <c r="P42" i="31"/>
  <c r="T40" i="31"/>
  <c r="X40" i="31" s="1"/>
  <c r="X42" i="31" s="1"/>
  <c r="BW40" i="31"/>
  <c r="Y46" i="83"/>
  <c r="Y50" i="83" s="1"/>
  <c r="AA46" i="83"/>
  <c r="AA50" i="83" s="1"/>
  <c r="Z47" i="31"/>
  <c r="AB47" i="31"/>
  <c r="BQ34" i="85"/>
  <c r="BQ51" i="85" s="1"/>
  <c r="Y46" i="31"/>
  <c r="AD46" i="31" s="1"/>
  <c r="AD45" i="83"/>
  <c r="W26" i="68"/>
  <c r="Y23" i="68"/>
  <c r="X49" i="31"/>
  <c r="Z49" i="31" s="1"/>
  <c r="AA42" i="85"/>
  <c r="Z42" i="85"/>
  <c r="Y28" i="30"/>
  <c r="AD28" i="30" s="1"/>
  <c r="BW49" i="83"/>
  <c r="T49" i="83"/>
  <c r="AB52" i="32"/>
  <c r="AA39" i="31"/>
  <c r="Y39" i="31"/>
  <c r="BL42" i="31"/>
  <c r="BL51" i="31" s="1"/>
  <c r="B19" i="56" s="1"/>
  <c r="C19" i="56" s="1"/>
  <c r="BO40" i="31"/>
  <c r="BQ40" i="31"/>
  <c r="BS40" i="31"/>
  <c r="Y23" i="32"/>
  <c r="U26" i="32"/>
  <c r="AP42" i="31"/>
  <c r="AP51" i="31" s="1"/>
  <c r="Z29" i="85"/>
  <c r="AB29" i="85"/>
  <c r="AA26" i="85"/>
  <c r="AD26" i="85" s="1"/>
  <c r="AA36" i="68"/>
  <c r="Y45" i="31"/>
  <c r="BO50" i="31"/>
  <c r="K48" i="83"/>
  <c r="L48" i="83" s="1"/>
  <c r="J50" i="83"/>
  <c r="J51" i="83" s="1"/>
  <c r="W26" i="32"/>
  <c r="Y33" i="87"/>
  <c r="AA33" i="87"/>
  <c r="AS42" i="31"/>
  <c r="AS51" i="31" s="1"/>
  <c r="B24" i="56" s="1"/>
  <c r="C24" i="56" s="1"/>
  <c r="Z23" i="32"/>
  <c r="AB23" i="32"/>
  <c r="AB26" i="32" s="1"/>
  <c r="V26" i="32"/>
  <c r="Z47" i="83"/>
  <c r="AE47" i="83" s="1"/>
  <c r="BJ42" i="31"/>
  <c r="BJ51" i="31" s="1"/>
  <c r="B18" i="56" s="1"/>
  <c r="B17" i="56" s="1"/>
  <c r="AA26" i="32"/>
  <c r="AB36" i="31"/>
  <c r="BY42" i="31"/>
  <c r="BY51" i="31" s="1"/>
  <c r="AB49" i="31"/>
  <c r="P27" i="83"/>
  <c r="BY27" i="83"/>
  <c r="BT27" i="83"/>
  <c r="BT34" i="83" s="1"/>
  <c r="BT51" i="83" s="1"/>
  <c r="B23" i="84" s="1"/>
  <c r="O27" i="83"/>
  <c r="B27" i="84"/>
  <c r="BJ27" i="83"/>
  <c r="BJ34" i="83" s="1"/>
  <c r="BJ51" i="83" s="1"/>
  <c r="B18" i="84" s="1"/>
  <c r="BL27" i="83"/>
  <c r="BL34" i="83" s="1"/>
  <c r="BL51" i="83" s="1"/>
  <c r="B19" i="84" s="1"/>
  <c r="U36" i="68"/>
  <c r="BC66" i="68"/>
  <c r="BO36" i="87"/>
  <c r="X27" i="85"/>
  <c r="AA22" i="68"/>
  <c r="U34" i="87"/>
  <c r="AA34" i="87" s="1"/>
  <c r="Z26" i="85"/>
  <c r="AE26" i="85" s="1"/>
  <c r="AS27" i="83"/>
  <c r="AS34" i="83" s="1"/>
  <c r="AS51" i="83" s="1"/>
  <c r="B24" i="84" s="1"/>
  <c r="AP34" i="83"/>
  <c r="AP51" i="83" s="1"/>
  <c r="Y26" i="31"/>
  <c r="AD26" i="31" s="1"/>
  <c r="AD38" i="32"/>
  <c r="AM24" i="85"/>
  <c r="AE41" i="32"/>
  <c r="V28" i="85"/>
  <c r="Z28" i="85" s="1"/>
  <c r="U27" i="85"/>
  <c r="Y27" i="85" s="1"/>
  <c r="AD29" i="30"/>
  <c r="O22" i="87"/>
  <c r="BP22" i="87"/>
  <c r="BP28" i="87" s="1"/>
  <c r="BP37" i="87" s="1"/>
  <c r="B22" i="88" s="1"/>
  <c r="P22" i="87"/>
  <c r="BU22" i="87"/>
  <c r="B26" i="88"/>
  <c r="BG22" i="87"/>
  <c r="BG28" i="87" s="1"/>
  <c r="BG37" i="87" s="1"/>
  <c r="B18" i="88" s="1"/>
  <c r="BI22" i="87"/>
  <c r="BI28" i="87" s="1"/>
  <c r="BI37" i="87" s="1"/>
  <c r="B19" i="88" s="1"/>
  <c r="C18" i="56"/>
  <c r="U32" i="87"/>
  <c r="AA32" i="87" s="1"/>
  <c r="AA35" i="87"/>
  <c r="BS50" i="31"/>
  <c r="BS51" i="31" s="1"/>
  <c r="AB26" i="87"/>
  <c r="AD28" i="68"/>
  <c r="AD34" i="32"/>
  <c r="BO34" i="85"/>
  <c r="BO51" i="85" s="1"/>
  <c r="U34" i="31"/>
  <c r="C22" i="86"/>
  <c r="V27" i="85"/>
  <c r="C17" i="86"/>
  <c r="B16" i="86"/>
  <c r="W34" i="87"/>
  <c r="U50" i="31"/>
  <c r="C18" i="86"/>
  <c r="T25" i="87"/>
  <c r="X25" i="87" s="1"/>
  <c r="Y31" i="68"/>
  <c r="AD31" i="68" s="1"/>
  <c r="W32" i="87"/>
  <c r="AA23" i="68"/>
  <c r="BW26" i="83"/>
  <c r="R26" i="83"/>
  <c r="W26" i="83" s="1"/>
  <c r="O34" i="83"/>
  <c r="O51" i="83" s="1"/>
  <c r="U30" i="85"/>
  <c r="BQ50" i="31"/>
  <c r="X26" i="87"/>
  <c r="Z26" i="87" s="1"/>
  <c r="C23" i="56"/>
  <c r="C25" i="56"/>
  <c r="BS25" i="87"/>
  <c r="R25" i="87"/>
  <c r="W25" i="87" s="1"/>
  <c r="C24" i="86"/>
  <c r="AS22" i="87"/>
  <c r="AS28" i="87" s="1"/>
  <c r="AS37" i="87" s="1"/>
  <c r="B23" i="88" s="1"/>
  <c r="AP28" i="87"/>
  <c r="AP37" i="87" s="1"/>
  <c r="BS21" i="87"/>
  <c r="P28" i="87"/>
  <c r="P37" i="87" s="1"/>
  <c r="T21" i="87"/>
  <c r="V21" i="87" s="1"/>
  <c r="AB21" i="87" s="1"/>
  <c r="K28" i="83"/>
  <c r="L28" i="83" s="1"/>
  <c r="BS34" i="85"/>
  <c r="BS51" i="85" s="1"/>
  <c r="Y23" i="31"/>
  <c r="P48" i="31"/>
  <c r="L50" i="31"/>
  <c r="L51" i="31" s="1"/>
  <c r="BO25" i="87"/>
  <c r="BM25" i="87"/>
  <c r="BK25" i="87"/>
  <c r="Y31" i="87"/>
  <c r="AD31" i="87" s="1"/>
  <c r="AE41" i="68"/>
  <c r="Z49" i="85"/>
  <c r="BS23" i="87"/>
  <c r="T23" i="87"/>
  <c r="X23" i="87" s="1"/>
  <c r="T26" i="83"/>
  <c r="X26" i="83" s="1"/>
  <c r="Y22" i="68"/>
  <c r="P51" i="85" l="1"/>
  <c r="B34" i="86" s="1"/>
  <c r="B36" i="86" s="1"/>
  <c r="V47" i="85"/>
  <c r="X47" i="85"/>
  <c r="X31" i="85"/>
  <c r="X34" i="85" s="1"/>
  <c r="V31" i="85"/>
  <c r="V34" i="85" s="1"/>
  <c r="B21" i="102"/>
  <c r="W30" i="30"/>
  <c r="W34" i="30" s="1"/>
  <c r="W43" i="30" s="1"/>
  <c r="AA30" i="30"/>
  <c r="U34" i="30"/>
  <c r="U43" i="30" s="1"/>
  <c r="AD23" i="30"/>
  <c r="X31" i="30"/>
  <c r="AB31" i="30"/>
  <c r="AB34" i="30" s="1"/>
  <c r="AB43" i="30" s="1"/>
  <c r="Y30" i="30"/>
  <c r="Y34" i="30" s="1"/>
  <c r="Y43" i="30" s="1"/>
  <c r="AD23" i="68"/>
  <c r="AD40" i="32"/>
  <c r="AD46" i="32" s="1"/>
  <c r="Y46" i="32"/>
  <c r="Y50" i="31"/>
  <c r="AD48" i="32"/>
  <c r="AD56" i="32" s="1"/>
  <c r="AD24" i="68"/>
  <c r="AD44" i="85"/>
  <c r="AD50" i="85" s="1"/>
  <c r="AE42" i="83"/>
  <c r="Z42" i="30"/>
  <c r="AB42" i="85"/>
  <c r="Y26" i="32"/>
  <c r="Z42" i="83"/>
  <c r="U66" i="32"/>
  <c r="Y36" i="32"/>
  <c r="Z23" i="68"/>
  <c r="Z26" i="68" s="1"/>
  <c r="AE41" i="30"/>
  <c r="AE34" i="68"/>
  <c r="AE36" i="68" s="1"/>
  <c r="AD36" i="32"/>
  <c r="AD44" i="31"/>
  <c r="AD37" i="30"/>
  <c r="AD42" i="30" s="1"/>
  <c r="Z36" i="32"/>
  <c r="Y26" i="68"/>
  <c r="AD38" i="68"/>
  <c r="AD46" i="68" s="1"/>
  <c r="X66" i="68"/>
  <c r="Y56" i="32"/>
  <c r="AD45" i="31"/>
  <c r="AA34" i="30"/>
  <c r="AA43" i="30" s="1"/>
  <c r="AE39" i="30"/>
  <c r="Z34" i="31"/>
  <c r="AB23" i="68"/>
  <c r="AB26" i="68" s="1"/>
  <c r="AB66" i="68" s="1"/>
  <c r="Z56" i="32"/>
  <c r="AE65" i="32"/>
  <c r="U66" i="68"/>
  <c r="AE36" i="31"/>
  <c r="X66" i="32"/>
  <c r="V66" i="32"/>
  <c r="AB30" i="85"/>
  <c r="AE30" i="85" s="1"/>
  <c r="AE34" i="31"/>
  <c r="V66" i="68"/>
  <c r="AA27" i="85"/>
  <c r="AD27" i="85" s="1"/>
  <c r="W66" i="32"/>
  <c r="Z46" i="68"/>
  <c r="Z56" i="68"/>
  <c r="AB28" i="85"/>
  <c r="AE28" i="85" s="1"/>
  <c r="AE26" i="87"/>
  <c r="W66" i="68"/>
  <c r="AE56" i="68"/>
  <c r="AE23" i="32"/>
  <c r="AE26" i="32" s="1"/>
  <c r="U36" i="87"/>
  <c r="Y32" i="87"/>
  <c r="AD32" i="87" s="1"/>
  <c r="AE29" i="85"/>
  <c r="AE52" i="32"/>
  <c r="AE56" i="32" s="1"/>
  <c r="AD35" i="87"/>
  <c r="AA66" i="32"/>
  <c r="W36" i="87"/>
  <c r="Z27" i="85"/>
  <c r="Y34" i="31"/>
  <c r="AB56" i="32"/>
  <c r="AB66" i="32" s="1"/>
  <c r="Z26" i="32"/>
  <c r="AE47" i="31"/>
  <c r="AD37" i="83"/>
  <c r="AD42" i="83" s="1"/>
  <c r="Y42" i="83"/>
  <c r="U26" i="83"/>
  <c r="AA26" i="83" s="1"/>
  <c r="AA36" i="87"/>
  <c r="AE49" i="31"/>
  <c r="AD33" i="87"/>
  <c r="AD23" i="32"/>
  <c r="AD26" i="32" s="1"/>
  <c r="V49" i="83"/>
  <c r="BO41" i="31"/>
  <c r="BO42" i="31" s="1"/>
  <c r="BO51" i="31" s="1"/>
  <c r="BQ41" i="31"/>
  <c r="BQ42" i="31" s="1"/>
  <c r="BS41" i="31"/>
  <c r="BQ51" i="31"/>
  <c r="B22" i="56" s="1"/>
  <c r="Y34" i="87"/>
  <c r="X49" i="83"/>
  <c r="AD26" i="30"/>
  <c r="BW41" i="31"/>
  <c r="U41" i="31"/>
  <c r="U42" i="31" s="1"/>
  <c r="U51" i="31" s="1"/>
  <c r="W41" i="31"/>
  <c r="W42" i="31" s="1"/>
  <c r="W51" i="31" s="1"/>
  <c r="O42" i="31"/>
  <c r="O51" i="31" s="1"/>
  <c r="AD39" i="31"/>
  <c r="P48" i="83"/>
  <c r="L50" i="83"/>
  <c r="AD46" i="83"/>
  <c r="AD50" i="83" s="1"/>
  <c r="V40" i="31"/>
  <c r="P28" i="83"/>
  <c r="L34" i="83"/>
  <c r="L51" i="83" s="1"/>
  <c r="V26" i="83"/>
  <c r="BW48" i="31"/>
  <c r="T48" i="31"/>
  <c r="X48" i="31" s="1"/>
  <c r="X50" i="31" s="1"/>
  <c r="X51" i="31" s="1"/>
  <c r="P50" i="31"/>
  <c r="P51" i="31" s="1"/>
  <c r="B36" i="56" s="1"/>
  <c r="U25" i="87"/>
  <c r="Y25" i="87" s="1"/>
  <c r="AA30" i="85"/>
  <c r="Y30" i="85"/>
  <c r="Y34" i="85" s="1"/>
  <c r="V25" i="87"/>
  <c r="Z25" i="87" s="1"/>
  <c r="AD36" i="68"/>
  <c r="C19" i="88"/>
  <c r="T22" i="87"/>
  <c r="V22" i="87" s="1"/>
  <c r="AB22" i="87" s="1"/>
  <c r="U34" i="85"/>
  <c r="U51" i="85" s="1"/>
  <c r="AE49" i="85"/>
  <c r="AD22" i="68"/>
  <c r="AB27" i="85"/>
  <c r="AE36" i="32"/>
  <c r="C18" i="84"/>
  <c r="B17" i="84"/>
  <c r="BQ27" i="83"/>
  <c r="BQ34" i="83" s="1"/>
  <c r="BQ51" i="83" s="1"/>
  <c r="BO27" i="83"/>
  <c r="BO34" i="83" s="1"/>
  <c r="BO51" i="83" s="1"/>
  <c r="B22" i="84" s="1"/>
  <c r="BS27" i="83"/>
  <c r="BS34" i="83" s="1"/>
  <c r="BS51" i="83" s="1"/>
  <c r="BY34" i="83"/>
  <c r="BY51" i="83" s="1"/>
  <c r="V23" i="87"/>
  <c r="B21" i="86"/>
  <c r="C18" i="88"/>
  <c r="B17" i="88"/>
  <c r="C22" i="88"/>
  <c r="AE46" i="32"/>
  <c r="C27" i="84"/>
  <c r="B25" i="84"/>
  <c r="T27" i="83"/>
  <c r="V27" i="83" s="1"/>
  <c r="C17" i="56"/>
  <c r="B24" i="88"/>
  <c r="C26" i="88"/>
  <c r="BS22" i="87"/>
  <c r="R22" i="87"/>
  <c r="O28" i="87"/>
  <c r="O37" i="87" s="1"/>
  <c r="B34" i="88" s="1"/>
  <c r="C24" i="84"/>
  <c r="AA26" i="68"/>
  <c r="AA66" i="68" s="1"/>
  <c r="Y36" i="68"/>
  <c r="BW27" i="83"/>
  <c r="R27" i="83"/>
  <c r="Y42" i="85"/>
  <c r="AE46" i="68"/>
  <c r="AD23" i="31"/>
  <c r="X21" i="87"/>
  <c r="Z21" i="87" s="1"/>
  <c r="C23" i="88"/>
  <c r="AE42" i="85"/>
  <c r="C16" i="86"/>
  <c r="BO22" i="87"/>
  <c r="BO28" i="87" s="1"/>
  <c r="BO37" i="87" s="1"/>
  <c r="BK22" i="87"/>
  <c r="BK28" i="87" s="1"/>
  <c r="BK37" i="87" s="1"/>
  <c r="BM22" i="87"/>
  <c r="BM28" i="87" s="1"/>
  <c r="BM37" i="87" s="1"/>
  <c r="BU28" i="87"/>
  <c r="BU37" i="87" s="1"/>
  <c r="C19" i="84"/>
  <c r="C23" i="84"/>
  <c r="B35" i="86" l="1"/>
  <c r="AB47" i="85"/>
  <c r="AB50" i="85" s="1"/>
  <c r="V50" i="85"/>
  <c r="V51" i="85" s="1"/>
  <c r="Z47" i="85"/>
  <c r="Z50" i="85" s="1"/>
  <c r="X50" i="85"/>
  <c r="X51" i="85" s="1"/>
  <c r="AB31" i="85"/>
  <c r="Z31" i="85"/>
  <c r="B20" i="102"/>
  <c r="C21" i="102"/>
  <c r="AD30" i="30"/>
  <c r="AD34" i="30" s="1"/>
  <c r="AD43" i="30" s="1"/>
  <c r="AF17" i="30" s="1"/>
  <c r="Z31" i="30"/>
  <c r="Z34" i="30" s="1"/>
  <c r="Z43" i="30" s="1"/>
  <c r="X34" i="30"/>
  <c r="X43" i="30" s="1"/>
  <c r="AE31" i="30"/>
  <c r="AE34" i="30" s="1"/>
  <c r="Y66" i="68"/>
  <c r="AD50" i="31"/>
  <c r="Y66" i="32"/>
  <c r="AE42" i="30"/>
  <c r="AE23" i="68"/>
  <c r="AE26" i="68" s="1"/>
  <c r="AE66" i="68" s="1"/>
  <c r="Z66" i="32"/>
  <c r="Z66" i="68"/>
  <c r="AA25" i="87"/>
  <c r="AD25" i="87" s="1"/>
  <c r="AB34" i="85"/>
  <c r="AB51" i="85" s="1"/>
  <c r="Y36" i="87"/>
  <c r="AE66" i="32"/>
  <c r="V48" i="31"/>
  <c r="V50" i="31" s="1"/>
  <c r="AE27" i="85"/>
  <c r="AD30" i="85"/>
  <c r="AD34" i="85" s="1"/>
  <c r="AD34" i="87"/>
  <c r="AD36" i="87" s="1"/>
  <c r="Z49" i="83"/>
  <c r="AA34" i="85"/>
  <c r="AA51" i="85" s="1"/>
  <c r="AB40" i="31"/>
  <c r="V42" i="31"/>
  <c r="Y26" i="83"/>
  <c r="AD26" i="83" s="1"/>
  <c r="Y41" i="31"/>
  <c r="AB27" i="83"/>
  <c r="AD66" i="32"/>
  <c r="AF15" i="32" s="1"/>
  <c r="AG48" i="32" s="1"/>
  <c r="BW48" i="83"/>
  <c r="P50" i="83"/>
  <c r="T48" i="83"/>
  <c r="V48" i="83" s="1"/>
  <c r="Z40" i="31"/>
  <c r="Z42" i="31" s="1"/>
  <c r="AA41" i="31"/>
  <c r="AA42" i="31" s="1"/>
  <c r="AA51" i="31" s="1"/>
  <c r="AB49" i="83"/>
  <c r="B38" i="56"/>
  <c r="B37" i="56"/>
  <c r="AE21" i="87"/>
  <c r="B21" i="84"/>
  <c r="C22" i="84"/>
  <c r="AD34" i="31"/>
  <c r="V28" i="87"/>
  <c r="V37" i="87" s="1"/>
  <c r="W27" i="83"/>
  <c r="W34" i="83" s="1"/>
  <c r="W51" i="83" s="1"/>
  <c r="B36" i="88"/>
  <c r="B35" i="88"/>
  <c r="U22" i="87"/>
  <c r="U28" i="87" s="1"/>
  <c r="U37" i="87" s="1"/>
  <c r="X27" i="83"/>
  <c r="Z27" i="83" s="1"/>
  <c r="C17" i="88"/>
  <c r="X22" i="87"/>
  <c r="X28" i="87" s="1"/>
  <c r="X37" i="87" s="1"/>
  <c r="Z26" i="83"/>
  <c r="AB25" i="87"/>
  <c r="BW28" i="83"/>
  <c r="T28" i="83"/>
  <c r="V28" i="83" s="1"/>
  <c r="P34" i="83"/>
  <c r="P51" i="83" s="1"/>
  <c r="B36" i="84" s="1"/>
  <c r="Z23" i="87"/>
  <c r="U27" i="83"/>
  <c r="U34" i="83" s="1"/>
  <c r="U51" i="83" s="1"/>
  <c r="W22" i="87"/>
  <c r="W28" i="87" s="1"/>
  <c r="W37" i="87" s="1"/>
  <c r="C21" i="86"/>
  <c r="B20" i="86"/>
  <c r="C25" i="84"/>
  <c r="B21" i="88"/>
  <c r="AD42" i="85"/>
  <c r="C24" i="88"/>
  <c r="Y51" i="85"/>
  <c r="C17" i="84"/>
  <c r="B16" i="84"/>
  <c r="AD26" i="68"/>
  <c r="AD66" i="68" s="1"/>
  <c r="AF15" i="68" s="1"/>
  <c r="B21" i="56"/>
  <c r="C22" i="56"/>
  <c r="AB23" i="87"/>
  <c r="AB26" i="83"/>
  <c r="AE47" i="85" l="1"/>
  <c r="AE50" i="85" s="1"/>
  <c r="AE31" i="85"/>
  <c r="AE34" i="85" s="1"/>
  <c r="Z34" i="85"/>
  <c r="Z51" i="85" s="1"/>
  <c r="AF38" i="30"/>
  <c r="AH38" i="30" s="1"/>
  <c r="AJ38" i="30" s="1"/>
  <c r="AL38" i="30" s="1"/>
  <c r="C20" i="102"/>
  <c r="B15" i="102"/>
  <c r="C15" i="102" s="1"/>
  <c r="AE43" i="30"/>
  <c r="AF22" i="30"/>
  <c r="AH22" i="30" s="1"/>
  <c r="AJ22" i="30" s="1"/>
  <c r="AB48" i="31"/>
  <c r="AB50" i="31" s="1"/>
  <c r="AG51" i="32"/>
  <c r="AI51" i="32" s="1"/>
  <c r="AK51" i="32" s="1"/>
  <c r="AM51" i="32" s="1"/>
  <c r="AF25" i="32"/>
  <c r="AH25" i="32" s="1"/>
  <c r="AJ25" i="32" s="1"/>
  <c r="AL25" i="32" s="1"/>
  <c r="BI25" i="32" s="1"/>
  <c r="BJ25" i="32" s="1"/>
  <c r="AF38" i="32"/>
  <c r="AH38" i="32" s="1"/>
  <c r="AG61" i="32"/>
  <c r="AI61" i="32" s="1"/>
  <c r="AK61" i="32" s="1"/>
  <c r="AM61" i="32" s="1"/>
  <c r="AF44" i="32"/>
  <c r="AH44" i="32" s="1"/>
  <c r="AJ44" i="32" s="1"/>
  <c r="AL44" i="32" s="1"/>
  <c r="AG44" i="32"/>
  <c r="AI44" i="32" s="1"/>
  <c r="AK44" i="32" s="1"/>
  <c r="AM44" i="32" s="1"/>
  <c r="AG23" i="32"/>
  <c r="AF58" i="32"/>
  <c r="AF45" i="32"/>
  <c r="AH45" i="32" s="1"/>
  <c r="AJ45" i="32" s="1"/>
  <c r="AL45" i="32" s="1"/>
  <c r="AG52" i="32"/>
  <c r="AI52" i="32" s="1"/>
  <c r="AK52" i="32" s="1"/>
  <c r="AM52" i="32" s="1"/>
  <c r="AF40" i="32"/>
  <c r="AH40" i="32" s="1"/>
  <c r="AJ40" i="32" s="1"/>
  <c r="AL40" i="32" s="1"/>
  <c r="AF28" i="32"/>
  <c r="AH28" i="32" s="1"/>
  <c r="AF39" i="32"/>
  <c r="AH39" i="32" s="1"/>
  <c r="AJ39" i="32" s="1"/>
  <c r="AL39" i="32" s="1"/>
  <c r="AF20" i="32"/>
  <c r="AH20" i="32" s="1"/>
  <c r="AF60" i="32"/>
  <c r="AH60" i="32" s="1"/>
  <c r="AJ60" i="32" s="1"/>
  <c r="AL60" i="32" s="1"/>
  <c r="AF41" i="32"/>
  <c r="AH41" i="32" s="1"/>
  <c r="AJ41" i="32" s="1"/>
  <c r="AL41" i="32" s="1"/>
  <c r="X28" i="83"/>
  <c r="Z28" i="83" s="1"/>
  <c r="Z34" i="83" s="1"/>
  <c r="Z48" i="31"/>
  <c r="Z50" i="31" s="1"/>
  <c r="Z51" i="31" s="1"/>
  <c r="V51" i="31"/>
  <c r="AE49" i="83"/>
  <c r="AG35" i="32"/>
  <c r="AI35" i="32" s="1"/>
  <c r="AK35" i="32" s="1"/>
  <c r="AM35" i="32" s="1"/>
  <c r="AF50" i="32"/>
  <c r="AH50" i="32" s="1"/>
  <c r="AJ50" i="32" s="1"/>
  <c r="AL50" i="32" s="1"/>
  <c r="AG43" i="32"/>
  <c r="AI43" i="32" s="1"/>
  <c r="AK43" i="32" s="1"/>
  <c r="AM43" i="32" s="1"/>
  <c r="AF23" i="32"/>
  <c r="AH23" i="32" s="1"/>
  <c r="AJ23" i="32" s="1"/>
  <c r="AL23" i="32" s="1"/>
  <c r="AG64" i="32"/>
  <c r="AI64" i="32" s="1"/>
  <c r="AK64" i="32" s="1"/>
  <c r="AM64" i="32" s="1"/>
  <c r="AG38" i="32"/>
  <c r="AI38" i="32" s="1"/>
  <c r="AF64" i="32"/>
  <c r="AH64" i="32" s="1"/>
  <c r="AJ64" i="32" s="1"/>
  <c r="AL64" i="32" s="1"/>
  <c r="AG50" i="32"/>
  <c r="AI50" i="32" s="1"/>
  <c r="AK50" i="32" s="1"/>
  <c r="AM50" i="32" s="1"/>
  <c r="AE23" i="87"/>
  <c r="AG41" i="32"/>
  <c r="AI41" i="32" s="1"/>
  <c r="AK41" i="32" s="1"/>
  <c r="AM41" i="32" s="1"/>
  <c r="AG53" i="32"/>
  <c r="AI53" i="32" s="1"/>
  <c r="AK53" i="32" s="1"/>
  <c r="AM53" i="32" s="1"/>
  <c r="AF30" i="32"/>
  <c r="AH30" i="32" s="1"/>
  <c r="AJ30" i="32" s="1"/>
  <c r="AL30" i="32" s="1"/>
  <c r="BI30" i="32" s="1"/>
  <c r="BJ30" i="32" s="1"/>
  <c r="AF22" i="32"/>
  <c r="AH22" i="32" s="1"/>
  <c r="AJ22" i="32" s="1"/>
  <c r="AL22" i="32" s="1"/>
  <c r="BI22" i="32" s="1"/>
  <c r="BJ22" i="32" s="1"/>
  <c r="AF29" i="32"/>
  <c r="AH29" i="32" s="1"/>
  <c r="AJ29" i="32" s="1"/>
  <c r="AL29" i="32" s="1"/>
  <c r="BI29" i="32" s="1"/>
  <c r="BJ29" i="32" s="1"/>
  <c r="AF55" i="32"/>
  <c r="AH55" i="32" s="1"/>
  <c r="AJ55" i="32" s="1"/>
  <c r="AL55" i="32" s="1"/>
  <c r="AF43" i="32"/>
  <c r="AH43" i="32" s="1"/>
  <c r="AJ43" i="32" s="1"/>
  <c r="AL43" i="32" s="1"/>
  <c r="AF59" i="32"/>
  <c r="AH59" i="32" s="1"/>
  <c r="AJ59" i="32" s="1"/>
  <c r="AL59" i="32" s="1"/>
  <c r="V50" i="83"/>
  <c r="X48" i="83"/>
  <c r="AF34" i="32"/>
  <c r="AH34" i="32" s="1"/>
  <c r="AJ34" i="32" s="1"/>
  <c r="AL34" i="32" s="1"/>
  <c r="AF48" i="32"/>
  <c r="AH48" i="32" s="1"/>
  <c r="AF33" i="32"/>
  <c r="AH33" i="32" s="1"/>
  <c r="AJ33" i="32" s="1"/>
  <c r="AL33" i="32" s="1"/>
  <c r="BI33" i="32" s="1"/>
  <c r="BJ33" i="32" s="1"/>
  <c r="AF35" i="32"/>
  <c r="AH35" i="32" s="1"/>
  <c r="AJ35" i="32" s="1"/>
  <c r="AL35" i="32" s="1"/>
  <c r="AG42" i="32"/>
  <c r="AI42" i="32" s="1"/>
  <c r="AK42" i="32" s="1"/>
  <c r="AM42" i="32" s="1"/>
  <c r="AG55" i="32"/>
  <c r="AI55" i="32" s="1"/>
  <c r="AK55" i="32" s="1"/>
  <c r="AM55" i="32" s="1"/>
  <c r="AF21" i="32"/>
  <c r="AH21" i="32" s="1"/>
  <c r="AJ21" i="32" s="1"/>
  <c r="AL21" i="32" s="1"/>
  <c r="BI21" i="32" s="1"/>
  <c r="BJ21" i="32" s="1"/>
  <c r="AG58" i="32"/>
  <c r="AI58" i="32" s="1"/>
  <c r="AF32" i="32"/>
  <c r="AH32" i="32" s="1"/>
  <c r="AJ32" i="32" s="1"/>
  <c r="AL32" i="32" s="1"/>
  <c r="BI32" i="32" s="1"/>
  <c r="BJ32" i="32" s="1"/>
  <c r="AG62" i="32"/>
  <c r="AI62" i="32" s="1"/>
  <c r="AK62" i="32" s="1"/>
  <c r="AM62" i="32" s="1"/>
  <c r="AF24" i="32"/>
  <c r="AH24" i="32" s="1"/>
  <c r="AJ24" i="32" s="1"/>
  <c r="AL24" i="32" s="1"/>
  <c r="AF63" i="32"/>
  <c r="AH63" i="32" s="1"/>
  <c r="AJ63" i="32" s="1"/>
  <c r="AL63" i="32" s="1"/>
  <c r="AF52" i="32"/>
  <c r="AH52" i="32" s="1"/>
  <c r="AJ52" i="32" s="1"/>
  <c r="AL52" i="32" s="1"/>
  <c r="AF53" i="32"/>
  <c r="AH53" i="32" s="1"/>
  <c r="AJ53" i="32" s="1"/>
  <c r="AL53" i="32" s="1"/>
  <c r="AF51" i="32"/>
  <c r="AH51" i="32" s="1"/>
  <c r="AJ51" i="32" s="1"/>
  <c r="AL51" i="32" s="1"/>
  <c r="AF62" i="32"/>
  <c r="AH62" i="32" s="1"/>
  <c r="AJ62" i="32" s="1"/>
  <c r="AL62" i="32" s="1"/>
  <c r="AA22" i="87"/>
  <c r="AA28" i="87" s="1"/>
  <c r="AA37" i="87" s="1"/>
  <c r="AB48" i="83"/>
  <c r="AB50" i="83" s="1"/>
  <c r="AD41" i="31"/>
  <c r="AD42" i="31" s="1"/>
  <c r="AD51" i="31" s="1"/>
  <c r="AF17" i="31" s="1"/>
  <c r="Y42" i="31"/>
  <c r="Y51" i="31" s="1"/>
  <c r="AE40" i="31"/>
  <c r="AE42" i="31" s="1"/>
  <c r="AB42" i="31"/>
  <c r="AE26" i="83"/>
  <c r="AG34" i="32"/>
  <c r="AI34" i="32" s="1"/>
  <c r="AG24" i="32"/>
  <c r="AI24" i="32" s="1"/>
  <c r="AK24" i="32" s="1"/>
  <c r="AM24" i="32" s="1"/>
  <c r="AG54" i="32"/>
  <c r="AI54" i="32" s="1"/>
  <c r="AK54" i="32" s="1"/>
  <c r="AM54" i="32" s="1"/>
  <c r="AF31" i="32"/>
  <c r="AH31" i="32" s="1"/>
  <c r="AJ31" i="32" s="1"/>
  <c r="AL31" i="32" s="1"/>
  <c r="BI31" i="32" s="1"/>
  <c r="BJ31" i="32" s="1"/>
  <c r="AF49" i="32"/>
  <c r="AH49" i="32" s="1"/>
  <c r="AJ49" i="32" s="1"/>
  <c r="AL49" i="32" s="1"/>
  <c r="AG63" i="32"/>
  <c r="AI63" i="32" s="1"/>
  <c r="AK63" i="32" s="1"/>
  <c r="AM63" i="32" s="1"/>
  <c r="AG60" i="32"/>
  <c r="AI60" i="32" s="1"/>
  <c r="AK60" i="32" s="1"/>
  <c r="AM60" i="32" s="1"/>
  <c r="AG59" i="32"/>
  <c r="AI59" i="32" s="1"/>
  <c r="AK59" i="32" s="1"/>
  <c r="AM59" i="32" s="1"/>
  <c r="AG45" i="32"/>
  <c r="AI45" i="32" s="1"/>
  <c r="AK45" i="32" s="1"/>
  <c r="AM45" i="32" s="1"/>
  <c r="AF61" i="32"/>
  <c r="AH61" i="32" s="1"/>
  <c r="AJ61" i="32" s="1"/>
  <c r="AF42" i="32"/>
  <c r="AH42" i="32" s="1"/>
  <c r="AJ42" i="32" s="1"/>
  <c r="AG39" i="32"/>
  <c r="AI39" i="32" s="1"/>
  <c r="AK39" i="32" s="1"/>
  <c r="AM39" i="32" s="1"/>
  <c r="AG40" i="32"/>
  <c r="AI40" i="32" s="1"/>
  <c r="AK40" i="32" s="1"/>
  <c r="AM40" i="32" s="1"/>
  <c r="AF54" i="32"/>
  <c r="AH54" i="32" s="1"/>
  <c r="AJ54" i="32" s="1"/>
  <c r="AL54" i="32" s="1"/>
  <c r="AG49" i="32"/>
  <c r="AI49" i="32" s="1"/>
  <c r="AK49" i="32" s="1"/>
  <c r="AM49" i="32" s="1"/>
  <c r="AB28" i="83"/>
  <c r="AB34" i="83" s="1"/>
  <c r="V34" i="83"/>
  <c r="Z22" i="87"/>
  <c r="Z28" i="87" s="1"/>
  <c r="Z37" i="87" s="1"/>
  <c r="C21" i="56"/>
  <c r="B16" i="56"/>
  <c r="C20" i="86"/>
  <c r="B15" i="86"/>
  <c r="Y22" i="87"/>
  <c r="AE27" i="83"/>
  <c r="AI48" i="32"/>
  <c r="C21" i="88"/>
  <c r="B20" i="88"/>
  <c r="AF42" i="68"/>
  <c r="AH42" i="68" s="1"/>
  <c r="AF50" i="68"/>
  <c r="AH50" i="68" s="1"/>
  <c r="AF48" i="68"/>
  <c r="AF20" i="68"/>
  <c r="AF60" i="68"/>
  <c r="AH60" i="68" s="1"/>
  <c r="AF53" i="68"/>
  <c r="AH53" i="68" s="1"/>
  <c r="AF52" i="68"/>
  <c r="AH52" i="68" s="1"/>
  <c r="AF55" i="68"/>
  <c r="AH55" i="68" s="1"/>
  <c r="AF44" i="68"/>
  <c r="AH44" i="68" s="1"/>
  <c r="AG39" i="68"/>
  <c r="AI39" i="68" s="1"/>
  <c r="AK39" i="68" s="1"/>
  <c r="AM39" i="68" s="1"/>
  <c r="AF49" i="68"/>
  <c r="AH49" i="68" s="1"/>
  <c r="AF43" i="68"/>
  <c r="AH43" i="68" s="1"/>
  <c r="AF51" i="68"/>
  <c r="AH51" i="68" s="1"/>
  <c r="AF59" i="68"/>
  <c r="AH59" i="68" s="1"/>
  <c r="AF41" i="68"/>
  <c r="AH41" i="68" s="1"/>
  <c r="AF61" i="68"/>
  <c r="AH61" i="68" s="1"/>
  <c r="AF24" i="68"/>
  <c r="AH24" i="68" s="1"/>
  <c r="AF54" i="68"/>
  <c r="AH54" i="68" s="1"/>
  <c r="AF62" i="68"/>
  <c r="AH62" i="68" s="1"/>
  <c r="AF63" i="68"/>
  <c r="AH63" i="68" s="1"/>
  <c r="AG40" i="68"/>
  <c r="AI40" i="68" s="1"/>
  <c r="AK40" i="68" s="1"/>
  <c r="AM40" i="68" s="1"/>
  <c r="AG38" i="68"/>
  <c r="AF45" i="68"/>
  <c r="AH45" i="68" s="1"/>
  <c r="AF64" i="68"/>
  <c r="AH64" i="68" s="1"/>
  <c r="AF58" i="68"/>
  <c r="AG45" i="68"/>
  <c r="AI45" i="68" s="1"/>
  <c r="AK45" i="68" s="1"/>
  <c r="AM45" i="68" s="1"/>
  <c r="AG61" i="68"/>
  <c r="AI61" i="68" s="1"/>
  <c r="AK61" i="68" s="1"/>
  <c r="AM61" i="68" s="1"/>
  <c r="AG64" i="68"/>
  <c r="AI64" i="68" s="1"/>
  <c r="AK64" i="68" s="1"/>
  <c r="AM64" i="68" s="1"/>
  <c r="AG50" i="68"/>
  <c r="AI50" i="68" s="1"/>
  <c r="AK50" i="68" s="1"/>
  <c r="AM50" i="68" s="1"/>
  <c r="AG62" i="68"/>
  <c r="AI62" i="68" s="1"/>
  <c r="AK62" i="68" s="1"/>
  <c r="AM62" i="68" s="1"/>
  <c r="AF40" i="68"/>
  <c r="AH40" i="68" s="1"/>
  <c r="AG59" i="68"/>
  <c r="AI59" i="68" s="1"/>
  <c r="AK59" i="68" s="1"/>
  <c r="AM59" i="68" s="1"/>
  <c r="AG63" i="68"/>
  <c r="AI63" i="68" s="1"/>
  <c r="AK63" i="68" s="1"/>
  <c r="AM63" i="68" s="1"/>
  <c r="AF21" i="68"/>
  <c r="AH21" i="68" s="1"/>
  <c r="AF30" i="68"/>
  <c r="AH30" i="68" s="1"/>
  <c r="AG52" i="68"/>
  <c r="AI52" i="68" s="1"/>
  <c r="AK52" i="68" s="1"/>
  <c r="AM52" i="68" s="1"/>
  <c r="AG58" i="68"/>
  <c r="AG51" i="68"/>
  <c r="AI51" i="68" s="1"/>
  <c r="AK51" i="68" s="1"/>
  <c r="AM51" i="68" s="1"/>
  <c r="AG53" i="68"/>
  <c r="AI53" i="68" s="1"/>
  <c r="AK53" i="68" s="1"/>
  <c r="AM53" i="68" s="1"/>
  <c r="AG54" i="68"/>
  <c r="AI54" i="68" s="1"/>
  <c r="AK54" i="68" s="1"/>
  <c r="AM54" i="68" s="1"/>
  <c r="AG60" i="68"/>
  <c r="AI60" i="68" s="1"/>
  <c r="AK60" i="68" s="1"/>
  <c r="AM60" i="68" s="1"/>
  <c r="AG55" i="68"/>
  <c r="AI55" i="68" s="1"/>
  <c r="AK55" i="68" s="1"/>
  <c r="AM55" i="68" s="1"/>
  <c r="AF34" i="68"/>
  <c r="AH34" i="68" s="1"/>
  <c r="AF29" i="68"/>
  <c r="AH29" i="68" s="1"/>
  <c r="AG35" i="68"/>
  <c r="AI35" i="68" s="1"/>
  <c r="AK35" i="68" s="1"/>
  <c r="AM35" i="68" s="1"/>
  <c r="AG49" i="68"/>
  <c r="AI49" i="68" s="1"/>
  <c r="AK49" i="68" s="1"/>
  <c r="AM49" i="68" s="1"/>
  <c r="AG24" i="68"/>
  <c r="AI24" i="68" s="1"/>
  <c r="AK24" i="68" s="1"/>
  <c r="AM24" i="68" s="1"/>
  <c r="AF33" i="68"/>
  <c r="AH33" i="68" s="1"/>
  <c r="AG43" i="68"/>
  <c r="AI43" i="68" s="1"/>
  <c r="AK43" i="68" s="1"/>
  <c r="AM43" i="68" s="1"/>
  <c r="AG48" i="68"/>
  <c r="AF25" i="68"/>
  <c r="AH25" i="68" s="1"/>
  <c r="AG42" i="68"/>
  <c r="AI42" i="68" s="1"/>
  <c r="AK42" i="68" s="1"/>
  <c r="AM42" i="68" s="1"/>
  <c r="AF35" i="68"/>
  <c r="AH35" i="68" s="1"/>
  <c r="AG44" i="68"/>
  <c r="AI44" i="68" s="1"/>
  <c r="AK44" i="68" s="1"/>
  <c r="AM44" i="68" s="1"/>
  <c r="AF32" i="68"/>
  <c r="AH32" i="68" s="1"/>
  <c r="AF39" i="68"/>
  <c r="AH39" i="68" s="1"/>
  <c r="AF31" i="68"/>
  <c r="AH31" i="68" s="1"/>
  <c r="AG41" i="68"/>
  <c r="AI41" i="68" s="1"/>
  <c r="AK41" i="68" s="1"/>
  <c r="AM41" i="68" s="1"/>
  <c r="AG34" i="68"/>
  <c r="AG23" i="68"/>
  <c r="AF23" i="68"/>
  <c r="AH23" i="68" s="1"/>
  <c r="AF28" i="68"/>
  <c r="AF38" i="68"/>
  <c r="C16" i="84"/>
  <c r="B38" i="84"/>
  <c r="B37" i="84"/>
  <c r="AB28" i="87"/>
  <c r="AB37" i="87" s="1"/>
  <c r="AE25" i="87"/>
  <c r="Y27" i="83"/>
  <c r="Y34" i="83" s="1"/>
  <c r="Y51" i="83" s="1"/>
  <c r="AA27" i="83"/>
  <c r="AA34" i="83" s="1"/>
  <c r="AA51" i="83" s="1"/>
  <c r="AD51" i="85"/>
  <c r="AF17" i="85" s="1"/>
  <c r="AF22" i="68"/>
  <c r="AH22" i="68" s="1"/>
  <c r="C21" i="84"/>
  <c r="AE51" i="85" l="1"/>
  <c r="AG28" i="30"/>
  <c r="AI28" i="30" s="1"/>
  <c r="AK28" i="30" s="1"/>
  <c r="AM28" i="30" s="1"/>
  <c r="AF25" i="30"/>
  <c r="AH25" i="30" s="1"/>
  <c r="AJ25" i="30" s="1"/>
  <c r="AG27" i="30"/>
  <c r="AI27" i="30" s="1"/>
  <c r="AK27" i="30" s="1"/>
  <c r="AM27" i="30" s="1"/>
  <c r="AF37" i="30"/>
  <c r="AH37" i="30" s="1"/>
  <c r="AJ37" i="30" s="1"/>
  <c r="AL37" i="30" s="1"/>
  <c r="AG40" i="30"/>
  <c r="AI40" i="30" s="1"/>
  <c r="AK40" i="30" s="1"/>
  <c r="AM40" i="30" s="1"/>
  <c r="AG31" i="30"/>
  <c r="AI31" i="30" s="1"/>
  <c r="AK31" i="30" s="1"/>
  <c r="AM31" i="30" s="1"/>
  <c r="AF41" i="30"/>
  <c r="AH41" i="30" s="1"/>
  <c r="AJ41" i="30" s="1"/>
  <c r="AL41" i="30" s="1"/>
  <c r="AF36" i="30"/>
  <c r="AH36" i="30" s="1"/>
  <c r="AJ36" i="30" s="1"/>
  <c r="AG39" i="30"/>
  <c r="AI39" i="30" s="1"/>
  <c r="AK39" i="30" s="1"/>
  <c r="AM39" i="30" s="1"/>
  <c r="AF23" i="30"/>
  <c r="AH23" i="30" s="1"/>
  <c r="AJ23" i="30" s="1"/>
  <c r="AL23" i="30" s="1"/>
  <c r="BU23" i="30" s="1"/>
  <c r="BV23" i="30" s="1"/>
  <c r="AG41" i="30"/>
  <c r="AI41" i="30" s="1"/>
  <c r="AK41" i="30" s="1"/>
  <c r="AM41" i="30" s="1"/>
  <c r="AG38" i="30"/>
  <c r="AI38" i="30" s="1"/>
  <c r="AK38" i="30" s="1"/>
  <c r="AM38" i="30" s="1"/>
  <c r="BU38" i="30" s="1"/>
  <c r="BV38" i="30" s="1"/>
  <c r="AF31" i="30"/>
  <c r="AH31" i="30" s="1"/>
  <c r="AJ31" i="30" s="1"/>
  <c r="AL31" i="30" s="1"/>
  <c r="AG26" i="30"/>
  <c r="AI26" i="30" s="1"/>
  <c r="AK26" i="30" s="1"/>
  <c r="AM26" i="30" s="1"/>
  <c r="AG36" i="30"/>
  <c r="AI36" i="30" s="1"/>
  <c r="AK36" i="30" s="1"/>
  <c r="AM36" i="30" s="1"/>
  <c r="AF40" i="30"/>
  <c r="AH40" i="30" s="1"/>
  <c r="AJ40" i="30" s="1"/>
  <c r="AL40" i="30" s="1"/>
  <c r="AF30" i="30"/>
  <c r="AH30" i="30" s="1"/>
  <c r="AJ30" i="30" s="1"/>
  <c r="AL30" i="30" s="1"/>
  <c r="AG32" i="30"/>
  <c r="AI32" i="30" s="1"/>
  <c r="AK32" i="30" s="1"/>
  <c r="AM32" i="30" s="1"/>
  <c r="AG29" i="30"/>
  <c r="AI29" i="30" s="1"/>
  <c r="AK29" i="30" s="1"/>
  <c r="AM29" i="30" s="1"/>
  <c r="AG30" i="30"/>
  <c r="AI30" i="30" s="1"/>
  <c r="AK30" i="30" s="1"/>
  <c r="AM30" i="30" s="1"/>
  <c r="AF24" i="30"/>
  <c r="AH24" i="30" s="1"/>
  <c r="AJ24" i="30" s="1"/>
  <c r="AL24" i="30" s="1"/>
  <c r="BU24" i="30" s="1"/>
  <c r="BV24" i="30" s="1"/>
  <c r="AF26" i="30"/>
  <c r="AH26" i="30" s="1"/>
  <c r="AJ26" i="30" s="1"/>
  <c r="AL26" i="30" s="1"/>
  <c r="AF39" i="30"/>
  <c r="AH39" i="30" s="1"/>
  <c r="AJ39" i="30" s="1"/>
  <c r="AL39" i="30" s="1"/>
  <c r="BU39" i="30" s="1"/>
  <c r="BV39" i="30" s="1"/>
  <c r="AF32" i="30"/>
  <c r="AH32" i="30" s="1"/>
  <c r="AJ32" i="30" s="1"/>
  <c r="AL32" i="30" s="1"/>
  <c r="AF28" i="30"/>
  <c r="AH28" i="30" s="1"/>
  <c r="AJ28" i="30" s="1"/>
  <c r="AL28" i="30" s="1"/>
  <c r="BU28" i="30" s="1"/>
  <c r="BV28" i="30" s="1"/>
  <c r="AF27" i="30"/>
  <c r="AH27" i="30" s="1"/>
  <c r="AJ27" i="30" s="1"/>
  <c r="AL27" i="30" s="1"/>
  <c r="AF29" i="30"/>
  <c r="AH29" i="30" s="1"/>
  <c r="AJ29" i="30" s="1"/>
  <c r="AL29" i="30" s="1"/>
  <c r="BU29" i="30" s="1"/>
  <c r="BV29" i="30" s="1"/>
  <c r="AG37" i="30"/>
  <c r="AI37" i="30" s="1"/>
  <c r="AK37" i="30" s="1"/>
  <c r="AM37" i="30" s="1"/>
  <c r="BU37" i="30" s="1"/>
  <c r="BV37" i="30" s="1"/>
  <c r="AB51" i="31"/>
  <c r="BI44" i="32"/>
  <c r="BJ44" i="32" s="1"/>
  <c r="BI41" i="32"/>
  <c r="BJ41" i="32" s="1"/>
  <c r="BU32" i="30"/>
  <c r="BV32" i="30" s="1"/>
  <c r="BI52" i="32"/>
  <c r="BJ52" i="32" s="1"/>
  <c r="AL25" i="30"/>
  <c r="BU25" i="30" s="1"/>
  <c r="BV25" i="30" s="1"/>
  <c r="BI60" i="32"/>
  <c r="BJ60" i="32" s="1"/>
  <c r="BI59" i="32"/>
  <c r="BJ59" i="32" s="1"/>
  <c r="BI64" i="32"/>
  <c r="BJ64" i="32" s="1"/>
  <c r="BI24" i="32"/>
  <c r="BJ24" i="32" s="1"/>
  <c r="BI43" i="32"/>
  <c r="BJ43" i="32" s="1"/>
  <c r="BI50" i="32"/>
  <c r="BJ50" i="32" s="1"/>
  <c r="AG26" i="32"/>
  <c r="AI23" i="32"/>
  <c r="AK23" i="32" s="1"/>
  <c r="BI51" i="32"/>
  <c r="BJ51" i="32" s="1"/>
  <c r="AF46" i="32"/>
  <c r="BI39" i="32"/>
  <c r="BJ39" i="32" s="1"/>
  <c r="AG65" i="32"/>
  <c r="BI54" i="32"/>
  <c r="BJ54" i="32" s="1"/>
  <c r="AF26" i="32"/>
  <c r="AF65" i="32"/>
  <c r="AH58" i="32"/>
  <c r="AH65" i="32" s="1"/>
  <c r="AF36" i="32"/>
  <c r="X34" i="83"/>
  <c r="BI55" i="32"/>
  <c r="BJ55" i="32" s="1"/>
  <c r="BI62" i="32"/>
  <c r="BJ62" i="32" s="1"/>
  <c r="AG36" i="32"/>
  <c r="BI49" i="32"/>
  <c r="BJ49" i="32" s="1"/>
  <c r="BI53" i="32"/>
  <c r="BJ53" i="32" s="1"/>
  <c r="AL61" i="32"/>
  <c r="BI61" i="32" s="1"/>
  <c r="BJ61" i="32" s="1"/>
  <c r="AG46" i="32"/>
  <c r="AE22" i="87"/>
  <c r="AE28" i="87" s="1"/>
  <c r="AE37" i="87" s="1"/>
  <c r="AE48" i="31"/>
  <c r="AE50" i="31" s="1"/>
  <c r="AE51" i="31" s="1"/>
  <c r="AL22" i="30"/>
  <c r="BU22" i="30" s="1"/>
  <c r="BI63" i="32"/>
  <c r="BJ63" i="32" s="1"/>
  <c r="BI35" i="32"/>
  <c r="BJ35" i="32" s="1"/>
  <c r="AF56" i="32"/>
  <c r="AB51" i="83"/>
  <c r="AL42" i="32"/>
  <c r="BI42" i="32" s="1"/>
  <c r="BJ42" i="32" s="1"/>
  <c r="AF40" i="31"/>
  <c r="AH40" i="31" s="1"/>
  <c r="AJ40" i="31" s="1"/>
  <c r="AL40" i="31" s="1"/>
  <c r="AG44" i="31"/>
  <c r="AI44" i="31" s="1"/>
  <c r="AF24" i="31"/>
  <c r="AH24" i="31" s="1"/>
  <c r="AJ24" i="31" s="1"/>
  <c r="AL24" i="31" s="1"/>
  <c r="BU24" i="31" s="1"/>
  <c r="BV24" i="31" s="1"/>
  <c r="AF30" i="31"/>
  <c r="AH30" i="31" s="1"/>
  <c r="AJ30" i="31" s="1"/>
  <c r="AL30" i="31" s="1"/>
  <c r="AG31" i="31"/>
  <c r="AI31" i="31" s="1"/>
  <c r="AK31" i="31" s="1"/>
  <c r="AM31" i="31" s="1"/>
  <c r="AG26" i="31"/>
  <c r="AI26" i="31" s="1"/>
  <c r="AF44" i="31"/>
  <c r="AH44" i="31" s="1"/>
  <c r="AF26" i="31"/>
  <c r="AH26" i="31" s="1"/>
  <c r="AJ26" i="31" s="1"/>
  <c r="AF36" i="31"/>
  <c r="AH36" i="31" s="1"/>
  <c r="AG47" i="31"/>
  <c r="AI47" i="31" s="1"/>
  <c r="AK47" i="31" s="1"/>
  <c r="AM47" i="31" s="1"/>
  <c r="BU47" i="31" s="1"/>
  <c r="BV47" i="31" s="1"/>
  <c r="AF27" i="31"/>
  <c r="AH27" i="31" s="1"/>
  <c r="AJ27" i="31" s="1"/>
  <c r="AL27" i="31" s="1"/>
  <c r="AF46" i="31"/>
  <c r="AH46" i="31" s="1"/>
  <c r="AJ46" i="31" s="1"/>
  <c r="AL46" i="31" s="1"/>
  <c r="BU46" i="31" s="1"/>
  <c r="BV46" i="31" s="1"/>
  <c r="AG38" i="31"/>
  <c r="AI38" i="31" s="1"/>
  <c r="AK38" i="31" s="1"/>
  <c r="AM38" i="31" s="1"/>
  <c r="AF31" i="31"/>
  <c r="AH31" i="31" s="1"/>
  <c r="AJ31" i="31" s="1"/>
  <c r="AL31" i="31" s="1"/>
  <c r="AG37" i="31"/>
  <c r="AI37" i="31" s="1"/>
  <c r="AK37" i="31" s="1"/>
  <c r="AM37" i="31" s="1"/>
  <c r="AG32" i="31"/>
  <c r="AI32" i="31" s="1"/>
  <c r="AK32" i="31" s="1"/>
  <c r="AM32" i="31" s="1"/>
  <c r="AG29" i="31"/>
  <c r="AI29" i="31" s="1"/>
  <c r="AK29" i="31" s="1"/>
  <c r="AM29" i="31" s="1"/>
  <c r="AG49" i="31"/>
  <c r="AI49" i="31" s="1"/>
  <c r="AK49" i="31" s="1"/>
  <c r="AM49" i="31" s="1"/>
  <c r="BU49" i="31" s="1"/>
  <c r="BV49" i="31" s="1"/>
  <c r="AF28" i="31"/>
  <c r="AH28" i="31" s="1"/>
  <c r="AJ28" i="31" s="1"/>
  <c r="AL28" i="31" s="1"/>
  <c r="AF22" i="31"/>
  <c r="AH22" i="31" s="1"/>
  <c r="AG39" i="31"/>
  <c r="AI39" i="31" s="1"/>
  <c r="AK39" i="31" s="1"/>
  <c r="AM39" i="31" s="1"/>
  <c r="AF25" i="31"/>
  <c r="AH25" i="31" s="1"/>
  <c r="AJ25" i="31" s="1"/>
  <c r="AL25" i="31" s="1"/>
  <c r="BU25" i="31" s="1"/>
  <c r="BV25" i="31" s="1"/>
  <c r="AG41" i="31"/>
  <c r="AI41" i="31" s="1"/>
  <c r="AK41" i="31" s="1"/>
  <c r="AM41" i="31" s="1"/>
  <c r="AF41" i="31"/>
  <c r="AH41" i="31" s="1"/>
  <c r="AJ41" i="31" s="1"/>
  <c r="AG36" i="31"/>
  <c r="AI36" i="31" s="1"/>
  <c r="AF38" i="31"/>
  <c r="AH38" i="31" s="1"/>
  <c r="AJ38" i="31" s="1"/>
  <c r="AL38" i="31" s="1"/>
  <c r="AF29" i="31"/>
  <c r="AH29" i="31" s="1"/>
  <c r="AJ29" i="31" s="1"/>
  <c r="AL29" i="31" s="1"/>
  <c r="AF37" i="31"/>
  <c r="AH37" i="31" s="1"/>
  <c r="AJ37" i="31" s="1"/>
  <c r="AL37" i="31" s="1"/>
  <c r="AF32" i="31"/>
  <c r="AH32" i="31" s="1"/>
  <c r="AJ32" i="31" s="1"/>
  <c r="AL32" i="31" s="1"/>
  <c r="AG28" i="31"/>
  <c r="AI28" i="31" s="1"/>
  <c r="AK28" i="31" s="1"/>
  <c r="AM28" i="31" s="1"/>
  <c r="AG30" i="31"/>
  <c r="AI30" i="31" s="1"/>
  <c r="AK30" i="31" s="1"/>
  <c r="AM30" i="31" s="1"/>
  <c r="AF39" i="31"/>
  <c r="AH39" i="31" s="1"/>
  <c r="AJ39" i="31" s="1"/>
  <c r="AF45" i="31"/>
  <c r="AH45" i="31" s="1"/>
  <c r="AJ45" i="31" s="1"/>
  <c r="AL45" i="31" s="1"/>
  <c r="BU45" i="31" s="1"/>
  <c r="BV45" i="31" s="1"/>
  <c r="AF23" i="31"/>
  <c r="AH23" i="31" s="1"/>
  <c r="AJ23" i="31" s="1"/>
  <c r="AL23" i="31" s="1"/>
  <c r="BU23" i="31" s="1"/>
  <c r="BV23" i="31" s="1"/>
  <c r="AG27" i="31"/>
  <c r="AI27" i="31" s="1"/>
  <c r="AK27" i="31" s="1"/>
  <c r="AM27" i="31" s="1"/>
  <c r="BI45" i="32"/>
  <c r="BJ45" i="32" s="1"/>
  <c r="AG56" i="32"/>
  <c r="V51" i="83"/>
  <c r="Z48" i="83"/>
  <c r="Z50" i="83" s="1"/>
  <c r="Z51" i="83" s="1"/>
  <c r="X50" i="83"/>
  <c r="BI40" i="32"/>
  <c r="BJ40" i="32" s="1"/>
  <c r="AG40" i="31"/>
  <c r="AI40" i="31" s="1"/>
  <c r="AK40" i="31" s="1"/>
  <c r="AM40" i="31" s="1"/>
  <c r="AJ28" i="32"/>
  <c r="AJ36" i="32" s="1"/>
  <c r="AH36" i="32"/>
  <c r="AJ32" i="68"/>
  <c r="AL32" i="68" s="1"/>
  <c r="BI32" i="68" s="1"/>
  <c r="BJ32" i="68" s="1"/>
  <c r="AJ25" i="68"/>
  <c r="AL25" i="68" s="1"/>
  <c r="BI25" i="68" s="1"/>
  <c r="BJ25" i="68" s="1"/>
  <c r="AJ62" i="68"/>
  <c r="AL62" i="68" s="1"/>
  <c r="BI62" i="68" s="1"/>
  <c r="BJ62" i="68" s="1"/>
  <c r="AJ49" i="68"/>
  <c r="AL49" i="68" s="1"/>
  <c r="BI49" i="68" s="1"/>
  <c r="BJ49" i="68" s="1"/>
  <c r="AH26" i="32"/>
  <c r="AJ20" i="32"/>
  <c r="AJ26" i="32" s="1"/>
  <c r="AJ23" i="68"/>
  <c r="AL23" i="68" s="1"/>
  <c r="AJ31" i="68"/>
  <c r="AL31" i="68" s="1"/>
  <c r="BI31" i="68" s="1"/>
  <c r="BJ31" i="68" s="1"/>
  <c r="AJ35" i="68"/>
  <c r="AL35" i="68" s="1"/>
  <c r="BI35" i="68" s="1"/>
  <c r="BJ35" i="68" s="1"/>
  <c r="AG65" i="68"/>
  <c r="AI58" i="68"/>
  <c r="AF65" i="68"/>
  <c r="AH58" i="68"/>
  <c r="AJ24" i="68"/>
  <c r="AL24" i="68" s="1"/>
  <c r="BI24" i="68" s="1"/>
  <c r="BJ24" i="68" s="1"/>
  <c r="AJ51" i="68"/>
  <c r="AL51" i="68" s="1"/>
  <c r="BI51" i="68" s="1"/>
  <c r="BJ51" i="68" s="1"/>
  <c r="AJ44" i="68"/>
  <c r="AL44" i="68" s="1"/>
  <c r="BI44" i="68" s="1"/>
  <c r="BJ44" i="68" s="1"/>
  <c r="AJ60" i="68"/>
  <c r="AL60" i="68" s="1"/>
  <c r="BI60" i="68" s="1"/>
  <c r="BJ60" i="68" s="1"/>
  <c r="AJ42" i="68"/>
  <c r="AL42" i="68" s="1"/>
  <c r="BI42" i="68" s="1"/>
  <c r="BJ42" i="68" s="1"/>
  <c r="C20" i="88"/>
  <c r="B16" i="88"/>
  <c r="C15" i="86"/>
  <c r="C16" i="56"/>
  <c r="AD27" i="83"/>
  <c r="AJ38" i="32"/>
  <c r="AJ46" i="32" s="1"/>
  <c r="AH46" i="32"/>
  <c r="AG37" i="85"/>
  <c r="AI37" i="85" s="1"/>
  <c r="AK37" i="85" s="1"/>
  <c r="AM37" i="85" s="1"/>
  <c r="AF28" i="85"/>
  <c r="AH28" i="85" s="1"/>
  <c r="AG44" i="85"/>
  <c r="AF24" i="85"/>
  <c r="AH24" i="85" s="1"/>
  <c r="AF31" i="85"/>
  <c r="AH31" i="85" s="1"/>
  <c r="AF37" i="85"/>
  <c r="AH37" i="85" s="1"/>
  <c r="AF22" i="85"/>
  <c r="AF29" i="85"/>
  <c r="AH29" i="85" s="1"/>
  <c r="AG48" i="85"/>
  <c r="AI48" i="85" s="1"/>
  <c r="AK48" i="85" s="1"/>
  <c r="AM48" i="85" s="1"/>
  <c r="BU48" i="85" s="1"/>
  <c r="BV48" i="85" s="1"/>
  <c r="AF46" i="85"/>
  <c r="AH46" i="85" s="1"/>
  <c r="AF23" i="85"/>
  <c r="AH23" i="85" s="1"/>
  <c r="AF36" i="85"/>
  <c r="AG32" i="85"/>
  <c r="AI32" i="85" s="1"/>
  <c r="AK32" i="85" s="1"/>
  <c r="AM32" i="85" s="1"/>
  <c r="AG29" i="85"/>
  <c r="AI29" i="85" s="1"/>
  <c r="AK29" i="85" s="1"/>
  <c r="AM29" i="85" s="1"/>
  <c r="AF45" i="85"/>
  <c r="AH45" i="85" s="1"/>
  <c r="AF25" i="85"/>
  <c r="AH25" i="85" s="1"/>
  <c r="AF26" i="85"/>
  <c r="AH26" i="85" s="1"/>
  <c r="AF32" i="85"/>
  <c r="AH32" i="85" s="1"/>
  <c r="AG31" i="85"/>
  <c r="AI31" i="85" s="1"/>
  <c r="AK31" i="85" s="1"/>
  <c r="AM31" i="85" s="1"/>
  <c r="AG47" i="85"/>
  <c r="AI47" i="85" s="1"/>
  <c r="AK47" i="85" s="1"/>
  <c r="AM47" i="85" s="1"/>
  <c r="BU47" i="85" s="1"/>
  <c r="BV47" i="85" s="1"/>
  <c r="AF44" i="85"/>
  <c r="AG36" i="85"/>
  <c r="AG26" i="85"/>
  <c r="AG30" i="85"/>
  <c r="AI30" i="85" s="1"/>
  <c r="AK30" i="85" s="1"/>
  <c r="AM30" i="85" s="1"/>
  <c r="AG28" i="85"/>
  <c r="AI28" i="85" s="1"/>
  <c r="AK28" i="85" s="1"/>
  <c r="AM28" i="85" s="1"/>
  <c r="AF27" i="85"/>
  <c r="AH27" i="85" s="1"/>
  <c r="AG27" i="85"/>
  <c r="AI27" i="85" s="1"/>
  <c r="AK27" i="85" s="1"/>
  <c r="AM27" i="85" s="1"/>
  <c r="AF30" i="85"/>
  <c r="AH30" i="85" s="1"/>
  <c r="AG49" i="85"/>
  <c r="AI49" i="85" s="1"/>
  <c r="AK49" i="85" s="1"/>
  <c r="AM49" i="85" s="1"/>
  <c r="BU49" i="85" s="1"/>
  <c r="BV49" i="85" s="1"/>
  <c r="AG26" i="68"/>
  <c r="AI23" i="68"/>
  <c r="AJ39" i="68"/>
  <c r="AL39" i="68" s="1"/>
  <c r="BI39" i="68" s="1"/>
  <c r="BJ39" i="68" s="1"/>
  <c r="AJ33" i="68"/>
  <c r="AL33" i="68" s="1"/>
  <c r="BI33" i="68" s="1"/>
  <c r="BJ33" i="68" s="1"/>
  <c r="AJ29" i="68"/>
  <c r="AL29" i="68" s="1"/>
  <c r="BI29" i="68" s="1"/>
  <c r="BJ29" i="68" s="1"/>
  <c r="AJ64" i="68"/>
  <c r="AL64" i="68" s="1"/>
  <c r="BI64" i="68" s="1"/>
  <c r="BJ64" i="68" s="1"/>
  <c r="AJ63" i="68"/>
  <c r="AL63" i="68" s="1"/>
  <c r="BI63" i="68" s="1"/>
  <c r="BJ63" i="68" s="1"/>
  <c r="AJ61" i="68"/>
  <c r="AL61" i="68" s="1"/>
  <c r="BI61" i="68" s="1"/>
  <c r="BJ61" i="68" s="1"/>
  <c r="AJ43" i="68"/>
  <c r="AL43" i="68" s="1"/>
  <c r="BI43" i="68" s="1"/>
  <c r="BJ43" i="68" s="1"/>
  <c r="AJ55" i="68"/>
  <c r="AL55" i="68" s="1"/>
  <c r="BI55" i="68" s="1"/>
  <c r="BJ55" i="68" s="1"/>
  <c r="AF26" i="68"/>
  <c r="AH20" i="68"/>
  <c r="AE28" i="83"/>
  <c r="AI46" i="32"/>
  <c r="AK38" i="32"/>
  <c r="AF46" i="68"/>
  <c r="AH38" i="68"/>
  <c r="AG36" i="68"/>
  <c r="AI34" i="68"/>
  <c r="AJ34" i="68"/>
  <c r="AL34" i="68" s="1"/>
  <c r="AJ30" i="68"/>
  <c r="AL30" i="68" s="1"/>
  <c r="BI30" i="68" s="1"/>
  <c r="BJ30" i="68" s="1"/>
  <c r="AJ40" i="68"/>
  <c r="AL40" i="68" s="1"/>
  <c r="BI40" i="68" s="1"/>
  <c r="BJ40" i="68" s="1"/>
  <c r="AJ45" i="68"/>
  <c r="AL45" i="68" s="1"/>
  <c r="BI45" i="68" s="1"/>
  <c r="BJ45" i="68" s="1"/>
  <c r="AJ41" i="68"/>
  <c r="AL41" i="68" s="1"/>
  <c r="BI41" i="68" s="1"/>
  <c r="BJ41" i="68" s="1"/>
  <c r="AJ52" i="68"/>
  <c r="AL52" i="68" s="1"/>
  <c r="BI52" i="68" s="1"/>
  <c r="BJ52" i="68" s="1"/>
  <c r="AF56" i="68"/>
  <c r="AH48" i="68"/>
  <c r="AK34" i="32"/>
  <c r="AI36" i="32"/>
  <c r="AH56" i="32"/>
  <c r="AJ48" i="32"/>
  <c r="AJ56" i="32" s="1"/>
  <c r="AJ22" i="68"/>
  <c r="AL22" i="68" s="1"/>
  <c r="BI22" i="68" s="1"/>
  <c r="BJ22" i="68" s="1"/>
  <c r="AK58" i="32"/>
  <c r="AI65" i="32"/>
  <c r="AF36" i="68"/>
  <c r="AH28" i="68"/>
  <c r="AG56" i="68"/>
  <c r="AI48" i="68"/>
  <c r="AJ21" i="68"/>
  <c r="AL21" i="68" s="1"/>
  <c r="BI21" i="68" s="1"/>
  <c r="BJ21" i="68" s="1"/>
  <c r="AG46" i="68"/>
  <c r="AI38" i="68"/>
  <c r="AJ54" i="68"/>
  <c r="AL54" i="68" s="1"/>
  <c r="BI54" i="68" s="1"/>
  <c r="BJ54" i="68" s="1"/>
  <c r="AJ59" i="68"/>
  <c r="AL59" i="68" s="1"/>
  <c r="BI59" i="68" s="1"/>
  <c r="BJ59" i="68" s="1"/>
  <c r="AJ53" i="68"/>
  <c r="AL53" i="68" s="1"/>
  <c r="BI53" i="68" s="1"/>
  <c r="BJ53" i="68" s="1"/>
  <c r="AJ50" i="68"/>
  <c r="AL50" i="68" s="1"/>
  <c r="BI50" i="68" s="1"/>
  <c r="BJ50" i="68" s="1"/>
  <c r="AI56" i="32"/>
  <c r="AK48" i="32"/>
  <c r="Y28" i="87"/>
  <c r="Y37" i="87" s="1"/>
  <c r="AD22" i="87"/>
  <c r="AK42" i="30" l="1"/>
  <c r="AL36" i="30"/>
  <c r="BU36" i="30" s="1"/>
  <c r="AM42" i="30"/>
  <c r="AK34" i="30"/>
  <c r="BU31" i="30"/>
  <c r="BV31" i="30" s="1"/>
  <c r="BU30" i="30"/>
  <c r="BV30" i="30" s="1"/>
  <c r="AG34" i="30"/>
  <c r="AI34" i="30"/>
  <c r="AG42" i="30"/>
  <c r="AH34" i="30"/>
  <c r="BU41" i="30"/>
  <c r="BV41" i="30" s="1"/>
  <c r="BU40" i="30"/>
  <c r="BV40" i="30" s="1"/>
  <c r="BU27" i="30"/>
  <c r="BV27" i="30" s="1"/>
  <c r="AL42" i="30"/>
  <c r="AF34" i="30"/>
  <c r="AI42" i="30"/>
  <c r="AF42" i="30"/>
  <c r="AF43" i="30" s="1"/>
  <c r="AJ42" i="30"/>
  <c r="AJ34" i="30"/>
  <c r="AH42" i="30"/>
  <c r="AH43" i="30" s="1"/>
  <c r="AG43" i="30"/>
  <c r="AI43" i="30"/>
  <c r="B39" i="102" s="1"/>
  <c r="BU28" i="31"/>
  <c r="BV28" i="31" s="1"/>
  <c r="AJ58" i="32"/>
  <c r="AJ65" i="32" s="1"/>
  <c r="AJ66" i="32" s="1"/>
  <c r="AI26" i="32"/>
  <c r="AF66" i="32"/>
  <c r="AF42" i="31"/>
  <c r="BU31" i="31"/>
  <c r="BV31" i="31" s="1"/>
  <c r="AL20" i="32"/>
  <c r="AL26" i="32" s="1"/>
  <c r="AL34" i="30"/>
  <c r="AL43" i="30" s="1"/>
  <c r="X51" i="83"/>
  <c r="AG66" i="32"/>
  <c r="AF34" i="31"/>
  <c r="BU38" i="31"/>
  <c r="BV38" i="31" s="1"/>
  <c r="BU40" i="31"/>
  <c r="BV40" i="31" s="1"/>
  <c r="BU29" i="31"/>
  <c r="BV29" i="31" s="1"/>
  <c r="AG48" i="31"/>
  <c r="AI48" i="31" s="1"/>
  <c r="AK48" i="31" s="1"/>
  <c r="AM48" i="31" s="1"/>
  <c r="BU48" i="31" s="1"/>
  <c r="BV48" i="31" s="1"/>
  <c r="BU32" i="31"/>
  <c r="BV32" i="31" s="1"/>
  <c r="AL28" i="32"/>
  <c r="BI28" i="32" s="1"/>
  <c r="BU37" i="31"/>
  <c r="BV37" i="31" s="1"/>
  <c r="AL41" i="31"/>
  <c r="BU41" i="31" s="1"/>
  <c r="BV41" i="31" s="1"/>
  <c r="AL26" i="31"/>
  <c r="BU30" i="31"/>
  <c r="BV30" i="31" s="1"/>
  <c r="AG34" i="31"/>
  <c r="AF66" i="68"/>
  <c r="AL38" i="32"/>
  <c r="AL39" i="31"/>
  <c r="BU39" i="31" s="1"/>
  <c r="BV39" i="31" s="1"/>
  <c r="BU27" i="31"/>
  <c r="BV27" i="31" s="1"/>
  <c r="AG42" i="31"/>
  <c r="AF50" i="31"/>
  <c r="AE48" i="83"/>
  <c r="AE50" i="83" s="1"/>
  <c r="AM38" i="32"/>
  <c r="AM46" i="32" s="1"/>
  <c r="AK46" i="32"/>
  <c r="AJ27" i="85"/>
  <c r="AL27" i="85" s="1"/>
  <c r="BU27" i="85" s="1"/>
  <c r="BV27" i="85" s="1"/>
  <c r="AJ45" i="85"/>
  <c r="AL45" i="85" s="1"/>
  <c r="BU45" i="85" s="1"/>
  <c r="BV45" i="85" s="1"/>
  <c r="AJ29" i="85"/>
  <c r="AL29" i="85" s="1"/>
  <c r="BU29" i="85" s="1"/>
  <c r="BV29" i="85" s="1"/>
  <c r="AG50" i="85"/>
  <c r="AI44" i="85"/>
  <c r="AK48" i="68"/>
  <c r="AI56" i="68"/>
  <c r="AH42" i="31"/>
  <c r="AJ36" i="31"/>
  <c r="AJ42" i="31" s="1"/>
  <c r="AH56" i="68"/>
  <c r="AJ48" i="68"/>
  <c r="AJ56" i="68" s="1"/>
  <c r="AJ38" i="68"/>
  <c r="AJ46" i="68" s="1"/>
  <c r="AH46" i="68"/>
  <c r="AE34" i="83"/>
  <c r="AL48" i="32"/>
  <c r="AJ20" i="68"/>
  <c r="AJ26" i="68" s="1"/>
  <c r="AH26" i="68"/>
  <c r="AI42" i="31"/>
  <c r="AK36" i="31"/>
  <c r="AG34" i="85"/>
  <c r="AI26" i="85"/>
  <c r="AJ25" i="85"/>
  <c r="AL25" i="85" s="1"/>
  <c r="BU25" i="85" s="1"/>
  <c r="BV25" i="85" s="1"/>
  <c r="AF34" i="85"/>
  <c r="AH22" i="85"/>
  <c r="AJ24" i="85"/>
  <c r="AL24" i="85" s="1"/>
  <c r="BU24" i="85" s="1"/>
  <c r="BV24" i="85" s="1"/>
  <c r="AK26" i="32"/>
  <c r="AM23" i="32"/>
  <c r="BV22" i="30"/>
  <c r="AK58" i="68"/>
  <c r="AI65" i="68"/>
  <c r="AK44" i="31"/>
  <c r="AJ44" i="31"/>
  <c r="AJ50" i="31" s="1"/>
  <c r="AH50" i="31"/>
  <c r="AJ28" i="68"/>
  <c r="AJ36" i="68" s="1"/>
  <c r="AH36" i="68"/>
  <c r="AJ22" i="31"/>
  <c r="AJ34" i="31" s="1"/>
  <c r="AH34" i="31"/>
  <c r="AG42" i="85"/>
  <c r="AI36" i="85"/>
  <c r="AF42" i="85"/>
  <c r="AH36" i="85"/>
  <c r="AJ37" i="85"/>
  <c r="AL37" i="85" s="1"/>
  <c r="BU37" i="85" s="1"/>
  <c r="BV37" i="85" s="1"/>
  <c r="AD34" i="83"/>
  <c r="AD51" i="83" s="1"/>
  <c r="AF17" i="83" s="1"/>
  <c r="C16" i="88"/>
  <c r="AK65" i="32"/>
  <c r="AM58" i="32"/>
  <c r="AM65" i="32" s="1"/>
  <c r="AM34" i="32"/>
  <c r="AK36" i="32"/>
  <c r="AK23" i="68"/>
  <c r="AI26" i="68"/>
  <c r="AF50" i="85"/>
  <c r="AH44" i="85"/>
  <c r="AJ32" i="85"/>
  <c r="AL32" i="85" s="1"/>
  <c r="BU32" i="85" s="1"/>
  <c r="BV32" i="85" s="1"/>
  <c r="AJ23" i="85"/>
  <c r="AL23" i="85" s="1"/>
  <c r="BU23" i="85" s="1"/>
  <c r="BV23" i="85" s="1"/>
  <c r="AJ31" i="85"/>
  <c r="AL31" i="85" s="1"/>
  <c r="BU31" i="85" s="1"/>
  <c r="BV31" i="85" s="1"/>
  <c r="AH65" i="68"/>
  <c r="AJ58" i="68"/>
  <c r="AJ65" i="68" s="1"/>
  <c r="AI34" i="31"/>
  <c r="AK26" i="31"/>
  <c r="AH66" i="32"/>
  <c r="AK56" i="32"/>
  <c r="AM48" i="32"/>
  <c r="AM56" i="32" s="1"/>
  <c r="AK34" i="68"/>
  <c r="AI36" i="68"/>
  <c r="AD28" i="87"/>
  <c r="AD37" i="87" s="1"/>
  <c r="AF12" i="87" s="1"/>
  <c r="AI46" i="68"/>
  <c r="AK38" i="68"/>
  <c r="AG66" i="68"/>
  <c r="AJ30" i="85"/>
  <c r="AL30" i="85" s="1"/>
  <c r="BU30" i="85" s="1"/>
  <c r="BV30" i="85" s="1"/>
  <c r="AJ26" i="85"/>
  <c r="AL26" i="85" s="1"/>
  <c r="AJ46" i="85"/>
  <c r="AL46" i="85" s="1"/>
  <c r="BU46" i="85" s="1"/>
  <c r="BV46" i="85" s="1"/>
  <c r="AJ28" i="85"/>
  <c r="AL28" i="85" s="1"/>
  <c r="BU28" i="85" s="1"/>
  <c r="BV28" i="85" s="1"/>
  <c r="AM34" i="30"/>
  <c r="BU26" i="30"/>
  <c r="BV26" i="30" s="1"/>
  <c r="AK43" i="30" l="1"/>
  <c r="B38" i="102"/>
  <c r="B37" i="102"/>
  <c r="B41" i="102"/>
  <c r="AM43" i="30"/>
  <c r="AJ43" i="30"/>
  <c r="AI66" i="32"/>
  <c r="AG50" i="31"/>
  <c r="AG51" i="31" s="1"/>
  <c r="AL58" i="32"/>
  <c r="AL65" i="32" s="1"/>
  <c r="AL36" i="32"/>
  <c r="BI20" i="32"/>
  <c r="BJ20" i="32" s="1"/>
  <c r="AI50" i="31"/>
  <c r="AI51" i="31" s="1"/>
  <c r="B41" i="56" s="1"/>
  <c r="B44" i="56" s="1"/>
  <c r="AF51" i="31"/>
  <c r="AE51" i="83"/>
  <c r="AL38" i="68"/>
  <c r="AL46" i="68" s="1"/>
  <c r="BI38" i="32"/>
  <c r="BI46" i="32" s="1"/>
  <c r="AL46" i="32"/>
  <c r="AL58" i="68"/>
  <c r="AL65" i="68" s="1"/>
  <c r="BU34" i="30"/>
  <c r="AL36" i="31"/>
  <c r="AL42" i="31" s="1"/>
  <c r="AL22" i="31"/>
  <c r="BU22" i="31" s="1"/>
  <c r="AL28" i="68"/>
  <c r="BI28" i="68" s="1"/>
  <c r="AL20" i="68"/>
  <c r="BI20" i="68" s="1"/>
  <c r="AJ51" i="31"/>
  <c r="AL44" i="31"/>
  <c r="AL50" i="31" s="1"/>
  <c r="AM36" i="32"/>
  <c r="BI34" i="32"/>
  <c r="BJ34" i="32" s="1"/>
  <c r="AH34" i="85"/>
  <c r="AJ22" i="85"/>
  <c r="AJ34" i="85" s="1"/>
  <c r="AG35" i="87"/>
  <c r="AI35" i="87" s="1"/>
  <c r="AK35" i="87" s="1"/>
  <c r="AM35" i="87" s="1"/>
  <c r="AF18" i="87"/>
  <c r="AH18" i="87" s="1"/>
  <c r="AG17" i="87"/>
  <c r="AG31" i="87"/>
  <c r="AI31" i="87" s="1"/>
  <c r="AK31" i="87" s="1"/>
  <c r="AM31" i="87" s="1"/>
  <c r="AF23" i="87"/>
  <c r="AH23" i="87" s="1"/>
  <c r="AG33" i="87"/>
  <c r="AI33" i="87" s="1"/>
  <c r="AK33" i="87" s="1"/>
  <c r="AM33" i="87" s="1"/>
  <c r="AF17" i="87"/>
  <c r="AG32" i="87"/>
  <c r="AI32" i="87" s="1"/>
  <c r="AK32" i="87" s="1"/>
  <c r="AM32" i="87" s="1"/>
  <c r="AG20" i="87"/>
  <c r="AI20" i="87" s="1"/>
  <c r="AK20" i="87" s="1"/>
  <c r="AM20" i="87" s="1"/>
  <c r="AF21" i="87"/>
  <c r="AH21" i="87" s="1"/>
  <c r="AG30" i="87"/>
  <c r="AF20" i="87"/>
  <c r="AH20" i="87" s="1"/>
  <c r="AG18" i="87"/>
  <c r="AI18" i="87" s="1"/>
  <c r="AK18" i="87" s="1"/>
  <c r="AM18" i="87" s="1"/>
  <c r="AG34" i="87"/>
  <c r="AI34" i="87" s="1"/>
  <c r="AK34" i="87" s="1"/>
  <c r="AM34" i="87" s="1"/>
  <c r="AF26" i="87"/>
  <c r="AH26" i="87" s="1"/>
  <c r="AF19" i="87"/>
  <c r="AH19" i="87" s="1"/>
  <c r="AG27" i="87"/>
  <c r="AI27" i="87" s="1"/>
  <c r="AK27" i="87" s="1"/>
  <c r="AM27" i="87" s="1"/>
  <c r="AF24" i="87"/>
  <c r="AH24" i="87" s="1"/>
  <c r="AG19" i="87"/>
  <c r="AI19" i="87" s="1"/>
  <c r="AK19" i="87" s="1"/>
  <c r="AM19" i="87" s="1"/>
  <c r="AF27" i="87"/>
  <c r="AH27" i="87" s="1"/>
  <c r="AF33" i="87"/>
  <c r="AH33" i="87" s="1"/>
  <c r="AG24" i="87"/>
  <c r="AI24" i="87" s="1"/>
  <c r="AK24" i="87" s="1"/>
  <c r="AM24" i="87" s="1"/>
  <c r="AF30" i="87"/>
  <c r="AF32" i="87"/>
  <c r="AH32" i="87" s="1"/>
  <c r="AF35" i="87"/>
  <c r="AH35" i="87" s="1"/>
  <c r="AF31" i="87"/>
  <c r="AH31" i="87" s="1"/>
  <c r="AG26" i="87"/>
  <c r="AI26" i="87" s="1"/>
  <c r="AK26" i="87" s="1"/>
  <c r="AM26" i="87" s="1"/>
  <c r="AF25" i="87"/>
  <c r="AH25" i="87" s="1"/>
  <c r="AF34" i="87"/>
  <c r="AH34" i="87" s="1"/>
  <c r="AG23" i="87"/>
  <c r="AI23" i="87" s="1"/>
  <c r="AK23" i="87" s="1"/>
  <c r="AM23" i="87" s="1"/>
  <c r="AG21" i="87"/>
  <c r="AI21" i="87" s="1"/>
  <c r="AK21" i="87" s="1"/>
  <c r="AM21" i="87" s="1"/>
  <c r="AG25" i="87"/>
  <c r="AI25" i="87" s="1"/>
  <c r="AK25" i="87" s="1"/>
  <c r="AM25" i="87" s="1"/>
  <c r="AG22" i="87"/>
  <c r="AI22" i="87" s="1"/>
  <c r="AK22" i="87" s="1"/>
  <c r="AM22" i="87" s="1"/>
  <c r="AI66" i="68"/>
  <c r="AH42" i="85"/>
  <c r="AJ36" i="85"/>
  <c r="AJ42" i="85" s="1"/>
  <c r="AK50" i="31"/>
  <c r="AM44" i="31"/>
  <c r="AM50" i="31" s="1"/>
  <c r="AK66" i="32"/>
  <c r="AF51" i="85"/>
  <c r="AG51" i="85"/>
  <c r="AL56" i="32"/>
  <c r="BI48" i="32"/>
  <c r="AM48" i="68"/>
  <c r="AM56" i="68" s="1"/>
  <c r="AK56" i="68"/>
  <c r="AG41" i="83"/>
  <c r="AI41" i="83" s="1"/>
  <c r="AK41" i="83" s="1"/>
  <c r="AM41" i="83" s="1"/>
  <c r="AF28" i="83"/>
  <c r="AH28" i="83" s="1"/>
  <c r="AG44" i="83"/>
  <c r="AF31" i="83"/>
  <c r="AH31" i="83" s="1"/>
  <c r="AF24" i="83"/>
  <c r="AH24" i="83" s="1"/>
  <c r="AF22" i="83"/>
  <c r="AF40" i="83"/>
  <c r="AH40" i="83" s="1"/>
  <c r="AG37" i="83"/>
  <c r="AI37" i="83" s="1"/>
  <c r="AK37" i="83" s="1"/>
  <c r="AM37" i="83" s="1"/>
  <c r="AF38" i="83"/>
  <c r="AH38" i="83" s="1"/>
  <c r="AF29" i="83"/>
  <c r="AH29" i="83" s="1"/>
  <c r="AG39" i="83"/>
  <c r="AI39" i="83" s="1"/>
  <c r="AK39" i="83" s="1"/>
  <c r="AM39" i="83" s="1"/>
  <c r="AF36" i="83"/>
  <c r="AF37" i="83"/>
  <c r="AH37" i="83" s="1"/>
  <c r="AG49" i="83"/>
  <c r="AI49" i="83" s="1"/>
  <c r="AK49" i="83" s="1"/>
  <c r="AM49" i="83" s="1"/>
  <c r="BU49" i="83" s="1"/>
  <c r="BV49" i="83" s="1"/>
  <c r="AG40" i="83"/>
  <c r="AI40" i="83" s="1"/>
  <c r="AK40" i="83" s="1"/>
  <c r="AM40" i="83" s="1"/>
  <c r="AF41" i="83"/>
  <c r="AH41" i="83" s="1"/>
  <c r="AG31" i="83"/>
  <c r="AI31" i="83" s="1"/>
  <c r="AK31" i="83" s="1"/>
  <c r="AM31" i="83" s="1"/>
  <c r="AF23" i="83"/>
  <c r="AH23" i="83" s="1"/>
  <c r="AG38" i="83"/>
  <c r="AI38" i="83" s="1"/>
  <c r="AK38" i="83" s="1"/>
  <c r="AM38" i="83" s="1"/>
  <c r="AG48" i="83"/>
  <c r="AI48" i="83" s="1"/>
  <c r="AK48" i="83" s="1"/>
  <c r="AM48" i="83" s="1"/>
  <c r="BU48" i="83" s="1"/>
  <c r="BV48" i="83" s="1"/>
  <c r="AF46" i="83"/>
  <c r="AH46" i="83" s="1"/>
  <c r="AG32" i="83"/>
  <c r="AI32" i="83" s="1"/>
  <c r="AK32" i="83" s="1"/>
  <c r="AM32" i="83" s="1"/>
  <c r="AG47" i="83"/>
  <c r="AI47" i="83" s="1"/>
  <c r="AK47" i="83" s="1"/>
  <c r="AM47" i="83" s="1"/>
  <c r="BU47" i="83" s="1"/>
  <c r="BV47" i="83" s="1"/>
  <c r="AF39" i="83"/>
  <c r="AH39" i="83" s="1"/>
  <c r="AF45" i="83"/>
  <c r="AH45" i="83" s="1"/>
  <c r="AF32" i="83"/>
  <c r="AH32" i="83" s="1"/>
  <c r="AF44" i="83"/>
  <c r="AF30" i="83"/>
  <c r="AH30" i="83" s="1"/>
  <c r="AG30" i="83"/>
  <c r="AI30" i="83" s="1"/>
  <c r="AK30" i="83" s="1"/>
  <c r="AM30" i="83" s="1"/>
  <c r="AG36" i="83"/>
  <c r="AF25" i="83"/>
  <c r="AH25" i="83" s="1"/>
  <c r="AG29" i="83"/>
  <c r="AI29" i="83" s="1"/>
  <c r="AK29" i="83" s="1"/>
  <c r="AM29" i="83" s="1"/>
  <c r="AF26" i="83"/>
  <c r="AH26" i="83" s="1"/>
  <c r="AG26" i="83"/>
  <c r="AG27" i="83"/>
  <c r="AI27" i="83" s="1"/>
  <c r="AK27" i="83" s="1"/>
  <c r="AM27" i="83" s="1"/>
  <c r="AM26" i="32"/>
  <c r="BI23" i="32"/>
  <c r="BJ23" i="32" s="1"/>
  <c r="AK42" i="31"/>
  <c r="AM36" i="31"/>
  <c r="AM42" i="31" s="1"/>
  <c r="AG28" i="83"/>
  <c r="AI28" i="83" s="1"/>
  <c r="AK28" i="83" s="1"/>
  <c r="AM28" i="83" s="1"/>
  <c r="AM34" i="68"/>
  <c r="AK36" i="68"/>
  <c r="BU42" i="30"/>
  <c r="BV36" i="30"/>
  <c r="AK26" i="68"/>
  <c r="AM23" i="68"/>
  <c r="BJ28" i="32"/>
  <c r="AF27" i="83"/>
  <c r="AH27" i="83" s="1"/>
  <c r="AH66" i="68"/>
  <c r="AK34" i="31"/>
  <c r="AM26" i="31"/>
  <c r="AK26" i="85"/>
  <c r="AI34" i="85"/>
  <c r="AK44" i="85"/>
  <c r="AI50" i="85"/>
  <c r="AM38" i="68"/>
  <c r="AM46" i="68" s="1"/>
  <c r="AK46" i="68"/>
  <c r="AF22" i="87"/>
  <c r="AH22" i="87" s="1"/>
  <c r="AJ44" i="85"/>
  <c r="AJ50" i="85" s="1"/>
  <c r="AH50" i="85"/>
  <c r="AI42" i="85"/>
  <c r="AK36" i="85"/>
  <c r="AH51" i="31"/>
  <c r="AM58" i="68"/>
  <c r="AM65" i="68" s="1"/>
  <c r="AK65" i="68"/>
  <c r="AJ66" i="68"/>
  <c r="AL48" i="68"/>
  <c r="B12" i="102" l="1"/>
  <c r="B28" i="102" s="1"/>
  <c r="B29" i="102" s="1"/>
  <c r="AI51" i="85"/>
  <c r="B39" i="86" s="1"/>
  <c r="BJ38" i="32"/>
  <c r="BI58" i="32"/>
  <c r="AL34" i="31"/>
  <c r="AL51" i="31" s="1"/>
  <c r="BI36" i="32"/>
  <c r="AL26" i="68"/>
  <c r="AL36" i="68"/>
  <c r="BU43" i="30"/>
  <c r="AM66" i="32"/>
  <c r="AL36" i="85"/>
  <c r="AL42" i="85" s="1"/>
  <c r="AL66" i="32"/>
  <c r="BI26" i="32"/>
  <c r="AK51" i="31"/>
  <c r="AK66" i="68"/>
  <c r="BI38" i="68"/>
  <c r="BJ38" i="68" s="1"/>
  <c r="AJ26" i="83"/>
  <c r="AL26" i="83" s="1"/>
  <c r="AJ46" i="83"/>
  <c r="AL46" i="83" s="1"/>
  <c r="BU46" i="83" s="1"/>
  <c r="BV46" i="83" s="1"/>
  <c r="AJ24" i="83"/>
  <c r="AL24" i="83" s="1"/>
  <c r="BU24" i="83" s="1"/>
  <c r="BV24" i="83" s="1"/>
  <c r="B40" i="56"/>
  <c r="B43" i="56" s="1"/>
  <c r="B39" i="56"/>
  <c r="B42" i="56" s="1"/>
  <c r="BJ28" i="68"/>
  <c r="BU36" i="31"/>
  <c r="AI44" i="83"/>
  <c r="AG50" i="83"/>
  <c r="AL56" i="68"/>
  <c r="BI48" i="68"/>
  <c r="AM36" i="85"/>
  <c r="AM42" i="85" s="1"/>
  <c r="AK42" i="85"/>
  <c r="AL44" i="85"/>
  <c r="BV22" i="31"/>
  <c r="AM26" i="68"/>
  <c r="BI23" i="68"/>
  <c r="BJ23" i="68" s="1"/>
  <c r="AM36" i="68"/>
  <c r="BI34" i="68"/>
  <c r="BJ34" i="68" s="1"/>
  <c r="AG34" i="83"/>
  <c r="AI26" i="83"/>
  <c r="AG42" i="83"/>
  <c r="AI36" i="83"/>
  <c r="AJ32" i="83"/>
  <c r="AL32" i="83" s="1"/>
  <c r="BU32" i="83" s="1"/>
  <c r="BV32" i="83" s="1"/>
  <c r="AJ23" i="83"/>
  <c r="AL23" i="83" s="1"/>
  <c r="BU23" i="83" s="1"/>
  <c r="BV23" i="83" s="1"/>
  <c r="AJ29" i="83"/>
  <c r="AL29" i="83" s="1"/>
  <c r="BU29" i="83" s="1"/>
  <c r="BV29" i="83" s="1"/>
  <c r="AF34" i="83"/>
  <c r="AH22" i="83"/>
  <c r="AJ28" i="83"/>
  <c r="AL28" i="83" s="1"/>
  <c r="BU28" i="83" s="1"/>
  <c r="BV28" i="83" s="1"/>
  <c r="AJ25" i="87"/>
  <c r="AL25" i="87" s="1"/>
  <c r="BQ25" i="87" s="1"/>
  <c r="BR25" i="87" s="1"/>
  <c r="AJ32" i="87"/>
  <c r="AL32" i="87" s="1"/>
  <c r="BQ32" i="87" s="1"/>
  <c r="BR32" i="87" s="1"/>
  <c r="AJ27" i="87"/>
  <c r="AL27" i="87" s="1"/>
  <c r="BQ27" i="87" s="1"/>
  <c r="BR27" i="87" s="1"/>
  <c r="AJ19" i="87"/>
  <c r="AL19" i="87" s="1"/>
  <c r="BQ19" i="87" s="1"/>
  <c r="BR19" i="87" s="1"/>
  <c r="AJ20" i="87"/>
  <c r="AL20" i="87" s="1"/>
  <c r="BQ20" i="87" s="1"/>
  <c r="BR20" i="87" s="1"/>
  <c r="AJ37" i="83"/>
  <c r="AL37" i="83" s="1"/>
  <c r="BU37" i="83" s="1"/>
  <c r="BV37" i="83" s="1"/>
  <c r="AJ38" i="83"/>
  <c r="AL38" i="83" s="1"/>
  <c r="BU38" i="83" s="1"/>
  <c r="BV38" i="83" s="1"/>
  <c r="AF36" i="87"/>
  <c r="AH30" i="87"/>
  <c r="AJ26" i="87"/>
  <c r="AL26" i="87" s="1"/>
  <c r="BQ26" i="87" s="1"/>
  <c r="BR26" i="87" s="1"/>
  <c r="AG36" i="87"/>
  <c r="AI30" i="87"/>
  <c r="AF28" i="87"/>
  <c r="AH17" i="87"/>
  <c r="AI17" i="87"/>
  <c r="AG28" i="87"/>
  <c r="AJ51" i="85"/>
  <c r="AJ22" i="87"/>
  <c r="AL22" i="87" s="1"/>
  <c r="BQ22" i="87" s="1"/>
  <c r="BR22" i="87" s="1"/>
  <c r="AM34" i="31"/>
  <c r="AM51" i="31" s="1"/>
  <c r="BU26" i="31"/>
  <c r="BV26" i="31" s="1"/>
  <c r="BU44" i="31"/>
  <c r="AJ30" i="83"/>
  <c r="AL30" i="83" s="1"/>
  <c r="BU30" i="83" s="1"/>
  <c r="BV30" i="83" s="1"/>
  <c r="AJ39" i="83"/>
  <c r="AL39" i="83" s="1"/>
  <c r="BU39" i="83" s="1"/>
  <c r="BV39" i="83" s="1"/>
  <c r="AJ41" i="83"/>
  <c r="AL41" i="83" s="1"/>
  <c r="BU41" i="83" s="1"/>
  <c r="BV41" i="83" s="1"/>
  <c r="AF42" i="83"/>
  <c r="AH36" i="83"/>
  <c r="AJ31" i="83"/>
  <c r="AL31" i="83" s="1"/>
  <c r="BU31" i="83" s="1"/>
  <c r="BV31" i="83" s="1"/>
  <c r="BI56" i="32"/>
  <c r="BJ48" i="32"/>
  <c r="AJ31" i="87"/>
  <c r="AL31" i="87" s="1"/>
  <c r="BQ31" i="87" s="1"/>
  <c r="BR31" i="87" s="1"/>
  <c r="AJ24" i="87"/>
  <c r="AL24" i="87" s="1"/>
  <c r="BQ24" i="87" s="1"/>
  <c r="BR24" i="87" s="1"/>
  <c r="AJ21" i="87"/>
  <c r="AL21" i="87" s="1"/>
  <c r="BQ21" i="87" s="1"/>
  <c r="BR21" i="87" s="1"/>
  <c r="AJ18" i="87"/>
  <c r="AL18" i="87" s="1"/>
  <c r="BQ18" i="87" s="1"/>
  <c r="BR18" i="87" s="1"/>
  <c r="AL22" i="85"/>
  <c r="BI58" i="68"/>
  <c r="AM26" i="85"/>
  <c r="AK34" i="85"/>
  <c r="AJ27" i="83"/>
  <c r="AL27" i="83" s="1"/>
  <c r="BU27" i="83" s="1"/>
  <c r="BV27" i="83" s="1"/>
  <c r="AJ45" i="83"/>
  <c r="AL45" i="83" s="1"/>
  <c r="BU45" i="83" s="1"/>
  <c r="BV45" i="83" s="1"/>
  <c r="AM44" i="85"/>
  <c r="AM50" i="85" s="1"/>
  <c r="AK50" i="85"/>
  <c r="AJ25" i="83"/>
  <c r="AL25" i="83" s="1"/>
  <c r="BU25" i="83" s="1"/>
  <c r="BV25" i="83" s="1"/>
  <c r="AF50" i="83"/>
  <c r="AH44" i="83"/>
  <c r="AJ40" i="83"/>
  <c r="AL40" i="83" s="1"/>
  <c r="BU40" i="83" s="1"/>
  <c r="BV40" i="83" s="1"/>
  <c r="AJ34" i="87"/>
  <c r="AL34" i="87" s="1"/>
  <c r="BQ34" i="87" s="1"/>
  <c r="BR34" i="87" s="1"/>
  <c r="AJ35" i="87"/>
  <c r="AL35" i="87" s="1"/>
  <c r="BQ35" i="87" s="1"/>
  <c r="BR35" i="87" s="1"/>
  <c r="AJ33" i="87"/>
  <c r="AL33" i="87" s="1"/>
  <c r="BQ33" i="87" s="1"/>
  <c r="BR33" i="87" s="1"/>
  <c r="AJ23" i="87"/>
  <c r="AL23" i="87" s="1"/>
  <c r="BQ23" i="87" s="1"/>
  <c r="BR23" i="87" s="1"/>
  <c r="BJ20" i="68"/>
  <c r="AH51" i="85"/>
  <c r="B38" i="86" s="1"/>
  <c r="B37" i="86" l="1"/>
  <c r="B40" i="86" s="1"/>
  <c r="B40" i="102"/>
  <c r="B42" i="102"/>
  <c r="BJ58" i="32"/>
  <c r="BI65" i="32"/>
  <c r="BI66" i="32" s="1"/>
  <c r="BI46" i="68"/>
  <c r="AL66" i="68"/>
  <c r="B12" i="56"/>
  <c r="B30" i="56" s="1"/>
  <c r="BI26" i="68"/>
  <c r="BI36" i="68"/>
  <c r="AG51" i="83"/>
  <c r="AK17" i="87"/>
  <c r="AI28" i="87"/>
  <c r="AL34" i="85"/>
  <c r="BU22" i="85"/>
  <c r="AH28" i="87"/>
  <c r="AJ17" i="87"/>
  <c r="AJ28" i="87" s="1"/>
  <c r="AJ22" i="83"/>
  <c r="AJ34" i="83" s="1"/>
  <c r="AH34" i="83"/>
  <c r="AI42" i="83"/>
  <c r="AK36" i="83"/>
  <c r="BJ48" i="68"/>
  <c r="BI56" i="68"/>
  <c r="BU42" i="31"/>
  <c r="BV36" i="31"/>
  <c r="AM34" i="85"/>
  <c r="AM51" i="85" s="1"/>
  <c r="BU26" i="85"/>
  <c r="BV26" i="85" s="1"/>
  <c r="AH50" i="83"/>
  <c r="AJ44" i="83"/>
  <c r="AJ50" i="83" s="1"/>
  <c r="AJ36" i="83"/>
  <c r="AJ42" i="83" s="1"/>
  <c r="AH42" i="83"/>
  <c r="AF37" i="87"/>
  <c r="BU36" i="85"/>
  <c r="AF51" i="83"/>
  <c r="AM66" i="68"/>
  <c r="BU34" i="31"/>
  <c r="BU44" i="85"/>
  <c r="AL50" i="85"/>
  <c r="BU50" i="31"/>
  <c r="BV44" i="31"/>
  <c r="AK44" i="83"/>
  <c r="AI50" i="83"/>
  <c r="AK51" i="85"/>
  <c r="BJ58" i="68"/>
  <c r="BI65" i="68"/>
  <c r="AG37" i="87"/>
  <c r="AI36" i="87"/>
  <c r="AK30" i="87"/>
  <c r="AJ30" i="87"/>
  <c r="AJ36" i="87" s="1"/>
  <c r="AH36" i="87"/>
  <c r="AK26" i="83"/>
  <c r="AI34" i="83"/>
  <c r="B42" i="86" l="1"/>
  <c r="C12" i="56"/>
  <c r="AI51" i="83"/>
  <c r="B41" i="84" s="1"/>
  <c r="B44" i="84" s="1"/>
  <c r="AL17" i="87"/>
  <c r="AL28" i="87" s="1"/>
  <c r="BI66" i="68"/>
  <c r="AL30" i="87"/>
  <c r="AL36" i="87" s="1"/>
  <c r="AK50" i="83"/>
  <c r="AM44" i="83"/>
  <c r="AM50" i="83" s="1"/>
  <c r="BU51" i="31"/>
  <c r="AL36" i="83"/>
  <c r="AM36" i="83"/>
  <c r="AM42" i="83" s="1"/>
  <c r="AK42" i="83"/>
  <c r="AJ51" i="83"/>
  <c r="AJ37" i="87"/>
  <c r="AI37" i="87"/>
  <c r="B39" i="88" s="1"/>
  <c r="B42" i="88" s="1"/>
  <c r="AH51" i="83"/>
  <c r="BU50" i="85"/>
  <c r="BV44" i="85"/>
  <c r="BV36" i="85"/>
  <c r="BU42" i="85"/>
  <c r="AL44" i="83"/>
  <c r="AH37" i="87"/>
  <c r="BV22" i="85"/>
  <c r="BU34" i="85"/>
  <c r="AK28" i="87"/>
  <c r="AM17" i="87"/>
  <c r="AM28" i="87" s="1"/>
  <c r="AM26" i="83"/>
  <c r="AK34" i="83"/>
  <c r="AM30" i="87"/>
  <c r="AM36" i="87" s="1"/>
  <c r="AK36" i="87"/>
  <c r="AL22" i="83"/>
  <c r="AL51" i="85"/>
  <c r="B41" i="86" s="1"/>
  <c r="C30" i="56"/>
  <c r="B31" i="56"/>
  <c r="B32" i="56" s="1"/>
  <c r="B12" i="86" l="1"/>
  <c r="AL37" i="87"/>
  <c r="BQ17" i="87"/>
  <c r="BR17" i="87" s="1"/>
  <c r="BU51" i="85"/>
  <c r="B35" i="56"/>
  <c r="D15" i="56"/>
  <c r="D14" i="56"/>
  <c r="D13" i="56"/>
  <c r="D26" i="56"/>
  <c r="D29" i="56"/>
  <c r="B33" i="56"/>
  <c r="D20" i="56"/>
  <c r="C32" i="56"/>
  <c r="D28" i="56"/>
  <c r="B34" i="56"/>
  <c r="D27" i="56"/>
  <c r="D23" i="56"/>
  <c r="D24" i="56"/>
  <c r="D18" i="56"/>
  <c r="D19" i="56"/>
  <c r="D25" i="56"/>
  <c r="D17" i="56"/>
  <c r="D22" i="56"/>
  <c r="D21" i="56"/>
  <c r="D16" i="56"/>
  <c r="D12" i="56"/>
  <c r="D30" i="56"/>
  <c r="AK37" i="87"/>
  <c r="B39" i="84"/>
  <c r="B42" i="84" s="1"/>
  <c r="B40" i="84"/>
  <c r="B43" i="84" s="1"/>
  <c r="BU36" i="83"/>
  <c r="AL42" i="83"/>
  <c r="AL50" i="83"/>
  <c r="BU44" i="83"/>
  <c r="AL34" i="83"/>
  <c r="BU22" i="83"/>
  <c r="AK51" i="83"/>
  <c r="B38" i="88"/>
  <c r="B41" i="88" s="1"/>
  <c r="B37" i="88"/>
  <c r="B40" i="88" s="1"/>
  <c r="BQ30" i="87"/>
  <c r="D31" i="56"/>
  <c r="C31" i="56"/>
  <c r="AM34" i="83"/>
  <c r="AM51" i="83" s="1"/>
  <c r="BU26" i="83"/>
  <c r="BV26" i="83" s="1"/>
  <c r="AM37" i="87"/>
  <c r="B28" i="86" l="1"/>
  <c r="B29" i="86" s="1"/>
  <c r="C12" i="86"/>
  <c r="C12" i="102"/>
  <c r="BQ28" i="87"/>
  <c r="B12" i="88"/>
  <c r="C12" i="88" s="1"/>
  <c r="AL51" i="83"/>
  <c r="B12" i="84" s="1"/>
  <c r="D32" i="56"/>
  <c r="BU34" i="83"/>
  <c r="BV22" i="83"/>
  <c r="BU50" i="83"/>
  <c r="BV44" i="83"/>
  <c r="BR30" i="87"/>
  <c r="BQ36" i="87"/>
  <c r="BU42" i="83"/>
  <c r="BV36" i="83"/>
  <c r="C28" i="86" l="1"/>
  <c r="C28" i="102"/>
  <c r="BQ37" i="87"/>
  <c r="B29" i="88"/>
  <c r="C29" i="88" s="1"/>
  <c r="B28" i="88"/>
  <c r="C28" i="88" s="1"/>
  <c r="C12" i="84"/>
  <c r="B30" i="84"/>
  <c r="C29" i="86"/>
  <c r="BU51" i="83"/>
  <c r="B30" i="86"/>
  <c r="C29" i="102" l="1"/>
  <c r="B30" i="102"/>
  <c r="B30" i="88"/>
  <c r="D14" i="88" s="1"/>
  <c r="B32" i="86"/>
  <c r="D19" i="86"/>
  <c r="D27" i="86"/>
  <c r="B31" i="86"/>
  <c r="D25" i="86"/>
  <c r="C30" i="86"/>
  <c r="D26" i="86"/>
  <c r="D13" i="86"/>
  <c r="B33" i="86"/>
  <c r="D14" i="86"/>
  <c r="D23" i="86"/>
  <c r="D24" i="86"/>
  <c r="D17" i="86"/>
  <c r="D18" i="86"/>
  <c r="D22" i="86"/>
  <c r="D16" i="86"/>
  <c r="D21" i="86"/>
  <c r="D20" i="86"/>
  <c r="D15" i="86"/>
  <c r="D12" i="86"/>
  <c r="D28" i="86"/>
  <c r="D29" i="86"/>
  <c r="B31" i="84"/>
  <c r="B32" i="84" s="1"/>
  <c r="D30" i="84" s="1"/>
  <c r="C30" i="84"/>
  <c r="B32" i="102" l="1"/>
  <c r="B33" i="102"/>
  <c r="B31" i="102"/>
  <c r="C30" i="102"/>
  <c r="D17" i="102"/>
  <c r="D19" i="102"/>
  <c r="D25" i="102"/>
  <c r="D27" i="102"/>
  <c r="D18" i="102"/>
  <c r="D22" i="102"/>
  <c r="D14" i="102"/>
  <c r="D21" i="102"/>
  <c r="D23" i="102"/>
  <c r="D13" i="102"/>
  <c r="D16" i="102"/>
  <c r="D20" i="102"/>
  <c r="D24" i="102"/>
  <c r="D26" i="102"/>
  <c r="D15" i="102"/>
  <c r="D12" i="102"/>
  <c r="D28" i="102"/>
  <c r="D29" i="102"/>
  <c r="D24" i="88"/>
  <c r="D13" i="88"/>
  <c r="D26" i="88"/>
  <c r="D12" i="88"/>
  <c r="D27" i="88"/>
  <c r="D16" i="88"/>
  <c r="D18" i="88"/>
  <c r="B32" i="88"/>
  <c r="B31" i="88"/>
  <c r="D20" i="88"/>
  <c r="D19" i="88"/>
  <c r="D22" i="88"/>
  <c r="B33" i="88"/>
  <c r="D25" i="88"/>
  <c r="D17" i="88"/>
  <c r="D21" i="88"/>
  <c r="D23" i="88"/>
  <c r="D15" i="88"/>
  <c r="C30" i="88"/>
  <c r="D28" i="88"/>
  <c r="D29" i="88"/>
  <c r="D30" i="86"/>
  <c r="D26" i="84"/>
  <c r="D28" i="84"/>
  <c r="D20" i="84"/>
  <c r="D14" i="84"/>
  <c r="D29" i="84"/>
  <c r="B35" i="84"/>
  <c r="D15" i="84"/>
  <c r="B34" i="84"/>
  <c r="C32" i="84"/>
  <c r="B33" i="84"/>
  <c r="D13" i="84"/>
  <c r="D27" i="84"/>
  <c r="D19" i="84"/>
  <c r="D18" i="84"/>
  <c r="D24" i="84"/>
  <c r="D23" i="84"/>
  <c r="D22" i="84"/>
  <c r="D17" i="84"/>
  <c r="D25" i="84"/>
  <c r="D16" i="84"/>
  <c r="D21" i="84"/>
  <c r="D12" i="84"/>
  <c r="C31" i="84"/>
  <c r="D31" i="84"/>
  <c r="D32" i="84" s="1"/>
  <c r="D30" i="102" l="1"/>
  <c r="D30" i="88"/>
</calcChain>
</file>

<file path=xl/comments1.xml><?xml version="1.0" encoding="utf-8"?>
<comments xmlns="http://schemas.openxmlformats.org/spreadsheetml/2006/main">
  <authors>
    <author>Любовь</author>
  </authors>
  <commentList>
    <comment ref="B57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26950 руб за 216,5 л
124,5 руб за 1л
136,8 руб за 1 кг
13680 руб за 1 ц</t>
        </r>
      </text>
    </comment>
    <comment ref="B59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220 за 1 кг</t>
        </r>
      </text>
    </comment>
    <comment ref="A95" authorId="0">
      <text>
        <r>
          <rPr>
            <b/>
            <sz val="9"/>
            <color indexed="81"/>
            <rFont val="Tahoma"/>
            <family val="2"/>
            <charset val="204"/>
          </rPr>
          <t>Любовь:</t>
        </r>
        <r>
          <rPr>
            <sz val="9"/>
            <color indexed="81"/>
            <rFont val="Tahoma"/>
            <family val="2"/>
            <charset val="204"/>
          </rPr>
          <t xml:space="preserve">
Приказ об утв метод реком по сост техкарт от 30.12.2016 №867</t>
        </r>
      </text>
    </comment>
  </commentList>
</comments>
</file>

<file path=xl/comments10.xml><?xml version="1.0" encoding="utf-8"?>
<comments xmlns="http://schemas.openxmlformats.org/spreadsheetml/2006/main">
  <authors>
    <author>Максимов Р.М.</author>
    <author>1</author>
    <author>gurieva.am</author>
  </authors>
  <commentList>
    <comment ref="K20" authorId="0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48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48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0,251г*20л.с.*0,75квт/ч*0,54</t>
        </r>
      </text>
    </comment>
    <comment ref="K49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AN49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
</t>
        </r>
      </text>
    </comment>
    <comment ref="K50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50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</t>
        </r>
      </text>
    </comment>
    <comment ref="K5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58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K5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0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K61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2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3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4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comments2.xml><?xml version="1.0" encoding="utf-8"?>
<comments xmlns="http://schemas.openxmlformats.org/spreadsheetml/2006/main">
  <authors>
    <author>Максимов Р.М.</author>
  </authors>
  <commentList>
    <comment ref="F44" authorId="0">
      <text>
        <r>
          <rPr>
            <sz val="8"/>
            <color indexed="81"/>
            <rFont val="Tahoma"/>
            <family val="2"/>
            <charset val="204"/>
          </rPr>
          <t xml:space="preserve">Среднем 95 смен полива за вегетационный период по 7ч.
</t>
        </r>
      </text>
    </comment>
    <comment ref="F45" authorId="0">
      <text>
        <r>
          <rPr>
            <sz val="8"/>
            <color indexed="81"/>
            <rFont val="Tahoma"/>
            <family val="2"/>
            <charset val="204"/>
          </rPr>
          <t>Сборник нормативных материалов на работы, выполняемые машинно-технологическими станциями (мтс). — М.: ФГНУ “Росинформагротех”, 2001. — 190 с.</t>
        </r>
      </text>
    </comment>
    <comment ref="F86" authorId="0">
      <text>
        <r>
          <rPr>
            <sz val="8"/>
            <color indexed="81"/>
            <rFont val="Tahoma"/>
            <family val="2"/>
            <charset val="204"/>
          </rPr>
          <t xml:space="preserve">За 1 смену 70 тонн
Годовая закрузка (с 15 августа по 1 октября 45 дней) 315 ч.
</t>
        </r>
      </text>
    </comment>
  </commentList>
</comments>
</file>

<file path=xl/comments3.xml><?xml version="1.0" encoding="utf-8"?>
<comments xmlns="http://schemas.openxmlformats.org/spreadsheetml/2006/main">
  <authors>
    <author>1</author>
    <author>Максимов Р.М.</author>
  </authors>
  <commentList>
    <comment ref="E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0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4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35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3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3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5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ч.1, стр. 83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6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"Типовые нормы выроботки и расход топлива на с/х мех. Работы" М.-1994, ч.1, стр. 53
</t>
        </r>
      </text>
    </comment>
    <comment ref="E4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выроботки и расход топлива на с/х мех. Работы" М.-1994, ч.1, стр. 37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49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58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E59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E6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E6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E6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E6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6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7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7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E8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4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E8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8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E8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  <comment ref="E89" authorId="1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E9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9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E9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97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9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E10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E10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E106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7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8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09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0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E111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E112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E113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E114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5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6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7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E118" authorId="0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E11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E120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1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E122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3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4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E125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comments4.xml><?xml version="1.0" encoding="utf-8"?>
<comments xmlns="http://schemas.openxmlformats.org/spreadsheetml/2006/main">
  <authors>
    <author>1</author>
    <author>Максимов Р.М.</author>
  </authors>
  <commentList>
    <comment ref="K17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1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1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стр.528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</t>
        </r>
        <r>
          <rPr>
            <b/>
            <sz val="8"/>
            <color indexed="81"/>
            <rFont val="Tahoma"/>
            <family val="2"/>
            <charset val="204"/>
          </rPr>
          <t>15 КПС-5Г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2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2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33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3" authorId="1">
      <text>
        <r>
          <rPr>
            <sz val="8"/>
            <color indexed="81"/>
            <rFont val="Tahoma"/>
            <family val="2"/>
            <charset val="204"/>
          </rPr>
          <t xml:space="preserve">Расчет сделан на основании расхода топлива на 1 усл.га
</t>
        </r>
      </text>
    </comment>
    <comment ref="K3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По данным завода изготовителя</t>
        </r>
      </text>
    </comment>
    <comment ref="AN34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</commentList>
</comments>
</file>

<file path=xl/comments5.xml><?xml version="1.0" encoding="utf-8"?>
<comments xmlns="http://schemas.openxmlformats.org/spreadsheetml/2006/main">
  <authors>
    <author>1</author>
    <author>Максимов Р.М.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ч.1, стр. 83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"Типовые нормы выроботки и расход топлива на с/х мех. Работы" М.-1994, ч.1, стр. 53
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выроботки и расход топлива на с/х мех. Работы" М.-1994, ч.1, стр. 37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стр.531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стр.532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расхода топлива на тракторно-транспортные работы, М.-2000, стр.25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7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0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1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6.xml><?xml version="1.0" encoding="utf-8"?>
<comments xmlns="http://schemas.openxmlformats.org/spreadsheetml/2006/main">
  <authors>
    <author>1</author>
    <author>Максимов Р.М.</author>
    <author>Гаврильев Вячеслав Владимирович</author>
    <author>gurieva.am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http://www.eridon-tech.com.ua/lemken-solitair/</t>
        </r>
      </text>
    </comment>
    <comment ref="AT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 центнер овса + 0,05 рапса</t>
        </r>
      </text>
    </comment>
    <comment ref="AV32" authorId="3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20+40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6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3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4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12,5 кг/га/0,84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4 рейса за 7 часов, один рейс 20 тонны, </t>
        </r>
      </text>
    </comment>
    <comment ref="K4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7.xml><?xml version="1.0" encoding="utf-8"?>
<comments xmlns="http://schemas.openxmlformats.org/spreadsheetml/2006/main">
  <authors>
    <author>1</author>
    <author>Максимов Р.М.</author>
    <author>Гаврильев Вячеслав Владимирович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2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http://www.eridon-tech.com.ua/lemken-solitair/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6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3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4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12,5 кг/га/0,84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4 рейса за 7 часов, один рейс 20 тонны, </t>
        </r>
      </text>
    </comment>
    <comment ref="K4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8.xml><?xml version="1.0" encoding="utf-8"?>
<comments xmlns="http://schemas.openxmlformats.org/spreadsheetml/2006/main">
  <authors>
    <author>1</author>
    <author>Максимов Р.М.</author>
    <author>Гаврильев Вячеслав Владимирович</author>
  </authors>
  <commentLis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25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3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Максимов Р.М.:
</t>
        </r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М.-1994 стр. 83</t>
        </r>
      </text>
    </comment>
    <comment ref="K2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52</t>
        </r>
      </text>
    </comment>
    <comment ref="K25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М.-1994 стр. 53</t>
        </r>
      </text>
    </comment>
    <comment ref="K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 М.-1992, стр.527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1:"Типовые нормы выработки и расход топлива на мех. Работы по внесению мин.удобр." М.-1994,  стр. 195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36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K37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K38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8" authorId="1">
      <text>
        <r>
          <rPr>
            <sz val="8"/>
            <color indexed="81"/>
            <rFont val="Tahoma"/>
            <family val="2"/>
            <charset val="204"/>
          </rPr>
          <t xml:space="preserve">СНП -50/80 расход ГСМ 16,8л/ч
16,8 л/ч*24ч=403,2 л за сутки
1 полив: Полив 6 дней*406,2л=2419л
2 полив: Полив 6 дней*403,2л=2419л
3 полив: Полив 9 дней*403,2л=3628,8л
Итого расход  ГСМ за 21 дней = 8466,8 л
</t>
        </r>
      </text>
    </comment>
    <comment ref="K39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39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0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0" authorId="1">
      <text>
        <r>
          <rPr>
            <sz val="8"/>
            <color indexed="81"/>
            <rFont val="Tahoma"/>
            <family val="2"/>
            <charset val="204"/>
          </rPr>
          <t xml:space="preserve">Технические характеристики 
Подача воды, л/с ........................................ 30-140 
Напор воды, м ............................................ 25-85 
Удельный расход топлива, кг/тыс.куб.м ..................... 1,26 
Мощность двигателя эксплуатационная, л.с. ................... 95 
Масса, кг.................................................. 2065 
2400 куб.м./га
1000 куб.м.----------1,26 кг.
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>Справочник овощевода Якутии Сост. Т.А. Перлова. - Якутск-1984 г. Стр. 38</t>
        </r>
      </text>
    </comment>
    <comment ref="AN41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 12,2 кг.</t>
        </r>
      </text>
    </comment>
    <comment ref="K44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4" authorId="2">
      <text>
        <r>
          <rPr>
            <b/>
            <sz val="9"/>
            <color indexed="81"/>
            <rFont val="Tahoma"/>
            <family val="2"/>
            <charset val="204"/>
          </rPr>
          <t>Гаврильев Вячеслав Владимирович:</t>
        </r>
        <r>
          <rPr>
            <sz val="9"/>
            <color indexed="81"/>
            <rFont val="Tahoma"/>
            <family val="2"/>
            <charset val="204"/>
          </rPr>
          <t xml:space="preserve">
12,5 кг/га/0,84</t>
        </r>
      </text>
    </comment>
    <comment ref="K45" authorId="1">
      <text>
        <r>
          <rPr>
            <b/>
            <sz val="8"/>
            <color indexed="81"/>
            <rFont val="Tahoma"/>
            <family val="2"/>
            <charset val="204"/>
          </rPr>
          <t>Поликарпов А.Р.</t>
        </r>
        <r>
          <rPr>
            <sz val="8"/>
            <color indexed="81"/>
            <rFont val="Tahoma"/>
            <family val="2"/>
            <charset val="204"/>
          </rPr>
          <t xml:space="preserve">
4 рейса за 7 часов, один рейс 4 тонны, зерновые коэф перевода 0,8 тонн.
</t>
        </r>
      </text>
    </comment>
    <comment ref="K46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7" authorId="0">
      <text>
        <r>
          <rPr>
            <b/>
            <sz val="8"/>
            <color indexed="81"/>
            <rFont val="Tahoma"/>
            <family val="2"/>
            <charset val="204"/>
          </rPr>
          <t>1:Типовые нормы выработки и нормативы времени на ручные с/х работы:М.-1992, стр.93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N47" authorId="1">
      <text>
        <r>
          <rPr>
            <sz val="8"/>
            <color indexed="81"/>
            <rFont val="Tahoma"/>
            <family val="2"/>
            <charset val="204"/>
          </rPr>
          <t>Расчет сделан на основании расхода топлива на 1 усл.га</t>
        </r>
      </text>
    </comment>
    <comment ref="K48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нормативы времени на ручные с/х работы" М-1992 стр. 93-94</t>
        </r>
      </text>
    </comment>
    <comment ref="K49" authorId="1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"Нормативы выработки и расценки на конно-ручные сельскохозяйственные работы" М-1982 стр. 39</t>
        </r>
      </text>
    </comment>
  </commentList>
</comments>
</file>

<file path=xl/comments9.xml><?xml version="1.0" encoding="utf-8"?>
<comments xmlns="http://schemas.openxmlformats.org/spreadsheetml/2006/main">
  <authors>
    <author>Максимов Р.М.</author>
    <author>1</author>
    <author>gurieva.am</author>
  </authors>
  <commentList>
    <comment ref="K20" authorId="0">
      <text>
        <r>
          <rPr>
            <sz val="8"/>
            <color indexed="81"/>
            <rFont val="Tahoma"/>
            <family val="2"/>
            <charset val="204"/>
          </rPr>
          <t>"Типовые нормы выроботки и расход топлива на с/х мех. Работы" ч. 2 М.-1994 стр. 11</t>
        </r>
      </text>
    </comment>
    <comment ref="K2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2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3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1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3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4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5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11</t>
        </r>
      </text>
    </comment>
    <comment ref="K39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27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Максимов Р.М.:</t>
        </r>
        <r>
          <rPr>
            <sz val="8"/>
            <color indexed="81"/>
            <rFont val="Tahoma"/>
            <family val="2"/>
            <charset val="204"/>
          </rPr>
          <t xml:space="preserve">
"Типовые нормы выроботки и расход топлива на с/х мех. Работы" ч. 2 М.-1994 стр. 29</t>
        </r>
      </text>
    </comment>
    <comment ref="K4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4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48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48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0,251г*20л.с.*0,75квт/ч*0,54</t>
        </r>
      </text>
    </comment>
    <comment ref="K49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стр.89
</t>
        </r>
      </text>
    </comment>
    <comment ref="AN49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
</t>
        </r>
      </text>
    </comment>
    <comment ref="K50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стр.86
</t>
        </r>
      </text>
    </comment>
    <comment ref="AN50" authorId="2">
      <text>
        <r>
          <rPr>
            <b/>
            <sz val="9"/>
            <color indexed="81"/>
            <rFont val="Tahoma"/>
            <family val="2"/>
            <charset val="204"/>
          </rPr>
          <t>gurieva.am:</t>
        </r>
        <r>
          <rPr>
            <sz val="9"/>
            <color indexed="81"/>
            <rFont val="Tahoma"/>
            <family val="2"/>
            <charset val="204"/>
          </rPr>
          <t xml:space="preserve">
0,251г*20л.с.*0,75квт.ч.*0,63</t>
        </r>
      </text>
    </comment>
    <comment ref="K51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2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3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4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стр.90
</t>
        </r>
      </text>
    </comment>
    <comment ref="K55" authorId="1">
      <text>
        <r>
          <rPr>
            <sz val="8"/>
            <color indexed="81"/>
            <rFont val="Tahoma"/>
            <family val="2"/>
            <charset val="204"/>
          </rPr>
          <t xml:space="preserve">1:Типовые нормы выработки и нормативы времени на ручные с/х работы: М.1992, стр.91
</t>
        </r>
      </text>
    </comment>
    <comment ref="K58" authorId="0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стр.171
</t>
        </r>
      </text>
    </comment>
    <comment ref="K59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0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стр.172
</t>
        </r>
      </text>
    </comment>
    <comment ref="K61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2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3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  <comment ref="K64" authorId="1">
      <text>
        <r>
          <rPr>
            <sz val="8"/>
            <color indexed="81"/>
            <rFont val="Tahoma"/>
            <family val="2"/>
            <charset val="204"/>
          </rPr>
          <t xml:space="preserve">Сборник зональных норм и расценок на сх работы: Я.1966, стр.173
</t>
        </r>
      </text>
    </comment>
  </commentList>
</comments>
</file>

<file path=xl/sharedStrings.xml><?xml version="1.0" encoding="utf-8"?>
<sst xmlns="http://schemas.openxmlformats.org/spreadsheetml/2006/main" count="2641" uniqueCount="640">
  <si>
    <t>Трактор МТЗ-1221</t>
  </si>
  <si>
    <t>Борона БДП-3,0</t>
  </si>
  <si>
    <t>Прицепной кормоуборочный комбайн</t>
  </si>
  <si>
    <t>Погрузчик ПМТ-0,1</t>
  </si>
  <si>
    <t>300руб</t>
  </si>
  <si>
    <t>138руб</t>
  </si>
  <si>
    <t>с НДС</t>
  </si>
  <si>
    <t>ДТЗ, ДТА</t>
  </si>
  <si>
    <t>вил.</t>
  </si>
  <si>
    <t>центр.</t>
  </si>
  <si>
    <t>масла</t>
  </si>
  <si>
    <t>Балансовая стоимость, (тыс.руб.)*</t>
  </si>
  <si>
    <t>Цены на нефтепродукты (руб/цн)*</t>
  </si>
  <si>
    <t>Наименование работ</t>
  </si>
  <si>
    <t>Расход ГСМ</t>
  </si>
  <si>
    <t>за весь объем работ</t>
  </si>
  <si>
    <t>Единица измерения</t>
  </si>
  <si>
    <t>Трактористов-машинистов</t>
  </si>
  <si>
    <t>Прицепщиков и рабочих на ручных работах</t>
  </si>
  <si>
    <t>Северный и районный коэффициент</t>
  </si>
  <si>
    <t>Разряд оплаты труда</t>
  </si>
  <si>
    <t>Часовая ставка</t>
  </si>
  <si>
    <t>Итого</t>
  </si>
  <si>
    <t>Погрузка семян вручную</t>
  </si>
  <si>
    <t>Транспортировка семян к месту посева</t>
  </si>
  <si>
    <t>Разгрузка семян вручную</t>
  </si>
  <si>
    <t>Погрузка минеральных удобрений вручную</t>
  </si>
  <si>
    <t>Разгрузка минеральных удобрений вручную</t>
  </si>
  <si>
    <t>Посев зерна с внесением минеральных удобрений</t>
  </si>
  <si>
    <t>Послепосевное прикатывание</t>
  </si>
  <si>
    <t>Всего</t>
  </si>
  <si>
    <t>Сроки выполнения работ</t>
  </si>
  <si>
    <t>Дата начала</t>
  </si>
  <si>
    <t>Дата окончания</t>
  </si>
  <si>
    <t>Количество рабочих дней</t>
  </si>
  <si>
    <t>Объемы работ в физическом выражении</t>
  </si>
  <si>
    <t>Обслуживающий персонал  для выполнения нормы</t>
  </si>
  <si>
    <t>механизаторов</t>
  </si>
  <si>
    <t>разнорабочих</t>
  </si>
  <si>
    <t>Количество нормо-смен в объеме работы</t>
  </si>
  <si>
    <t>Норма выработки (норма смен / га; норма смен / тн)</t>
  </si>
  <si>
    <t>Требуется агрегатов</t>
  </si>
  <si>
    <t>количество</t>
  </si>
  <si>
    <t>коэфф.перевода, кг</t>
  </si>
  <si>
    <t>вид ГСМ</t>
  </si>
  <si>
    <t>Амортизация техники</t>
  </si>
  <si>
    <t>тракторов</t>
  </si>
  <si>
    <t>сельхозмашин</t>
  </si>
  <si>
    <t>на 1 час работы</t>
  </si>
  <si>
    <t>Прямые затраты</t>
  </si>
  <si>
    <t>всего (ц)</t>
  </si>
  <si>
    <t>за 7 часовую смену усл.эт.га</t>
  </si>
  <si>
    <t>Наименование работ и средства механизации</t>
  </si>
  <si>
    <t>марка сельхозмашин</t>
  </si>
  <si>
    <t>марка тракторов, комбайнов, автомашин</t>
  </si>
  <si>
    <t>НОРМАТИВНО-ТЕХНОЛОГИЧЕСКАЯ КАРТА</t>
  </si>
  <si>
    <t>№№ п/п</t>
  </si>
  <si>
    <t>Предпосевная подготовка почвы и посев</t>
  </si>
  <si>
    <t>по производству продукции растениеводства</t>
  </si>
  <si>
    <t>Эталонная выработка трактора, комбайна (усл.-эт.га)</t>
  </si>
  <si>
    <t>Погрузка минеральных удобрений</t>
  </si>
  <si>
    <t>Разгрузка минеральных удобрений</t>
  </si>
  <si>
    <t>Погрузка семян</t>
  </si>
  <si>
    <t>Разгрузка семян</t>
  </si>
  <si>
    <t>Транспортировка минеральных удобрений</t>
  </si>
  <si>
    <t>Транспортировка семян</t>
  </si>
  <si>
    <t>Уборка</t>
  </si>
  <si>
    <t>Кошение с одновременным плющением</t>
  </si>
  <si>
    <t>Вспушение и подвяливание</t>
  </si>
  <si>
    <t>Формирование валок</t>
  </si>
  <si>
    <t>Прессование рулонов с последующей их транспортировкой к месту упаковки и хранения</t>
  </si>
  <si>
    <t>Упаковка рулонов</t>
  </si>
  <si>
    <t>Культура: Зерновые на сенаж (без полива)</t>
  </si>
  <si>
    <t>Полив</t>
  </si>
  <si>
    <t>Подача воды в оросительную сеть</t>
  </si>
  <si>
    <t>Вегетационный полив</t>
  </si>
  <si>
    <t>Культура: Зерновые на силос (без полива)</t>
  </si>
  <si>
    <t>Транспортировка минеральных удобрений к месту посева</t>
  </si>
  <si>
    <t>Кошение</t>
  </si>
  <si>
    <t>Транспортировка зеленой массы</t>
  </si>
  <si>
    <t>Утрамбовка</t>
  </si>
  <si>
    <t>Разбрасивание и перемешивание кормовой соли</t>
  </si>
  <si>
    <t>Укрытие зеленой массы пленкой</t>
  </si>
  <si>
    <t>Укрытие силосной массы сеном или соломой</t>
  </si>
  <si>
    <t>Уборка и закладка</t>
  </si>
  <si>
    <t>Культура: Сено</t>
  </si>
  <si>
    <t>Ворошение</t>
  </si>
  <si>
    <t>Сгребание в валки</t>
  </si>
  <si>
    <t>Прием и укладка сена в стогообразователь</t>
  </si>
  <si>
    <t>Сгребание сена после подбора стогообразователем</t>
  </si>
  <si>
    <t>Прессование</t>
  </si>
  <si>
    <t>Сгребание сена после пресс-подборщика</t>
  </si>
  <si>
    <t>Погрузка рулонов на транспортный прицеп</t>
  </si>
  <si>
    <t>Транспортировка рулонов к месту скирдования</t>
  </si>
  <si>
    <t>Укладка сена в штабеля</t>
  </si>
  <si>
    <t>Копнение</t>
  </si>
  <si>
    <t>Сгребание после копнения</t>
  </si>
  <si>
    <t>Подача сена на стог</t>
  </si>
  <si>
    <t>Укладка сена на стогу</t>
  </si>
  <si>
    <t>Вариант 3: Заготовка сена полумеханизированным способом</t>
  </si>
  <si>
    <t>Вариант 2: Заготовка сена механизированным способом с прессованием</t>
  </si>
  <si>
    <t>Вариант 1: Заготовка сена механизированным способом со стогообразователем</t>
  </si>
  <si>
    <t>Сгребание</t>
  </si>
  <si>
    <t>Поднос копны</t>
  </si>
  <si>
    <t>Вариант 5: Заготовка сена ручным способом</t>
  </si>
  <si>
    <t>ДТ-75</t>
  </si>
  <si>
    <t>СВУ-2,6</t>
  </si>
  <si>
    <t>МТЗ-82</t>
  </si>
  <si>
    <t>га</t>
  </si>
  <si>
    <t>Т-150</t>
  </si>
  <si>
    <t xml:space="preserve">Закрытие влаги </t>
  </si>
  <si>
    <t>тн</t>
  </si>
  <si>
    <t>СЗ-3,6</t>
  </si>
  <si>
    <t>БЗСС-1,0</t>
  </si>
  <si>
    <t>ОВТ-1А</t>
  </si>
  <si>
    <t>ПН-4-35</t>
  </si>
  <si>
    <t>Енисей</t>
  </si>
  <si>
    <t>2ПТС-4</t>
  </si>
  <si>
    <t>ЗАВ-10</t>
  </si>
  <si>
    <t>СЗ-6</t>
  </si>
  <si>
    <t>Вручную</t>
  </si>
  <si>
    <t>тн.</t>
  </si>
  <si>
    <t>БДТ-3,0</t>
  </si>
  <si>
    <t>КПГ-250</t>
  </si>
  <si>
    <t>шт</t>
  </si>
  <si>
    <t>кв.м.</t>
  </si>
  <si>
    <t>Бульд.</t>
  </si>
  <si>
    <t>ПФ-0,5</t>
  </si>
  <si>
    <t>ЛДГ-10 А</t>
  </si>
  <si>
    <t>РОУ-5</t>
  </si>
  <si>
    <t>ИСУ-4</t>
  </si>
  <si>
    <t>РМГ-4</t>
  </si>
  <si>
    <t>КРН-4,2</t>
  </si>
  <si>
    <t>СНП-50/80</t>
  </si>
  <si>
    <t>ДДН-70</t>
  </si>
  <si>
    <t>КИР-1,5</t>
  </si>
  <si>
    <t>КТН-2В</t>
  </si>
  <si>
    <t>СН-4Б</t>
  </si>
  <si>
    <t>КСМ-4</t>
  </si>
  <si>
    <t>ПБ-35</t>
  </si>
  <si>
    <t>Т-16</t>
  </si>
  <si>
    <t>ОЗГ-120А</t>
  </si>
  <si>
    <t>ФС-07</t>
  </si>
  <si>
    <t>куб.м.</t>
  </si>
  <si>
    <t>ПРСМ-7</t>
  </si>
  <si>
    <t>Теплогенератор</t>
  </si>
  <si>
    <t>ЛДГ-5</t>
  </si>
  <si>
    <t>П-4</t>
  </si>
  <si>
    <t>Д-606</t>
  </si>
  <si>
    <t>ПТС-6</t>
  </si>
  <si>
    <t>РУМ-3</t>
  </si>
  <si>
    <t>СКН-6А</t>
  </si>
  <si>
    <t>АПР</t>
  </si>
  <si>
    <t>КПС-4</t>
  </si>
  <si>
    <t>ЗКВГ-1,4</t>
  </si>
  <si>
    <t>ДТЛ</t>
  </si>
  <si>
    <t>ДТЗ</t>
  </si>
  <si>
    <t>Тарифные разряды, ставки для оплаты труда работников сельскохозяйственных предприятий</t>
  </si>
  <si>
    <t>Профессия</t>
  </si>
  <si>
    <t>ставки</t>
  </si>
  <si>
    <t>разряды</t>
  </si>
  <si>
    <t>коэффициент</t>
  </si>
  <si>
    <t>месячная ставка, руб./коп</t>
  </si>
  <si>
    <t>дневная ставка (сменная) руб./коп</t>
  </si>
  <si>
    <t>часовая ставка, руб./коп</t>
  </si>
  <si>
    <t>Надбавка за стаж работы в данном хозяйстве</t>
  </si>
  <si>
    <t>Резерв отпусков</t>
  </si>
  <si>
    <t>Процент доплат за качественное и своевременное выполнение работ</t>
  </si>
  <si>
    <t>Вид работ</t>
  </si>
  <si>
    <t>За высококачественную подготовку почвы согласны агротехническим требованиям</t>
  </si>
  <si>
    <t>За качественное проведение сева, посадки культур в строго установленные сроки</t>
  </si>
  <si>
    <t>За своевременное и качественное проведение работ по обработке почвы, проведению работ по борьбе с вредителями, болезнями и уничтожению сорняков с применением гербецидов</t>
  </si>
  <si>
    <t>За высокое качество уборки урожая в установленные сроки без потерь</t>
  </si>
  <si>
    <t>Размер дополнительной оплаты, в% к заработной плате (не менее)</t>
  </si>
  <si>
    <t>За заготовку кормов высокого качества и в сжатые агротехнические сроки</t>
  </si>
  <si>
    <t>Трактористов-машинистов (1класс-20%, 2класс-10%)</t>
  </si>
  <si>
    <t>Прицепщиков и рабочих на ручных работах (мастер растениеводства 1 класса-20%, 2го класса-10%)</t>
  </si>
  <si>
    <t>Стаж работы в данном хозяйстве</t>
  </si>
  <si>
    <t>Размер надбавки за стаж работы (в% к заработку)</t>
  </si>
  <si>
    <t>от 2 до 5 лет</t>
  </si>
  <si>
    <t>от 5 до 10 лет</t>
  </si>
  <si>
    <t>от 10 до 15 лет</t>
  </si>
  <si>
    <t>от 15 до 20 лет</t>
  </si>
  <si>
    <t>свыше 20 лет</t>
  </si>
  <si>
    <t>Марка тракторов</t>
  </si>
  <si>
    <t>К-700</t>
  </si>
  <si>
    <t>МТЗ-1221</t>
  </si>
  <si>
    <t>Синтай-220</t>
  </si>
  <si>
    <t>СНП-50/79</t>
  </si>
  <si>
    <t>Расход семян</t>
  </si>
  <si>
    <t>всего (тн)</t>
  </si>
  <si>
    <t>Нормы расхода семян, удобрения, пестицида</t>
  </si>
  <si>
    <t>Норма</t>
  </si>
  <si>
    <t>ЗКК-6А</t>
  </si>
  <si>
    <t>BRG 225/90</t>
  </si>
  <si>
    <t>GT 540 H</t>
  </si>
  <si>
    <t>GR 385 3 PS</t>
  </si>
  <si>
    <t>R 12 Super</t>
  </si>
  <si>
    <t>FW 10/2000</t>
  </si>
  <si>
    <t>КТП-6</t>
  </si>
  <si>
    <t>КСК-100</t>
  </si>
  <si>
    <t>бульд.</t>
  </si>
  <si>
    <t>КС-2,1</t>
  </si>
  <si>
    <t>ГВР-6</t>
  </si>
  <si>
    <t>Подбор валков сена стогообразователем</t>
  </si>
  <si>
    <t>СПТ-60</t>
  </si>
  <si>
    <t>Вилы</t>
  </si>
  <si>
    <t>ГПП-6</t>
  </si>
  <si>
    <t>ПРП-1,6</t>
  </si>
  <si>
    <t>ПКУ-0,8</t>
  </si>
  <si>
    <t>ППУ-0,5</t>
  </si>
  <si>
    <t>Грабли</t>
  </si>
  <si>
    <t>Кони</t>
  </si>
  <si>
    <t>КК-1,2</t>
  </si>
  <si>
    <t>ГК-4</t>
  </si>
  <si>
    <t>Носилки</t>
  </si>
  <si>
    <t>Коса</t>
  </si>
  <si>
    <t>на единицу, (цн/га)</t>
  </si>
  <si>
    <t>Расчет амортизации основных средств</t>
  </si>
  <si>
    <t>Наименование трактора (машины)</t>
  </si>
  <si>
    <t>Марка трактора (машины)</t>
  </si>
  <si>
    <t>Силос</t>
  </si>
  <si>
    <t>Вариант 1</t>
  </si>
  <si>
    <t>Вариант 2</t>
  </si>
  <si>
    <t>Вариант 3</t>
  </si>
  <si>
    <t>Вариант 4</t>
  </si>
  <si>
    <t>Вариант 5</t>
  </si>
  <si>
    <t>Трактор ДТ-75</t>
  </si>
  <si>
    <t>КАМАЗ-5320</t>
  </si>
  <si>
    <t>Камаз</t>
  </si>
  <si>
    <t>ЗИЛ-130</t>
  </si>
  <si>
    <t>ЗИЛ</t>
  </si>
  <si>
    <t>Трактор МТЗ-82</t>
  </si>
  <si>
    <t>Трактор</t>
  </si>
  <si>
    <t>Комбайн «Енисей-1200»</t>
  </si>
  <si>
    <t>Китайский комбайн</t>
  </si>
  <si>
    <t>Рабочие лошади</t>
  </si>
  <si>
    <t>Гигант Петкус</t>
  </si>
  <si>
    <t>Петкус</t>
  </si>
  <si>
    <t>Семяочистительная машина</t>
  </si>
  <si>
    <t>СМ-4</t>
  </si>
  <si>
    <t>Зерноочистительный комплекс  ЗАВ-25</t>
  </si>
  <si>
    <t>Прицеп 2ПТС-4</t>
  </si>
  <si>
    <t>Роторная навесная косилка-плющилка</t>
  </si>
  <si>
    <t>Упаковщик рулонов</t>
  </si>
  <si>
    <t>Грабли волкообразователи</t>
  </si>
  <si>
    <t xml:space="preserve">Вспушиватель </t>
  </si>
  <si>
    <t>Пресс подборщик рулонный</t>
  </si>
  <si>
    <t>Автомат приготовления растворов</t>
  </si>
  <si>
    <t>Борона БДТ-3,0</t>
  </si>
  <si>
    <t>Борона БЗСС-1,0</t>
  </si>
  <si>
    <t>Борона БСО-4,0</t>
  </si>
  <si>
    <t>БСО-4,0</t>
  </si>
  <si>
    <t>Бульдозерный отвал</t>
  </si>
  <si>
    <t>Грабли (грабли валковые)</t>
  </si>
  <si>
    <t>ГВК</t>
  </si>
  <si>
    <t>Грабли-ворошилка</t>
  </si>
  <si>
    <t>Грабли конные</t>
  </si>
  <si>
    <t>Грабли поперечные</t>
  </si>
  <si>
    <t>Дожд. установка ДДН-70</t>
  </si>
  <si>
    <t>Каток ЗКВГ-1,4</t>
  </si>
  <si>
    <t>Каток ЗКК-6</t>
  </si>
  <si>
    <t>Измельчитель минеральных удобрений</t>
  </si>
  <si>
    <t>Косилка измель. ротац. КИР-1,5</t>
  </si>
  <si>
    <t>Косилка конная</t>
  </si>
  <si>
    <t>Картофелекомбайн ККУ-2А</t>
  </si>
  <si>
    <t>ККУ-2А</t>
  </si>
  <si>
    <t>Культиватор окучник КОН-2,8</t>
  </si>
  <si>
    <t>КОН-2,8</t>
  </si>
  <si>
    <t>Плоскорез КПГ-250</t>
  </si>
  <si>
    <t>Культиватор КПС-4</t>
  </si>
  <si>
    <t>Культиватор окучник навесной КРН-4,2</t>
  </si>
  <si>
    <t>Косилка тракторная</t>
  </si>
  <si>
    <t>Комбайн</t>
  </si>
  <si>
    <t>Картофелесажалка КСМ-4</t>
  </si>
  <si>
    <t>Картофелекопалка КТН-2В</t>
  </si>
  <si>
    <t>Косилка</t>
  </si>
  <si>
    <t>КТП-4</t>
  </si>
  <si>
    <t>Лущильник дисковый ЛДГ-10</t>
  </si>
  <si>
    <t>Лущильник дисковый ЛДГ-5</t>
  </si>
  <si>
    <t xml:space="preserve">Опрыскиватели </t>
  </si>
  <si>
    <t>Опрыскиватель для защищенного грунта</t>
  </si>
  <si>
    <t>Планировщик</t>
  </si>
  <si>
    <t>Погрузчик ПБ-35</t>
  </si>
  <si>
    <t>Погрузчик ковшевый универсальный</t>
  </si>
  <si>
    <t>Плуг навесной ПН-4-35</t>
  </si>
  <si>
    <t>Опрыскиватель вентиляторный ПОМ-603</t>
  </si>
  <si>
    <t>ПОМ-603</t>
  </si>
  <si>
    <t xml:space="preserve">Пресс-подборщики </t>
  </si>
  <si>
    <t>ПР-3</t>
  </si>
  <si>
    <t>Пресподборщик</t>
  </si>
  <si>
    <t>Сеялка</t>
  </si>
  <si>
    <t>Прицеп ПТС-6</t>
  </si>
  <si>
    <t>Погрузчик фронтальный</t>
  </si>
  <si>
    <t xml:space="preserve">Разбрасывателями минеральных удобрений </t>
  </si>
  <si>
    <t>Разбрасыватель органических удобрений РОУ-5</t>
  </si>
  <si>
    <t>Снегопах СВУ-2,6</t>
  </si>
  <si>
    <t xml:space="preserve">Сеялка зерновая СЗ-3,6 </t>
  </si>
  <si>
    <t>Сушилки зерна</t>
  </si>
  <si>
    <t>Рассадопосадочная машина СКН-6</t>
  </si>
  <si>
    <t>СКН-6</t>
  </si>
  <si>
    <t>Картофелесажалка навесная четырехрядная</t>
  </si>
  <si>
    <t>Дожд. установка СНП-50/80</t>
  </si>
  <si>
    <t>Дожд. установка СНП-75/100</t>
  </si>
  <si>
    <t>СНП-75/100</t>
  </si>
  <si>
    <t>Дожд. установка СНП-80/50</t>
  </si>
  <si>
    <t>СНП-80/50</t>
  </si>
  <si>
    <t>Подборщик-стогообразователь</t>
  </si>
  <si>
    <t>ТГ-1,5</t>
  </si>
  <si>
    <t>ТГ-150</t>
  </si>
  <si>
    <t>Фреза</t>
  </si>
  <si>
    <t>на 1 усл.-эт.га</t>
  </si>
  <si>
    <t>ремонт тракторов</t>
  </si>
  <si>
    <t>техническое обслуживание тракторов</t>
  </si>
  <si>
    <t>замена шин тракторов</t>
  </si>
  <si>
    <t>ремонт и тех.обслуживание сельхозмашин (руб)</t>
  </si>
  <si>
    <t>всего (руб)</t>
  </si>
  <si>
    <t xml:space="preserve">Текущий ремонт и тех.обслуживание </t>
  </si>
  <si>
    <t>на весь объем работ (руб)</t>
  </si>
  <si>
    <t>Тарифная ставка за норму (руб)</t>
  </si>
  <si>
    <t>Затраты труда на весь объем работ (чел-час)</t>
  </si>
  <si>
    <t>Дополнительная оплата за качественное и своевременное выполнение работ (руб)</t>
  </si>
  <si>
    <t>Доплата за продукцию (руб)</t>
  </si>
  <si>
    <t>Надбавка за классность, за звание (руб)</t>
  </si>
  <si>
    <t>Надбавка за стаж работы в данном хозяйстве (руб)</t>
  </si>
  <si>
    <t>Всего фонд заработной платы (руб)</t>
  </si>
  <si>
    <t>Отчисления на страховые взносы (руб)</t>
  </si>
  <si>
    <t>Итого Фонд заработной платы с отчислениями на страховые взносы (руб)</t>
  </si>
  <si>
    <t>стоимость 1 ц (руб)</t>
  </si>
  <si>
    <t>стоимость всего (руб)</t>
  </si>
  <si>
    <t>стоимость 1 кг (руб)</t>
  </si>
  <si>
    <t>Затраты труда на 1 га (чел-час)</t>
  </si>
  <si>
    <t>на 1 га (руб)</t>
  </si>
  <si>
    <t>на единицу, (литр/га; литр/тн)</t>
  </si>
  <si>
    <t>Расход удобрений</t>
  </si>
  <si>
    <t>Культура</t>
  </si>
  <si>
    <t>ГСМ</t>
  </si>
  <si>
    <t>амортизация</t>
  </si>
  <si>
    <t>текущий ремонт</t>
  </si>
  <si>
    <t>на 1 га</t>
  </si>
  <si>
    <t>на 1 цн</t>
  </si>
  <si>
    <t>трактористов-машинистов</t>
  </si>
  <si>
    <t>прицепщиков и рабочих на ручных работах</t>
  </si>
  <si>
    <t>Доля, %</t>
  </si>
  <si>
    <t>тракторы</t>
  </si>
  <si>
    <t>сельхозмашины</t>
  </si>
  <si>
    <t>Прочие затраты, руб</t>
  </si>
  <si>
    <t>Итого прямые затраты, руб</t>
  </si>
  <si>
    <t>Организация производства и управления, руб</t>
  </si>
  <si>
    <t>Всего затрат, руб</t>
  </si>
  <si>
    <t>Затраты на 1 га, руб</t>
  </si>
  <si>
    <t>Затраты труда всего, чел.-час</t>
  </si>
  <si>
    <t>Среднемесячная заработная плата на 1 работника, руб</t>
  </si>
  <si>
    <t>Семена и посадочный материал, руб</t>
  </si>
  <si>
    <t>Удобрения, руб</t>
  </si>
  <si>
    <t>Содержание основных средств, руб</t>
  </si>
  <si>
    <t>ФОТ с отчислениями, руб</t>
  </si>
  <si>
    <t>Урожайность, цн/га:</t>
  </si>
  <si>
    <t>Средняя заработная плата за 1 чел-час, руб</t>
  </si>
  <si>
    <t>ТЕХНОЛОГИЧЕСКАЯ КАРТА</t>
  </si>
  <si>
    <t>земельный налог (15,12руб/га)</t>
  </si>
  <si>
    <t xml:space="preserve">Валовый сбор основной продукции (цн):  </t>
  </si>
  <si>
    <t>Урожайность (цн/га):</t>
  </si>
  <si>
    <t>транспортный налог</t>
  </si>
  <si>
    <t>Донгфен, Синтай</t>
  </si>
  <si>
    <t>ремонт изгороди</t>
  </si>
  <si>
    <t xml:space="preserve">Площадь посева (га):           </t>
  </si>
  <si>
    <t>пленка</t>
  </si>
  <si>
    <t>Сорт: Овес</t>
  </si>
  <si>
    <t xml:space="preserve">Выход зеленой массы на сенаж (цн):  </t>
  </si>
  <si>
    <t>Выход готового сенажа (цн)</t>
  </si>
  <si>
    <t>Затраты на 1 цн зеленой массы, руб</t>
  </si>
  <si>
    <t>Затраты на 1 цн сенажа, руб</t>
  </si>
  <si>
    <t xml:space="preserve">Выход зеленой массы на силос (цн):  </t>
  </si>
  <si>
    <t>Выход готового силоса (цн)</t>
  </si>
  <si>
    <t>Разбрасывание и перемешивание кормовой соли</t>
  </si>
  <si>
    <t>Расход кормовой соли</t>
  </si>
  <si>
    <t>на единицу, (кг/тн)</t>
  </si>
  <si>
    <t>Кормовая соль, руб</t>
  </si>
  <si>
    <t>Затраты на 1 цн силоса, руб</t>
  </si>
  <si>
    <t xml:space="preserve">Площадь сенокосных угодий (га):           </t>
  </si>
  <si>
    <t>ПЛН-4-35</t>
  </si>
  <si>
    <t>Нормы полива</t>
  </si>
  <si>
    <t>Норма полива воды</t>
  </si>
  <si>
    <t>Кратность</t>
  </si>
  <si>
    <t>Объем, м3/га</t>
  </si>
  <si>
    <t>Силосная траншея:</t>
  </si>
  <si>
    <t>глубина (м)</t>
  </si>
  <si>
    <t>ширина (м)</t>
  </si>
  <si>
    <t>длина (м)</t>
  </si>
  <si>
    <t>объем (м3)</t>
  </si>
  <si>
    <t>Расход пленки</t>
  </si>
  <si>
    <t>всего (кв.м)</t>
  </si>
  <si>
    <t>стоимость 1 кв.м (руб)</t>
  </si>
  <si>
    <t>Рассадопосадочная машина СКН-6А</t>
  </si>
  <si>
    <t>Дожд. установка СНП-50/79</t>
  </si>
  <si>
    <t>Петкус-Селектра К-218</t>
  </si>
  <si>
    <t>2ПТС-4А</t>
  </si>
  <si>
    <t>Прицеп 2ПТС-4А</t>
  </si>
  <si>
    <t>БДН-3</t>
  </si>
  <si>
    <t>Борона БДН-3</t>
  </si>
  <si>
    <t>Плуг навесной ПЛН-4-35</t>
  </si>
  <si>
    <t>Китайский трактор</t>
  </si>
  <si>
    <t>Gushen 2000</t>
  </si>
  <si>
    <t>Расход вспомогательных материалов</t>
  </si>
  <si>
    <t>Вспомогательные материалы</t>
  </si>
  <si>
    <t xml:space="preserve">Амортизация </t>
  </si>
  <si>
    <t>силосной траншеи</t>
  </si>
  <si>
    <t>силосной траншеи (руб)</t>
  </si>
  <si>
    <t>Трактористы-машинисты для расчета расценок за продукцию (II группа)</t>
  </si>
  <si>
    <t>Трактористы-машинисты для расчета расценок за продукцию (III группа)</t>
  </si>
  <si>
    <t>Трактористы-машинисты для расчета расценок за продукцию (I группа)</t>
  </si>
  <si>
    <t>Рабочие реммастерских</t>
  </si>
  <si>
    <t>На работах в животноводстве и на ручных работах в растениеводстве для расчета расценок за продукцию</t>
  </si>
  <si>
    <t>на единицу, (шпагат/шт, пленки/шт)</t>
  </si>
  <si>
    <t>всего, шт (шпагат, пленка)</t>
  </si>
  <si>
    <t>стоимость 1 шпагата, пленки (руб)</t>
  </si>
  <si>
    <t>на единицу, (шпагат/шт)</t>
  </si>
  <si>
    <t>всего (шт шпагата)</t>
  </si>
  <si>
    <t>стоимость 1 шт шпагата (руб)</t>
  </si>
  <si>
    <t>Зяблевая вспашка (1 раз в 3 года)</t>
  </si>
  <si>
    <t>Дискование, прикатывание</t>
  </si>
  <si>
    <t>Предпосевная обработка 2 раза по мере всхода сорняков</t>
  </si>
  <si>
    <t>МТЗ1221</t>
  </si>
  <si>
    <t>БДП-3,0</t>
  </si>
  <si>
    <t>АПК-4,2</t>
  </si>
  <si>
    <t>Складирование</t>
  </si>
  <si>
    <t>ПМТ-0,1</t>
  </si>
  <si>
    <t>Дискование (выравнивание)</t>
  </si>
  <si>
    <t>Закрытие влаги</t>
  </si>
  <si>
    <t>Боронование допосевное</t>
  </si>
  <si>
    <t>Посев зерна с предпосевной обработкой, внесением минеральных удобрений, прикатыванием</t>
  </si>
  <si>
    <t>БДП-3х4</t>
  </si>
  <si>
    <t>Кошение с измельчением, погрузкой</t>
  </si>
  <si>
    <t>КСД-2,0</t>
  </si>
  <si>
    <t>Итого ФОТ с учетом северного и районного коэффициентов (руб)</t>
  </si>
  <si>
    <t>ЦЗ</t>
  </si>
  <si>
    <t>Центральная зона</t>
  </si>
  <si>
    <t>ЮЖНАЯ ЗОНА</t>
  </si>
  <si>
    <t>Анализ урожайности естественных сенокосных угодий  за 2011-2015 гг. в хозяйствах всех категорий Республики Саха (Якутия)</t>
  </si>
  <si>
    <t>тонн</t>
  </si>
  <si>
    <t>п/п</t>
  </si>
  <si>
    <t>Муниципальные образования</t>
  </si>
  <si>
    <t>2016 план</t>
  </si>
  <si>
    <t>среднее за 2011-2015</t>
  </si>
  <si>
    <t>Всего по РС (Я)</t>
  </si>
  <si>
    <t>Абыйский</t>
  </si>
  <si>
    <t>Алданский</t>
  </si>
  <si>
    <t>Аллаиховский</t>
  </si>
  <si>
    <t>Амгинский</t>
  </si>
  <si>
    <t xml:space="preserve">Анабарский  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</si>
  <si>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</si>
  <si>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</si>
  <si>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</si>
  <si>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</si>
  <si>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</si>
  <si>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</si>
  <si>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</si>
  <si>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</si>
  <si>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</si>
  <si>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М-Кангаласский</t>
  </si>
  <si>
    <t>Мирнинский</t>
  </si>
  <si>
    <t>Момский</t>
  </si>
  <si>
    <t>Намский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</si>
  <si>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</si>
  <si>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</si>
  <si>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</si>
  <si>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</si>
  <si>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</si>
  <si>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</si>
  <si>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</si>
  <si>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</si>
  <si>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</si>
  <si>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 xml:space="preserve">Усть-Алданский </t>
  </si>
  <si>
    <t xml:space="preserve">Усть-Майский </t>
  </si>
  <si>
    <t xml:space="preserve">Усть-Янский </t>
  </si>
  <si>
    <t>Хангаласский</t>
  </si>
  <si>
    <t>Чурапчинский</t>
  </si>
  <si>
    <t>Э-Бытантайский</t>
  </si>
  <si>
    <t>Нерюнгри</t>
  </si>
  <si>
    <t>Якутск</t>
  </si>
  <si>
    <t>п. Жатай</t>
  </si>
  <si>
    <t>Аркт Зона</t>
  </si>
  <si>
    <t>СевВостЗона</t>
  </si>
  <si>
    <t>Запад Зона</t>
  </si>
  <si>
    <t>Центральная Зона</t>
  </si>
  <si>
    <t>Южная Зона</t>
  </si>
  <si>
    <t>Вариант 4: Заготовка сена мини-трактором</t>
  </si>
  <si>
    <t> 9G-1.8</t>
  </si>
  <si>
    <t>9LCJ-2.1</t>
  </si>
  <si>
    <t>9LCJ-2.2</t>
  </si>
  <si>
    <t>АРКТИЧЕСКАЯ, СЕВЕРОВОСТОЧНАЯ ЗОНА</t>
  </si>
  <si>
    <t>БНЗ-5,7</t>
  </si>
  <si>
    <t>Обь-4-ЗТ</t>
  </si>
  <si>
    <t>Прицепной кормоуборочный комбайн Sterh 2000</t>
  </si>
  <si>
    <t>МТЗ-82 (автомобили самосвалы)</t>
  </si>
  <si>
    <t>Гусеничный трактор</t>
  </si>
  <si>
    <t>Транспортировка семян к месту посева (180кг/га)</t>
  </si>
  <si>
    <t xml:space="preserve">Пневматическая сеялка LEMKEN SOLITAIR 9/600 Кa-Ds </t>
  </si>
  <si>
    <t>Культура: РАПС на силос (с поливом)</t>
  </si>
  <si>
    <t>ДОН-680</t>
  </si>
  <si>
    <t>Комб.</t>
  </si>
  <si>
    <t>Посев зерна с предпосевной обработкой, внесением минеральных удобрений, прикатыванием, послепосевное прикатывание</t>
  </si>
  <si>
    <t>Культура: Кукуруза на силос (с поливом)</t>
  </si>
  <si>
    <t>Культура: Зерновые на силос (с поливом)</t>
  </si>
  <si>
    <t>2+СКП-2,1 (Омичка)</t>
  </si>
  <si>
    <t>2019 год</t>
  </si>
  <si>
    <t>Руководитель Департамента прогнозирвания, планирования, государствененых программ</t>
  </si>
  <si>
    <t>Попова В.В.</t>
  </si>
  <si>
    <t>Руководитель Отдела экономики сельского хозяйства и финансового оздоровления сельскохозяйственных организаций</t>
  </si>
  <si>
    <t>Халтанова Ф.Д.</t>
  </si>
  <si>
    <t>Чичигинаров В.В.</t>
  </si>
  <si>
    <t>Руководитель Департамента растениеводства, мелиорации, МТО и информатизации сельского хозяйства</t>
  </si>
  <si>
    <t>Исходные данные</t>
  </si>
  <si>
    <t>Размер минимальной заработной платы в РС (Я)</t>
  </si>
  <si>
    <t>рублей</t>
  </si>
  <si>
    <t>Норма рабочего времени в год (40-час. раб.нед.)</t>
  </si>
  <si>
    <t>часов</t>
  </si>
  <si>
    <t xml:space="preserve">Норма рабочего времени в месяц </t>
  </si>
  <si>
    <t>дней</t>
  </si>
  <si>
    <t xml:space="preserve">Количество рабочих дней в месяц </t>
  </si>
  <si>
    <t>Среднее количество часов в день</t>
  </si>
  <si>
    <t>Стоимость за 1 ед, рублей/тонна</t>
  </si>
  <si>
    <t>Норма внесения минеральных удобрений, цн/га</t>
  </si>
  <si>
    <t>Улусы (районы)</t>
  </si>
  <si>
    <t>Срок службы, лет</t>
  </si>
  <si>
    <t>Трактор К-700, К-701</t>
  </si>
  <si>
    <t>Комбайн Нива</t>
  </si>
  <si>
    <t>Нива</t>
  </si>
  <si>
    <t>Комбайн "Вектор-410"</t>
  </si>
  <si>
    <t>Вектор</t>
  </si>
  <si>
    <t>Каток кольчото-шпоровый</t>
  </si>
  <si>
    <t>ЗККШ</t>
  </si>
  <si>
    <t xml:space="preserve">Посевная машина </t>
  </si>
  <si>
    <t>Т-150К</t>
  </si>
  <si>
    <t>комбайн Sterh 2000</t>
  </si>
  <si>
    <t>Урожайность цн./га.</t>
  </si>
  <si>
    <t>стоимость 1 кв.м пленки (руб)</t>
  </si>
  <si>
    <t>Стоимость вспомогательных материалов</t>
  </si>
  <si>
    <t>без полива</t>
  </si>
  <si>
    <t>с поливом</t>
  </si>
  <si>
    <t>Урожайность продукции растениеводства, цн/га</t>
  </si>
  <si>
    <t>Себестоимость производства зерновых культур на силос (без полива)</t>
  </si>
  <si>
    <t>Расход кормовой соли, кг/т</t>
  </si>
  <si>
    <t>Коэффициент перевода нефтепродуктов на кг</t>
  </si>
  <si>
    <t xml:space="preserve">Коэффициент </t>
  </si>
  <si>
    <t>Основные показатели для расчета оплаты труда</t>
  </si>
  <si>
    <t>2. Исходные данные</t>
  </si>
  <si>
    <t>3. Расчет амортизации основных средств</t>
  </si>
  <si>
    <t>по производству зерновых культур на силос (с поливом)</t>
  </si>
  <si>
    <t>Себестоимость производства зерновых культур на силос (с поливом)</t>
  </si>
  <si>
    <t>Норма высева семян,  ц/га</t>
  </si>
  <si>
    <t>Норма выхода готового силоса</t>
  </si>
  <si>
    <t>Годовая норма амортизационных отчислений, (%)</t>
  </si>
  <si>
    <t>Годовая нормативная загрузка трактора (машины), (ч.)</t>
  </si>
  <si>
    <t>Часовая норма амортизационных отчислений (в руб.)</t>
  </si>
  <si>
    <t>Часовая норма амортизационных отчислений</t>
  </si>
  <si>
    <t>Силосные культуры</t>
  </si>
  <si>
    <t>-</t>
  </si>
  <si>
    <t>Перечень таблиц типовой (примерной) технологической карты по производству зерновых культур на силос</t>
  </si>
  <si>
    <t>Нормы</t>
  </si>
  <si>
    <t>1. Нормы</t>
  </si>
  <si>
    <t>Отпускная цена смазочных материалов на 1 ц, руб.</t>
  </si>
  <si>
    <t>Виды смазочных материалов</t>
  </si>
  <si>
    <t>Цена за 1 ц</t>
  </si>
  <si>
    <t>Моторные масла (дизельное масло)</t>
  </si>
  <si>
    <t>Трансмиссионные масла (автол)</t>
  </si>
  <si>
    <t>Индустриальные масла (солидол)</t>
  </si>
  <si>
    <t xml:space="preserve">Средняя стоимость 1 литра ДТ </t>
  </si>
  <si>
    <t xml:space="preserve"> ДТЗ (зима)</t>
  </si>
  <si>
    <t xml:space="preserve"> ДТЛ (лето)</t>
  </si>
  <si>
    <t>Амгинский, Нижний Бестях, Вилюйский</t>
  </si>
  <si>
    <t>Расчет комплексной (укрупненной) цены 1 ц основного горючего (дизельного топлива) для тракторов</t>
  </si>
  <si>
    <t>ДТ-75М</t>
  </si>
  <si>
    <t>К-700, К-701</t>
  </si>
  <si>
    <t>Т-150, МТЗ-1221</t>
  </si>
  <si>
    <t>Т-150 К</t>
  </si>
  <si>
    <t>МТЗ-80, МТЗ-82</t>
  </si>
  <si>
    <t>Т-40</t>
  </si>
  <si>
    <t>Т-25</t>
  </si>
  <si>
    <t>Нормы расхода смазочных масел в расчете на 1 ц основного горючего, кг.</t>
  </si>
  <si>
    <t>Расход смазочных масел на 1 ц основного горючего, руб.</t>
  </si>
  <si>
    <t>Всего, руб.</t>
  </si>
  <si>
    <t>Комплексная (укрупненная) цена топлива на 2021 год на 1 ц, руб.</t>
  </si>
  <si>
    <t>Зима</t>
  </si>
  <si>
    <t>Лето</t>
  </si>
  <si>
    <t>Расчет примерных нормативов затрат денежных средств на техническое обслуживание, ремонт и хранение тракторов на 1 условный эталонный гектар, в рублях (2020)</t>
  </si>
  <si>
    <t>К-700, К-701, МТЗ-1221, Т-150</t>
  </si>
  <si>
    <t>Ремонт</t>
  </si>
  <si>
    <t>из них</t>
  </si>
  <si>
    <t>запчасти</t>
  </si>
  <si>
    <t>оплата труда с отчислениями</t>
  </si>
  <si>
    <t>прочие</t>
  </si>
  <si>
    <t>Техническое обслуживание</t>
  </si>
  <si>
    <t>материалы</t>
  </si>
  <si>
    <t>Замена шин</t>
  </si>
  <si>
    <t>Эталонная выработка тракторов за смену</t>
  </si>
  <si>
    <t>Эталонная выработка за 7 часовую смену, усл. эт. га.</t>
  </si>
  <si>
    <t>Гусеничные:</t>
  </si>
  <si>
    <t>ДТ-75 выпуска после 1972 г.</t>
  </si>
  <si>
    <t>Колесные:</t>
  </si>
  <si>
    <t>Т-25, Т-30</t>
  </si>
  <si>
    <t>МТЗ-80</t>
  </si>
  <si>
    <t>Донфен-304</t>
  </si>
  <si>
    <t>Синтай- 220</t>
  </si>
  <si>
    <t>Зерноуборочные комбайны</t>
  </si>
  <si>
    <t>Поправочные коэффициенты к годовой наработке в зависимости от срока службы техники</t>
  </si>
  <si>
    <t>Поправочные коэффициенты по сроку службы, год</t>
  </si>
  <si>
    <t>Срок службы, год</t>
  </si>
  <si>
    <t>Тракторы:</t>
  </si>
  <si>
    <t>К-700.</t>
  </si>
  <si>
    <t>Т-150К, МТЗ-80, МТЗ-82, МТЗ-1221.</t>
  </si>
  <si>
    <t>1Д</t>
  </si>
  <si>
    <t>Т-150К, ДТ-75 выпуска после 1972 г.</t>
  </si>
  <si>
    <t xml:space="preserve">Коэффициенты дифференцирования затрат на техническое обслуживание ремонт и хранение тракторов, комбайнов.
</t>
  </si>
  <si>
    <t>Год эксплуатации</t>
  </si>
  <si>
    <t>«Дон- 1500»</t>
  </si>
  <si>
    <t>СКД-6 «Енисей»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</si>
  <si>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</si>
  <si>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</si>
  <si>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</si>
  <si>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</si>
  <si>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</si>
  <si>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</si>
  <si>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</si>
  <si>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</si>
  <si>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</si>
  <si>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</si>
  <si>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</si>
  <si>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>12-й</t>
  </si>
  <si>
    <t>Размер минимальной заработной платы в РС (Я) без районного коэффициента и северной надбавки на 01.01.2023</t>
  </si>
  <si>
    <t>Количество рабочих дней в году (без выходных и праздников) на 2023 год</t>
  </si>
  <si>
    <t>Отпускная цена дизельного топлива за 1 кг, руб. на 01.12.2022</t>
  </si>
  <si>
    <t>Кормовая соль</t>
  </si>
  <si>
    <t>Технологическая карта по производству зерновых культур на силос (без полива)</t>
  </si>
  <si>
    <t>Технологическая карта по производству зерновых культур на силос (с поливом)</t>
  </si>
  <si>
    <t>4. ТЕХНОЛОГИЧЕСКАЯ КАРТА</t>
  </si>
  <si>
    <t>5. РАСЧЕТ СЕБЕСТОИМОСТИ производства зерновых культур на силос (без полива)</t>
  </si>
  <si>
    <t>6. ТЕХНОЛОГИЧЕСКАЯ КАРТА</t>
  </si>
  <si>
    <t>7. РАСЧЕТ СЕБЕСТОИМОСТИ производства зерновых культур  на силос (с поливом)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</si>
</sst>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р_._-;\-* #,##0.00_р_._-;_-* &quot;-&quot;??_р_._-;_-@_-"/>
    <numFmt numFmtId="164" formatCode="#,##0_ ;[Red]\-#,##0\ "/>
    <numFmt numFmtId="165" formatCode="#,##0.00_ ;[Red]\-#,##0.00\ "/>
    <numFmt numFmtId="166" formatCode="0.0"/>
    <numFmt numFmtId="167" formatCode="#,##0.0_ ;[Red]\-#,##0.0\ "/>
    <numFmt numFmtId="168" formatCode="#,##0_ ;\-#,##0\ "/>
    <numFmt numFmtId="169" formatCode="#,##0.000_ ;[Red]\-#,##0.000\ "/>
    <numFmt numFmtId="170" formatCode="0.0%"/>
    <numFmt numFmtId="171" formatCode="#,##0.0"/>
    <numFmt numFmtId="172" formatCode="#,##0.0000_ ;[Red]\-#,##0.0000\ "/>
    <numFmt numFmtId="174" formatCode="_-* #,##0.00\ _₽_-;\-* #,##0.00\ _₽_-;_-* &quot;-&quot;??\ _₽_-;_-@_-"/>
    <numFmt numFmtId="175" formatCode="#,##0.0000"/>
    <numFmt numFmtId="176" formatCode="#,##0.0_ ;\-#,##0.0\ 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FFFF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i/>
      <sz val="10"/>
      <color rgb="FFFFFFFF"/>
      <name val="Times New Roman"/>
      <family val="1"/>
      <charset val="204"/>
    </font>
    <font>
      <sz val="8"/>
      <name val="Arial"/>
      <family val="2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u/>
      <sz val="12"/>
      <color theme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2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/>
    <xf numFmtId="0" fontId="1" fillId="0" borderId="0"/>
    <xf numFmtId="0" fontId="2" fillId="0" borderId="0"/>
  </cellStyleXfs>
  <cellXfs count="542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4" fontId="5" fillId="0" borderId="0" xfId="0" applyNumberFormat="1" applyFont="1" applyFill="1" applyAlignment="1" applyProtection="1">
      <alignment vertical="center"/>
      <protection locked="0"/>
    </xf>
    <xf numFmtId="165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65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164" fontId="7" fillId="0" borderId="0" xfId="0" applyNumberFormat="1" applyFont="1" applyFill="1" applyAlignment="1" applyProtection="1">
      <alignment vertical="center"/>
      <protection locked="0"/>
    </xf>
    <xf numFmtId="165" fontId="7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Fill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  <protection locked="0"/>
    </xf>
    <xf numFmtId="168" fontId="7" fillId="0" borderId="1" xfId="2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vertical="center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7" fontId="7" fillId="0" borderId="1" xfId="0" applyNumberFormat="1" applyFont="1" applyFill="1" applyBorder="1" applyAlignment="1" applyProtection="1">
      <alignment vertical="center"/>
    </xf>
    <xf numFmtId="166" fontId="7" fillId="0" borderId="1" xfId="0" applyNumberFormat="1" applyFont="1" applyFill="1" applyBorder="1" applyAlignment="1" applyProtection="1">
      <alignment vertical="center"/>
      <protection locked="0"/>
    </xf>
    <xf numFmtId="165" fontId="6" fillId="0" borderId="1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3" fontId="6" fillId="3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13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166" fontId="7" fillId="0" borderId="0" xfId="0" applyNumberFormat="1" applyFont="1" applyFill="1" applyAlignment="1" applyProtection="1">
      <alignment vertical="center"/>
      <protection locked="0"/>
    </xf>
    <xf numFmtId="3" fontId="6" fillId="2" borderId="1" xfId="0" applyNumberFormat="1" applyFont="1" applyFill="1" applyBorder="1" applyAlignment="1" applyProtection="1">
      <alignment vertical="center"/>
      <protection locked="0"/>
    </xf>
    <xf numFmtId="165" fontId="7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16" fontId="7" fillId="0" borderId="1" xfId="0" applyNumberFormat="1" applyFont="1" applyFill="1" applyBorder="1" applyAlignment="1" applyProtection="1">
      <alignment vertical="center"/>
    </xf>
    <xf numFmtId="16" fontId="7" fillId="0" borderId="1" xfId="0" applyNumberFormat="1" applyFont="1" applyFill="1" applyBorder="1" applyAlignment="1" applyProtection="1">
      <alignment vertical="center"/>
      <protection locked="0"/>
    </xf>
    <xf numFmtId="171" fontId="7" fillId="0" borderId="1" xfId="0" applyNumberFormat="1" applyFont="1" applyFill="1" applyBorder="1" applyAlignment="1" applyProtection="1">
      <alignment vertical="center"/>
    </xf>
    <xf numFmtId="168" fontId="7" fillId="0" borderId="1" xfId="2" applyNumberFormat="1" applyFont="1" applyFill="1" applyBorder="1" applyAlignment="1" applyProtection="1">
      <alignment vertical="center" wrapText="1"/>
      <protection locked="0"/>
    </xf>
    <xf numFmtId="164" fontId="7" fillId="0" borderId="1" xfId="0" applyNumberFormat="1" applyFont="1" applyFill="1" applyBorder="1" applyAlignment="1" applyProtection="1">
      <alignment vertical="center"/>
      <protection locked="0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15" fillId="0" borderId="1" xfId="0" applyFont="1" applyBorder="1"/>
    <xf numFmtId="3" fontId="15" fillId="0" borderId="1" xfId="0" applyNumberFormat="1" applyFont="1" applyBorder="1" applyAlignment="1">
      <alignment horizontal="center"/>
    </xf>
    <xf numFmtId="0" fontId="15" fillId="0" borderId="0" xfId="0" applyFont="1"/>
    <xf numFmtId="0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64" fontId="15" fillId="0" borderId="0" xfId="0" applyNumberFormat="1" applyFont="1" applyFill="1" applyAlignment="1" applyProtection="1">
      <alignment vertical="center"/>
      <protection locked="0"/>
    </xf>
    <xf numFmtId="165" fontId="15" fillId="0" borderId="0" xfId="0" applyNumberFormat="1" applyFont="1" applyFill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indent="2"/>
    </xf>
    <xf numFmtId="0" fontId="15" fillId="0" borderId="1" xfId="0" applyFont="1" applyFill="1" applyBorder="1" applyAlignment="1">
      <alignment horizontal="left" indent="2"/>
    </xf>
    <xf numFmtId="0" fontId="15" fillId="0" borderId="1" xfId="0" applyFont="1" applyFill="1" applyBorder="1" applyAlignment="1" applyProtection="1">
      <alignment horizontal="left" vertical="center" wrapText="1" indent="2"/>
      <protection locked="0"/>
    </xf>
    <xf numFmtId="171" fontId="5" fillId="0" borderId="1" xfId="0" applyNumberFormat="1" applyFont="1" applyBorder="1" applyAlignment="1">
      <alignment horizontal="center"/>
    </xf>
    <xf numFmtId="171" fontId="15" fillId="0" borderId="1" xfId="0" applyNumberFormat="1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9" fontId="7" fillId="0" borderId="1" xfId="0" applyNumberFormat="1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vertical="center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165" fontId="9" fillId="0" borderId="0" xfId="0" applyNumberFormat="1" applyFont="1" applyFill="1" applyAlignment="1" applyProtection="1">
      <alignment vertical="center"/>
      <protection locked="0"/>
    </xf>
    <xf numFmtId="166" fontId="7" fillId="0" borderId="0" xfId="0" applyNumberFormat="1" applyFont="1" applyFill="1" applyAlignment="1" applyProtection="1">
      <alignment horizontal="right" vertical="center"/>
      <protection locked="0"/>
    </xf>
    <xf numFmtId="2" fontId="5" fillId="0" borderId="0" xfId="0" applyNumberFormat="1" applyFont="1" applyFill="1" applyAlignment="1" applyProtection="1">
      <alignment vertical="center"/>
      <protection locked="0"/>
    </xf>
    <xf numFmtId="2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 indent="2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13" fillId="0" borderId="3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" fontId="7" fillId="0" borderId="1" xfId="0" applyNumberFormat="1" applyFont="1" applyFill="1" applyBorder="1" applyAlignment="1" applyProtection="1">
      <alignment horizontal="center" vertical="center"/>
    </xf>
    <xf numFmtId="168" fontId="7" fillId="5" borderId="1" xfId="2" applyNumberFormat="1" applyFont="1" applyFill="1" applyBorder="1" applyAlignment="1" applyProtection="1">
      <alignment vertical="center"/>
      <protection locked="0"/>
    </xf>
    <xf numFmtId="0" fontId="7" fillId="5" borderId="1" xfId="0" applyFont="1" applyFill="1" applyBorder="1" applyAlignment="1" applyProtection="1">
      <alignment vertical="center"/>
      <protection locked="0"/>
    </xf>
    <xf numFmtId="3" fontId="7" fillId="4" borderId="1" xfId="0" applyNumberFormat="1" applyFont="1" applyFill="1" applyBorder="1" applyAlignment="1" applyProtection="1">
      <alignment vertical="center"/>
      <protection locked="0"/>
    </xf>
    <xf numFmtId="3" fontId="15" fillId="6" borderId="1" xfId="0" applyNumberFormat="1" applyFont="1" applyFill="1" applyBorder="1" applyAlignment="1">
      <alignment horizontal="center"/>
    </xf>
    <xf numFmtId="171" fontId="15" fillId="6" borderId="1" xfId="0" applyNumberFormat="1" applyFont="1" applyFill="1" applyBorder="1" applyAlignment="1">
      <alignment horizontal="center"/>
    </xf>
    <xf numFmtId="0" fontId="15" fillId="6" borderId="1" xfId="0" applyFont="1" applyFill="1" applyBorder="1"/>
    <xf numFmtId="0" fontId="15" fillId="6" borderId="0" xfId="0" applyFont="1" applyFill="1"/>
    <xf numFmtId="0" fontId="1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 applyProtection="1">
      <alignment vertical="center"/>
    </xf>
    <xf numFmtId="2" fontId="6" fillId="3" borderId="1" xfId="0" applyNumberFormat="1" applyFont="1" applyFill="1" applyBorder="1" applyAlignment="1" applyProtection="1">
      <alignment vertical="center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2" fontId="6" fillId="0" borderId="1" xfId="0" applyNumberFormat="1" applyFont="1" applyFill="1" applyBorder="1" applyAlignment="1" applyProtection="1">
      <alignment vertical="center"/>
      <protection locked="0"/>
    </xf>
    <xf numFmtId="2" fontId="7" fillId="3" borderId="1" xfId="0" applyNumberFormat="1" applyFont="1" applyFill="1" applyBorder="1" applyAlignment="1" applyProtection="1">
      <alignment vertical="center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172" fontId="7" fillId="6" borderId="1" xfId="0" applyNumberFormat="1" applyFont="1" applyFill="1" applyBorder="1" applyAlignment="1" applyProtection="1">
      <alignment vertical="center"/>
    </xf>
    <xf numFmtId="0" fontId="23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right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2" fontId="7" fillId="8" borderId="0" xfId="0" applyNumberFormat="1" applyFont="1" applyFill="1" applyAlignment="1" applyProtection="1">
      <alignment vertical="center"/>
      <protection locked="0"/>
    </xf>
    <xf numFmtId="4" fontId="7" fillId="6" borderId="1" xfId="0" applyNumberFormat="1" applyFont="1" applyFill="1" applyBorder="1" applyAlignment="1" applyProtection="1">
      <alignment horizontal="center" vertical="center"/>
      <protection locked="0"/>
    </xf>
    <xf numFmtId="4" fontId="7" fillId="6" borderId="1" xfId="0" applyNumberFormat="1" applyFont="1" applyFill="1" applyBorder="1" applyAlignment="1" applyProtection="1">
      <alignment vertical="center"/>
      <protection locked="0"/>
    </xf>
    <xf numFmtId="16" fontId="7" fillId="6" borderId="1" xfId="0" applyNumberFormat="1" applyFont="1" applyFill="1" applyBorder="1" applyAlignment="1" applyProtection="1">
      <alignment horizontal="center" vertical="center"/>
    </xf>
    <xf numFmtId="16" fontId="7" fillId="6" borderId="1" xfId="0" applyNumberFormat="1" applyFont="1" applyFill="1" applyBorder="1" applyAlignment="1" applyProtection="1">
      <alignment horizontal="center" vertical="center"/>
      <protection locked="0"/>
    </xf>
    <xf numFmtId="16" fontId="7" fillId="6" borderId="1" xfId="0" applyNumberFormat="1" applyFont="1" applyFill="1" applyBorder="1" applyAlignment="1" applyProtection="1">
      <alignment vertical="center"/>
    </xf>
    <xf numFmtId="1" fontId="7" fillId="6" borderId="1" xfId="0" applyNumberFormat="1" applyFont="1" applyFill="1" applyBorder="1" applyAlignment="1" applyProtection="1">
      <alignment vertical="center"/>
    </xf>
    <xf numFmtId="4" fontId="7" fillId="6" borderId="1" xfId="0" applyNumberFormat="1" applyFont="1" applyFill="1" applyBorder="1" applyAlignment="1" applyProtection="1">
      <alignment vertical="center"/>
    </xf>
    <xf numFmtId="0" fontId="5" fillId="6" borderId="0" xfId="0" applyFont="1" applyFill="1" applyAlignment="1" applyProtection="1">
      <alignment horizontal="left" vertical="center"/>
      <protection locked="0"/>
    </xf>
    <xf numFmtId="16" fontId="7" fillId="6" borderId="1" xfId="0" applyNumberFormat="1" applyFont="1" applyFill="1" applyBorder="1" applyAlignment="1" applyProtection="1">
      <alignment vertical="center"/>
      <protection locked="0"/>
    </xf>
    <xf numFmtId="171" fontId="7" fillId="6" borderId="1" xfId="0" applyNumberFormat="1" applyFont="1" applyFill="1" applyBorder="1" applyAlignment="1" applyProtection="1">
      <alignment vertical="center"/>
    </xf>
    <xf numFmtId="168" fontId="7" fillId="0" borderId="1" xfId="3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168" fontId="3" fillId="0" borderId="1" xfId="3" applyNumberFormat="1" applyFont="1" applyFill="1" applyBorder="1" applyAlignment="1" applyProtection="1">
      <alignment vertical="center"/>
      <protection locked="0"/>
    </xf>
    <xf numFmtId="164" fontId="7" fillId="8" borderId="1" xfId="0" applyNumberFormat="1" applyFont="1" applyFill="1" applyBorder="1" applyAlignment="1" applyProtection="1">
      <alignment vertical="center"/>
    </xf>
    <xf numFmtId="164" fontId="7" fillId="8" borderId="1" xfId="0" applyNumberFormat="1" applyFont="1" applyFill="1" applyBorder="1" applyAlignment="1" applyProtection="1">
      <alignment vertical="center"/>
      <protection locked="0"/>
    </xf>
    <xf numFmtId="171" fontId="7" fillId="6" borderId="1" xfId="0" applyNumberFormat="1" applyFont="1" applyFill="1" applyBorder="1" applyAlignment="1" applyProtection="1">
      <alignment horizontal="center" vertical="center"/>
    </xf>
    <xf numFmtId="168" fontId="7" fillId="0" borderId="1" xfId="3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8" borderId="0" xfId="0" applyFont="1" applyFill="1" applyAlignment="1">
      <alignment vertical="center"/>
    </xf>
    <xf numFmtId="0" fontId="7" fillId="8" borderId="0" xfId="0" applyFont="1" applyFill="1" applyAlignment="1">
      <alignment vertical="center" wrapText="1"/>
    </xf>
    <xf numFmtId="165" fontId="7" fillId="8" borderId="0" xfId="0" applyNumberFormat="1" applyFont="1" applyFill="1" applyAlignment="1">
      <alignment vertical="center"/>
    </xf>
    <xf numFmtId="171" fontId="7" fillId="8" borderId="0" xfId="0" applyNumberFormat="1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 wrapText="1"/>
    </xf>
    <xf numFmtId="168" fontId="7" fillId="8" borderId="1" xfId="2" applyNumberFormat="1" applyFont="1" applyFill="1" applyBorder="1" applyAlignment="1">
      <alignment vertical="center" wrapText="1"/>
    </xf>
    <xf numFmtId="168" fontId="7" fillId="8" borderId="1" xfId="2" applyNumberFormat="1" applyFont="1" applyFill="1" applyBorder="1" applyAlignment="1">
      <alignment vertical="center"/>
    </xf>
    <xf numFmtId="171" fontId="7" fillId="8" borderId="1" xfId="2" applyNumberFormat="1" applyFont="1" applyFill="1" applyBorder="1" applyAlignment="1">
      <alignment horizontal="center" vertical="center"/>
    </xf>
    <xf numFmtId="174" fontId="7" fillId="8" borderId="0" xfId="0" applyNumberFormat="1" applyFont="1" applyFill="1" applyAlignment="1">
      <alignment vertical="center"/>
    </xf>
    <xf numFmtId="168" fontId="7" fillId="0" borderId="1" xfId="2" applyNumberFormat="1" applyFont="1" applyFill="1" applyBorder="1" applyAlignment="1">
      <alignment horizontal="left" vertical="center" wrapText="1"/>
    </xf>
    <xf numFmtId="168" fontId="7" fillId="0" borderId="1" xfId="2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 applyProtection="1">
      <alignment vertical="center" wrapText="1"/>
      <protection locked="0"/>
    </xf>
    <xf numFmtId="168" fontId="7" fillId="8" borderId="1" xfId="2" applyNumberFormat="1" applyFont="1" applyFill="1" applyBorder="1" applyAlignment="1" applyProtection="1">
      <alignment vertical="center" wrapText="1"/>
      <protection locked="0"/>
    </xf>
    <xf numFmtId="168" fontId="7" fillId="8" borderId="1" xfId="2" applyNumberFormat="1" applyFont="1" applyFill="1" applyBorder="1" applyAlignment="1" applyProtection="1">
      <alignment vertical="center"/>
      <protection locked="0"/>
    </xf>
    <xf numFmtId="165" fontId="7" fillId="8" borderId="0" xfId="0" applyNumberFormat="1" applyFont="1" applyFill="1" applyBorder="1" applyAlignment="1">
      <alignment vertical="center"/>
    </xf>
    <xf numFmtId="171" fontId="7" fillId="8" borderId="0" xfId="0" applyNumberFormat="1" applyFont="1" applyFill="1" applyBorder="1" applyAlignment="1">
      <alignment vertical="center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66" fontId="13" fillId="0" borderId="1" xfId="4" applyNumberFormat="1" applyFont="1" applyFill="1" applyBorder="1" applyAlignment="1">
      <alignment horizontal="center" vertical="center"/>
    </xf>
    <xf numFmtId="166" fontId="13" fillId="0" borderId="0" xfId="4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13" fillId="6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2" fontId="29" fillId="0" borderId="1" xfId="0" applyNumberFormat="1" applyFont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/>
    </xf>
    <xf numFmtId="0" fontId="13" fillId="0" borderId="1" xfId="6" applyFont="1" applyBorder="1" applyAlignment="1">
      <alignment horizontal="left" vertical="center" wrapText="1"/>
    </xf>
    <xf numFmtId="0" fontId="13" fillId="0" borderId="0" xfId="7" applyFont="1" applyFill="1" applyBorder="1" applyAlignment="1">
      <alignment horizontal="justify" vertical="top" wrapText="1"/>
    </xf>
    <xf numFmtId="0" fontId="13" fillId="0" borderId="0" xfId="7" applyFont="1"/>
    <xf numFmtId="0" fontId="12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30" fillId="0" borderId="0" xfId="0" applyFont="1"/>
    <xf numFmtId="0" fontId="13" fillId="0" borderId="0" xfId="0" applyFont="1" applyFill="1" applyBorder="1"/>
    <xf numFmtId="0" fontId="13" fillId="0" borderId="1" xfId="0" applyFont="1" applyBorder="1"/>
    <xf numFmtId="0" fontId="31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/>
    <xf numFmtId="0" fontId="13" fillId="0" borderId="12" xfId="0" applyFont="1" applyBorder="1" applyAlignment="1"/>
    <xf numFmtId="0" fontId="13" fillId="0" borderId="1" xfId="0" applyFont="1" applyBorder="1" applyAlignment="1">
      <alignment horizontal="left"/>
    </xf>
    <xf numFmtId="0" fontId="13" fillId="0" borderId="0" xfId="0" applyFont="1" applyFill="1"/>
    <xf numFmtId="0" fontId="5" fillId="0" borderId="0" xfId="0" applyFont="1" applyFill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horizontal="right" vertical="center" wrapText="1"/>
    </xf>
    <xf numFmtId="166" fontId="7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66" fontId="7" fillId="0" borderId="0" xfId="0" applyNumberFormat="1" applyFont="1" applyFill="1" applyAlignment="1" applyProtection="1">
      <alignment vertical="center"/>
    </xf>
    <xf numFmtId="166" fontId="7" fillId="0" borderId="0" xfId="0" applyNumberFormat="1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0" fontId="7" fillId="8" borderId="1" xfId="0" applyFont="1" applyFill="1" applyBorder="1" applyAlignment="1" applyProtection="1">
      <alignment horizontal="center" vertical="center"/>
    </xf>
    <xf numFmtId="4" fontId="7" fillId="6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75" fontId="7" fillId="8" borderId="4" xfId="0" applyNumberFormat="1" applyFont="1" applyFill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32" fillId="0" borderId="0" xfId="0" applyFont="1"/>
    <xf numFmtId="0" fontId="33" fillId="0" borderId="0" xfId="5" applyFont="1" applyAlignment="1">
      <alignment vertical="center"/>
    </xf>
    <xf numFmtId="0" fontId="32" fillId="0" borderId="0" xfId="0" applyFont="1" applyAlignment="1">
      <alignment horizontal="center"/>
    </xf>
    <xf numFmtId="0" fontId="35" fillId="0" borderId="0" xfId="0" applyFont="1" applyFill="1" applyAlignment="1" applyProtection="1">
      <alignment vertical="center"/>
      <protection locked="0"/>
    </xf>
    <xf numFmtId="0" fontId="35" fillId="0" borderId="0" xfId="0" applyFont="1" applyFill="1" applyAlignment="1" applyProtection="1">
      <alignment horizontal="left" vertical="center"/>
      <protection locked="0"/>
    </xf>
    <xf numFmtId="0" fontId="35" fillId="0" borderId="0" xfId="0" applyFont="1" applyFill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164" fontId="35" fillId="0" borderId="0" xfId="0" applyNumberFormat="1" applyFont="1" applyFill="1" applyAlignment="1" applyProtection="1">
      <alignment vertical="center"/>
      <protection locked="0"/>
    </xf>
    <xf numFmtId="164" fontId="35" fillId="0" borderId="0" xfId="0" applyNumberFormat="1" applyFont="1" applyFill="1" applyAlignment="1" applyProtection="1">
      <alignment horizontal="center" vertical="center"/>
      <protection locked="0"/>
    </xf>
    <xf numFmtId="165" fontId="35" fillId="0" borderId="0" xfId="0" applyNumberFormat="1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164" fontId="34" fillId="0" borderId="0" xfId="0" applyNumberFormat="1" applyFont="1" applyFill="1" applyAlignment="1" applyProtection="1">
      <alignment vertical="center"/>
      <protection locked="0"/>
    </xf>
    <xf numFmtId="165" fontId="34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64" fontId="17" fillId="0" borderId="0" xfId="0" applyNumberFormat="1" applyFont="1" applyFill="1" applyAlignment="1" applyProtection="1">
      <alignment vertical="center"/>
      <protection locked="0"/>
    </xf>
    <xf numFmtId="165" fontId="17" fillId="0" borderId="0" xfId="0" applyNumberFormat="1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 indent="2"/>
      <protection locked="0"/>
    </xf>
    <xf numFmtId="0" fontId="3" fillId="8" borderId="0" xfId="0" applyFont="1" applyFill="1" applyAlignment="1" applyProtection="1">
      <alignment horizontal="center" vertical="center"/>
      <protection locked="0"/>
    </xf>
    <xf numFmtId="0" fontId="3" fillId="8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vertical="center"/>
      <protection locked="0"/>
    </xf>
    <xf numFmtId="165" fontId="3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vertical="center"/>
      <protection locked="0"/>
    </xf>
    <xf numFmtId="3" fontId="34" fillId="0" borderId="1" xfId="0" applyNumberFormat="1" applyFont="1" applyFill="1" applyBorder="1" applyAlignment="1" applyProtection="1">
      <alignment vertical="center"/>
      <protection locked="0"/>
    </xf>
    <xf numFmtId="164" fontId="34" fillId="0" borderId="1" xfId="0" applyNumberFormat="1" applyFont="1" applyFill="1" applyBorder="1" applyAlignment="1" applyProtection="1">
      <alignment vertical="center"/>
      <protection locked="0"/>
    </xf>
    <xf numFmtId="164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168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" fontId="3" fillId="0" borderId="1" xfId="0" applyNumberFormat="1" applyFont="1" applyFill="1" applyBorder="1" applyAlignment="1" applyProtection="1">
      <alignment vertical="center"/>
    </xf>
    <xf numFmtId="171" fontId="3" fillId="0" borderId="1" xfId="0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 wrapText="1"/>
    </xf>
    <xf numFmtId="1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vertical="center"/>
    </xf>
    <xf numFmtId="165" fontId="3" fillId="0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167" fontId="3" fillId="0" borderId="1" xfId="0" applyNumberFormat="1" applyFont="1" applyFill="1" applyBorder="1" applyAlignment="1" applyProtection="1">
      <alignment vertical="center"/>
    </xf>
    <xf numFmtId="166" fontId="3" fillId="0" borderId="1" xfId="0" applyNumberFormat="1" applyFont="1" applyFill="1" applyBorder="1" applyAlignment="1" applyProtection="1">
      <alignment vertical="center"/>
    </xf>
    <xf numFmtId="0" fontId="3" fillId="8" borderId="1" xfId="0" applyFont="1" applyFill="1" applyBorder="1" applyAlignment="1" applyProtection="1">
      <alignment horizontal="center" vertical="center"/>
      <protection locked="0"/>
    </xf>
    <xf numFmtId="168" fontId="3" fillId="8" borderId="1" xfId="2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0" applyNumberFormat="1" applyFont="1" applyFill="1" applyBorder="1" applyAlignment="1" applyProtection="1">
      <alignment vertical="center"/>
      <protection locked="0"/>
    </xf>
    <xf numFmtId="0" fontId="34" fillId="3" borderId="1" xfId="0" applyFont="1" applyFill="1" applyBorder="1" applyAlignment="1" applyProtection="1">
      <alignment horizontal="center" vertical="center" wrapText="1"/>
      <protection locked="0"/>
    </xf>
    <xf numFmtId="0" fontId="34" fillId="3" borderId="1" xfId="0" applyFont="1" applyFill="1" applyBorder="1" applyAlignment="1" applyProtection="1">
      <alignment vertical="center" wrapText="1"/>
      <protection locked="0"/>
    </xf>
    <xf numFmtId="0" fontId="34" fillId="3" borderId="1" xfId="0" applyFont="1" applyFill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 applyProtection="1">
      <alignment vertical="center"/>
      <protection locked="0"/>
    </xf>
    <xf numFmtId="3" fontId="34" fillId="3" borderId="1" xfId="0" applyNumberFormat="1" applyFont="1" applyFill="1" applyBorder="1" applyAlignment="1" applyProtection="1">
      <alignment vertical="center"/>
    </xf>
    <xf numFmtId="3" fontId="34" fillId="3" borderId="1" xfId="0" applyNumberFormat="1" applyFont="1" applyFill="1" applyBorder="1" applyAlignment="1" applyProtection="1">
      <alignment vertical="center"/>
      <protection locked="0"/>
    </xf>
    <xf numFmtId="0" fontId="34" fillId="3" borderId="0" xfId="0" applyFont="1" applyFill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" fontId="3" fillId="0" borderId="1" xfId="0" applyNumberFormat="1" applyFont="1" applyFill="1" applyBorder="1" applyAlignment="1" applyProtection="1">
      <alignment vertical="center"/>
      <protection locked="0"/>
    </xf>
    <xf numFmtId="169" fontId="3" fillId="0" borderId="1" xfId="0" applyNumberFormat="1" applyFont="1" applyFill="1" applyBorder="1" applyAlignment="1" applyProtection="1">
      <alignment vertical="center"/>
    </xf>
    <xf numFmtId="171" fontId="34" fillId="3" borderId="1" xfId="0" applyNumberFormat="1" applyFont="1" applyFill="1" applyBorder="1" applyAlignment="1" applyProtection="1">
      <alignment vertical="center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1" xfId="0" applyFont="1" applyFill="1" applyBorder="1" applyAlignment="1" applyProtection="1">
      <alignment vertical="center" wrapText="1"/>
      <protection locked="0"/>
    </xf>
    <xf numFmtId="0" fontId="34" fillId="2" borderId="1" xfId="0" applyFont="1" applyFill="1" applyBorder="1" applyAlignment="1" applyProtection="1">
      <alignment vertical="center"/>
      <protection locked="0"/>
    </xf>
    <xf numFmtId="0" fontId="34" fillId="2" borderId="1" xfId="0" applyFont="1" applyFill="1" applyBorder="1" applyAlignment="1" applyProtection="1">
      <alignment horizontal="center" vertical="center"/>
      <protection locked="0"/>
    </xf>
    <xf numFmtId="3" fontId="34" fillId="2" borderId="1" xfId="0" applyNumberFormat="1" applyFont="1" applyFill="1" applyBorder="1" applyAlignment="1" applyProtection="1">
      <alignment vertical="center"/>
    </xf>
    <xf numFmtId="3" fontId="34" fillId="2" borderId="1" xfId="0" applyNumberFormat="1" applyFont="1" applyFill="1" applyBorder="1" applyAlignment="1" applyProtection="1">
      <alignment vertical="center"/>
      <protection locked="0"/>
    </xf>
    <xf numFmtId="171" fontId="34" fillId="2" borderId="1" xfId="0" applyNumberFormat="1" applyFont="1" applyFill="1" applyBorder="1" applyAlignment="1" applyProtection="1">
      <alignment vertical="center"/>
    </xf>
    <xf numFmtId="0" fontId="34" fillId="2" borderId="0" xfId="0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vertical="center"/>
    </xf>
    <xf numFmtId="16" fontId="3" fillId="6" borderId="1" xfId="0" applyNumberFormat="1" applyFont="1" applyFill="1" applyBorder="1" applyAlignment="1" applyProtection="1">
      <alignment vertical="center"/>
    </xf>
    <xf numFmtId="171" fontId="3" fillId="6" borderId="1" xfId="0" applyNumberFormat="1" applyFont="1" applyFill="1" applyBorder="1" applyAlignment="1" applyProtection="1">
      <alignment vertical="center"/>
    </xf>
    <xf numFmtId="4" fontId="3" fillId="6" borderId="1" xfId="0" applyNumberFormat="1" applyFont="1" applyFill="1" applyBorder="1" applyAlignment="1" applyProtection="1">
      <alignment vertical="center"/>
      <protection locked="0"/>
    </xf>
    <xf numFmtId="4" fontId="3" fillId="6" borderId="1" xfId="0" applyNumberFormat="1" applyFont="1" applyFill="1" applyBorder="1" applyAlignment="1" applyProtection="1">
      <alignment vertical="center"/>
    </xf>
    <xf numFmtId="3" fontId="3" fillId="6" borderId="1" xfId="0" applyNumberFormat="1" applyFont="1" applyFill="1" applyBorder="1" applyAlignment="1" applyProtection="1">
      <alignment vertical="center"/>
      <protection locked="0"/>
    </xf>
    <xf numFmtId="3" fontId="3" fillId="6" borderId="1" xfId="0" applyNumberFormat="1" applyFont="1" applyFill="1" applyBorder="1" applyAlignment="1" applyProtection="1">
      <alignment vertical="center"/>
    </xf>
    <xf numFmtId="3" fontId="3" fillId="6" borderId="1" xfId="0" applyNumberFormat="1" applyFont="1" applyFill="1" applyBorder="1" applyAlignment="1" applyProtection="1">
      <alignment horizontal="right" vertical="center" wrapText="1"/>
    </xf>
    <xf numFmtId="1" fontId="3" fillId="6" borderId="1" xfId="0" applyNumberFormat="1" applyFont="1" applyFill="1" applyBorder="1" applyAlignment="1" applyProtection="1">
      <alignment horizontal="right" vertical="center" wrapText="1"/>
    </xf>
    <xf numFmtId="4" fontId="3" fillId="6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6" borderId="1" xfId="0" applyNumberFormat="1" applyFont="1" applyFill="1" applyBorder="1" applyAlignment="1" applyProtection="1">
      <alignment vertical="center"/>
    </xf>
    <xf numFmtId="165" fontId="3" fillId="6" borderId="1" xfId="0" applyNumberFormat="1" applyFont="1" applyFill="1" applyBorder="1" applyAlignment="1" applyProtection="1">
      <alignment vertical="center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7" fontId="3" fillId="6" borderId="1" xfId="0" applyNumberFormat="1" applyFont="1" applyFill="1" applyBorder="1" applyAlignment="1" applyProtection="1">
      <alignment vertical="center"/>
    </xf>
    <xf numFmtId="166" fontId="3" fillId="6" borderId="1" xfId="0" applyNumberFormat="1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vertical="center"/>
      <protection locked="0"/>
    </xf>
    <xf numFmtId="168" fontId="3" fillId="6" borderId="1" xfId="2" applyNumberFormat="1" applyFont="1" applyFill="1" applyBorder="1" applyAlignment="1" applyProtection="1">
      <alignment vertical="center"/>
      <protection locked="0"/>
    </xf>
    <xf numFmtId="164" fontId="3" fillId="6" borderId="1" xfId="0" applyNumberFormat="1" applyFont="1" applyFill="1" applyBorder="1" applyAlignment="1" applyProtection="1">
      <alignment vertical="center"/>
      <protection locked="0"/>
    </xf>
    <xf numFmtId="171" fontId="36" fillId="8" borderId="1" xfId="2" applyNumberFormat="1" applyFont="1" applyFill="1" applyBorder="1" applyAlignment="1">
      <alignment horizontal="center" vertical="center"/>
    </xf>
    <xf numFmtId="176" fontId="7" fillId="8" borderId="1" xfId="2" applyNumberFormat="1" applyFont="1" applyFill="1" applyBorder="1" applyAlignment="1">
      <alignment vertical="center"/>
    </xf>
    <xf numFmtId="168" fontId="36" fillId="8" borderId="1" xfId="2" applyNumberFormat="1" applyFont="1" applyFill="1" applyBorder="1" applyAlignment="1">
      <alignment vertical="center"/>
    </xf>
    <xf numFmtId="168" fontId="36" fillId="0" borderId="1" xfId="2" applyNumberFormat="1" applyFont="1" applyFill="1" applyBorder="1" applyAlignment="1">
      <alignment vertical="center"/>
    </xf>
    <xf numFmtId="164" fontId="36" fillId="0" borderId="1" xfId="2" applyNumberFormat="1" applyFont="1" applyFill="1" applyBorder="1" applyAlignment="1">
      <alignment vertical="center"/>
    </xf>
    <xf numFmtId="168" fontId="7" fillId="0" borderId="1" xfId="2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vertical="center"/>
    </xf>
    <xf numFmtId="168" fontId="7" fillId="4" borderId="1" xfId="2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/>
    </xf>
    <xf numFmtId="0" fontId="17" fillId="0" borderId="0" xfId="0" applyFont="1"/>
    <xf numFmtId="0" fontId="16" fillId="0" borderId="1" xfId="7" applyFont="1" applyBorder="1" applyAlignment="1">
      <alignment vertical="center" wrapText="1"/>
    </xf>
    <xf numFmtId="1" fontId="16" fillId="0" borderId="1" xfId="7" applyNumberFormat="1" applyFont="1" applyBorder="1" applyAlignment="1">
      <alignment horizontal="center" vertical="top" wrapText="1"/>
    </xf>
    <xf numFmtId="1" fontId="16" fillId="0" borderId="1" xfId="7" applyNumberFormat="1" applyFont="1" applyBorder="1" applyAlignment="1">
      <alignment horizontal="center"/>
    </xf>
    <xf numFmtId="0" fontId="1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/>
    <xf numFmtId="43" fontId="37" fillId="0" borderId="0" xfId="2" applyFont="1" applyBorder="1" applyAlignment="1">
      <alignment horizontal="center" vertical="center" wrapText="1"/>
    </xf>
    <xf numFmtId="0" fontId="16" fillId="0" borderId="8" xfId="7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0" fontId="17" fillId="0" borderId="2" xfId="7" applyFont="1" applyFill="1" applyBorder="1" applyAlignment="1">
      <alignment vertical="center" wrapText="1"/>
    </xf>
    <xf numFmtId="0" fontId="17" fillId="0" borderId="1" xfId="7" applyFont="1" applyBorder="1" applyAlignment="1">
      <alignment vertical="center" wrapText="1"/>
    </xf>
    <xf numFmtId="166" fontId="17" fillId="0" borderId="1" xfId="0" applyNumberFormat="1" applyFont="1" applyBorder="1" applyAlignment="1">
      <alignment horizontal="center" vertical="center" wrapText="1"/>
    </xf>
    <xf numFmtId="0" fontId="16" fillId="0" borderId="1" xfId="7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7" fillId="0" borderId="8" xfId="7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left" vertical="center" wrapText="1"/>
    </xf>
    <xf numFmtId="1" fontId="0" fillId="0" borderId="0" xfId="0" applyNumberFormat="1"/>
    <xf numFmtId="0" fontId="16" fillId="7" borderId="0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17" fillId="7" borderId="1" xfId="0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8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68" fontId="7" fillId="0" borderId="2" xfId="2" applyNumberFormat="1" applyFont="1" applyFill="1" applyBorder="1" applyAlignment="1" applyProtection="1">
      <alignment horizontal="center" vertical="center"/>
      <protection locked="0"/>
    </xf>
    <xf numFmtId="168" fontId="7" fillId="0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168" fontId="7" fillId="0" borderId="2" xfId="3" applyNumberFormat="1" applyFont="1" applyFill="1" applyBorder="1" applyAlignment="1" applyProtection="1">
      <alignment horizontal="center" vertical="center"/>
      <protection locked="0"/>
    </xf>
    <xf numFmtId="168" fontId="7" fillId="0" borderId="4" xfId="3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textRotation="90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6" xfId="0" applyFont="1" applyFill="1" applyBorder="1" applyAlignment="1" applyProtection="1">
      <alignment horizontal="center" vertical="center" textRotation="90" wrapText="1"/>
      <protection locked="0"/>
    </xf>
    <xf numFmtId="0" fontId="6" fillId="0" borderId="5" xfId="0" applyFont="1" applyFill="1" applyBorder="1" applyAlignment="1" applyProtection="1">
      <alignment horizontal="center" vertical="center" textRotation="90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7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textRotation="90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3" xfId="0" applyFont="1" applyFill="1" applyBorder="1" applyAlignment="1" applyProtection="1">
      <alignment horizontal="center" vertical="center" textRotation="90" wrapText="1"/>
      <protection locked="0"/>
    </xf>
    <xf numFmtId="0" fontId="34" fillId="0" borderId="6" xfId="0" applyFont="1" applyFill="1" applyBorder="1" applyAlignment="1" applyProtection="1">
      <alignment horizontal="center" vertical="center" textRotation="90" wrapText="1"/>
      <protection locked="0"/>
    </xf>
    <xf numFmtId="0" fontId="34" fillId="0" borderId="5" xfId="0" applyFont="1" applyFill="1" applyBorder="1" applyAlignment="1" applyProtection="1">
      <alignment horizontal="center" vertical="center" textRotation="90" wrapText="1"/>
      <protection locked="0"/>
    </xf>
    <xf numFmtId="3" fontId="34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34" fillId="0" borderId="1" xfId="0" applyNumberFormat="1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4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4" borderId="1" xfId="0" applyFont="1" applyFill="1" applyBorder="1" applyAlignment="1" applyProtection="1">
      <alignment horizontal="center" vertical="center" textRotation="90" wrapText="1"/>
      <protection locked="0"/>
    </xf>
    <xf numFmtId="164" fontId="34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34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164" fontId="34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textRotation="90" wrapText="1"/>
      <protection locked="0"/>
    </xf>
    <xf numFmtId="17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3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/>
      <protection locked="0"/>
    </xf>
    <xf numFmtId="0" fontId="3" fillId="8" borderId="4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167" fontId="7" fillId="8" borderId="1" xfId="2" applyNumberFormat="1" applyFont="1" applyFill="1" applyBorder="1" applyAlignment="1">
      <alignment vertical="center"/>
    </xf>
    <xf numFmtId="167" fontId="36" fillId="8" borderId="1" xfId="2" applyNumberFormat="1" applyFont="1" applyFill="1" applyBorder="1" applyAlignment="1">
      <alignment vertical="center"/>
    </xf>
    <xf numFmtId="167" fontId="7" fillId="8" borderId="1" xfId="2" applyNumberFormat="1" applyFont="1" applyFill="1" applyBorder="1" applyAlignment="1">
      <alignment horizontal="center" vertical="center" wrapText="1"/>
    </xf>
    <xf numFmtId="167" fontId="7" fillId="8" borderId="1" xfId="0" applyNumberFormat="1" applyFont="1" applyFill="1" applyBorder="1" applyAlignment="1" applyProtection="1">
      <alignment vertical="center" wrapText="1"/>
      <protection locked="0"/>
    </xf>
    <xf numFmtId="167" fontId="7" fillId="0" borderId="1" xfId="2" applyNumberFormat="1" applyFont="1" applyBorder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 2 3" xfId="7"/>
    <cellStyle name="Обычный 3 2" xfId="1"/>
    <cellStyle name="Обычный 4" xfId="6"/>
    <cellStyle name="Обычный_растениеводство" xfId="4"/>
    <cellStyle name="Финансовый" xfId="2" builtinId="3"/>
    <cellStyle name="Финансовый 11" xfId="3"/>
  </cellStyles>
  <dxfs count="235"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9"/>
      </font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view="pageBreakPreview" zoomScale="90" zoomScaleNormal="100" zoomScaleSheetLayoutView="90" workbookViewId="0">
      <selection activeCell="B18" sqref="B18"/>
    </sheetView>
  </sheetViews>
  <sheetFormatPr defaultColWidth="8.85546875" defaultRowHeight="15" x14ac:dyDescent="0.2"/>
  <cols>
    <col min="1" max="1" width="4" style="269" customWidth="1"/>
    <col min="2" max="2" width="94.5703125" style="267" customWidth="1"/>
    <col min="3" max="16384" width="8.85546875" style="267"/>
  </cols>
  <sheetData>
    <row r="1" spans="1:2" ht="53.25" customHeight="1" x14ac:dyDescent="0.2">
      <c r="A1" s="266"/>
      <c r="B1" s="395" t="s">
        <v>559</v>
      </c>
    </row>
    <row r="2" spans="1:2" ht="36" customHeight="1" x14ac:dyDescent="0.2">
      <c r="A2" s="266">
        <v>1</v>
      </c>
      <c r="B2" s="268" t="s">
        <v>560</v>
      </c>
    </row>
    <row r="3" spans="1:2" ht="36" customHeight="1" x14ac:dyDescent="0.2">
      <c r="A3" s="266">
        <f>A2+1</f>
        <v>2</v>
      </c>
      <c r="B3" s="268" t="s">
        <v>513</v>
      </c>
    </row>
    <row r="4" spans="1:2" ht="36" customHeight="1" x14ac:dyDescent="0.2">
      <c r="A4" s="266">
        <f>A3+1</f>
        <v>3</v>
      </c>
      <c r="B4" s="268" t="s">
        <v>218</v>
      </c>
    </row>
    <row r="5" spans="1:2" ht="36" customHeight="1" x14ac:dyDescent="0.2">
      <c r="A5" s="266">
        <f t="shared" ref="A5:A8" si="0">A4+1</f>
        <v>4</v>
      </c>
      <c r="B5" s="268" t="s">
        <v>634</v>
      </c>
    </row>
    <row r="6" spans="1:2" ht="36" customHeight="1" x14ac:dyDescent="0.2">
      <c r="A6" s="266">
        <f t="shared" si="0"/>
        <v>5</v>
      </c>
      <c r="B6" s="268" t="s">
        <v>542</v>
      </c>
    </row>
    <row r="7" spans="1:2" ht="36" customHeight="1" x14ac:dyDescent="0.2">
      <c r="A7" s="266">
        <f t="shared" si="0"/>
        <v>6</v>
      </c>
      <c r="B7" s="268" t="s">
        <v>635</v>
      </c>
    </row>
    <row r="8" spans="1:2" ht="36" customHeight="1" x14ac:dyDescent="0.2">
      <c r="A8" s="266">
        <f t="shared" si="0"/>
        <v>7</v>
      </c>
      <c r="B8" s="268" t="s">
        <v>550</v>
      </c>
    </row>
  </sheetData>
  <hyperlinks>
    <hyperlink ref="B2" location="Нормы!A1" display="Нормы высева, полива и урожайность "/>
    <hyperlink ref="B3" location="'Исходные данные'!A1" display="Исходные данные"/>
    <hyperlink ref="B4" location="аморт!A1" display="Расчет амортизации основных средств"/>
    <hyperlink ref="B5" location="'силос бп'!A1" display="Нормативно-технологическая карта по производству зерновых культур на силос (без полива)"/>
    <hyperlink ref="B6" location="'силос бп-себ'!A1" display="Себестоимость производства зерновых культур на силос (без полива)"/>
    <hyperlink ref="B7" location="'силос сп'!A1" display="Нормативно-технологическая карта по производству зерновых культур на силос (с поливом)"/>
    <hyperlink ref="B8" location="'силос сп-себ овес'!A1" display="Себестоимость зерновых культур на силос (с поливом)"/>
  </hyperlinks>
  <pageMargins left="0.7" right="0.7" top="0.75" bottom="0.75" header="0.3" footer="0.3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BZ50"/>
  <sheetViews>
    <sheetView topLeftCell="A16" workbookViewId="0">
      <selection activeCell="A50" sqref="A50:I50"/>
    </sheetView>
  </sheetViews>
  <sheetFormatPr defaultColWidth="9.140625"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359</v>
      </c>
      <c r="B1" s="46"/>
      <c r="C1" s="46"/>
      <c r="D1" s="1" t="s">
        <v>506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58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сп рапс'!B4</f>
        <v>Культура: РАПС на силос (с поливом)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3"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3">
        <f>'силос сп рапс'!I6</f>
        <v>125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373</v>
      </c>
      <c r="B8" s="77">
        <f>B6*B7</f>
        <v>12500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374</v>
      </c>
      <c r="B9" s="122">
        <f>B8*0.75</f>
        <v>9375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 t="s">
        <v>436</v>
      </c>
      <c r="B11" s="86" t="s">
        <v>30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'силос сп рапс'!AL51+'силос сп рапс'!AM51</f>
        <v>781951.95430931973</v>
      </c>
      <c r="C12" s="91">
        <f t="shared" ref="C12:C32" ca="1" si="0">B12/$B$6</f>
        <v>7819.5195430931972</v>
      </c>
      <c r="D12" s="110" t="e">
        <f t="shared" ref="D12:D31" ca="1" si="1">B12/$B$32%</f>
        <v>#REF!</v>
      </c>
    </row>
    <row r="13" spans="1:78" s="92" customFormat="1" x14ac:dyDescent="0.2">
      <c r="A13" s="93" t="s">
        <v>353</v>
      </c>
      <c r="B13" s="91">
        <f>'силос сп рапс'!AW51</f>
        <v>220500</v>
      </c>
      <c r="C13" s="91">
        <f t="shared" si="0"/>
        <v>2205</v>
      </c>
      <c r="D13" s="110" t="e">
        <f t="shared" ca="1" si="1"/>
        <v>#REF!</v>
      </c>
    </row>
    <row r="14" spans="1:78" s="92" customFormat="1" x14ac:dyDescent="0.2">
      <c r="A14" s="93" t="s">
        <v>354</v>
      </c>
      <c r="B14" s="91" t="e">
        <f>'силос сп рапс'!BA51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378</v>
      </c>
      <c r="B15" s="91">
        <f>'силос сп рапс'!BE51</f>
        <v>31250</v>
      </c>
      <c r="C15" s="91">
        <f t="shared" si="0"/>
        <v>312.5</v>
      </c>
      <c r="D15" s="110" t="e">
        <f t="shared" ca="1" si="1"/>
        <v>#REF!</v>
      </c>
    </row>
    <row r="16" spans="1:78" s="92" customFormat="1" x14ac:dyDescent="0.2">
      <c r="A16" s="93" t="s">
        <v>355</v>
      </c>
      <c r="B16" s="91" t="e">
        <f>B17+B21+B24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337</v>
      </c>
      <c r="B17" s="95">
        <f>SUM(B18:B20)</f>
        <v>190177.03049847123</v>
      </c>
      <c r="C17" s="95">
        <f t="shared" si="0"/>
        <v>1901.7703049847123</v>
      </c>
      <c r="D17" s="111" t="e">
        <f t="shared" ca="1" si="1"/>
        <v>#REF!</v>
      </c>
    </row>
    <row r="18" spans="1:4" x14ac:dyDescent="0.2">
      <c r="A18" s="107" t="s">
        <v>344</v>
      </c>
      <c r="B18" s="95">
        <f>'силос сп рапс'!BJ51</f>
        <v>9184.2845259138885</v>
      </c>
      <c r="C18" s="95">
        <f t="shared" si="0"/>
        <v>91.842845259138883</v>
      </c>
      <c r="D18" s="111" t="e">
        <f t="shared" ca="1" si="1"/>
        <v>#REF!</v>
      </c>
    </row>
    <row r="19" spans="1:4" x14ac:dyDescent="0.2">
      <c r="A19" s="107" t="s">
        <v>345</v>
      </c>
      <c r="B19" s="95">
        <f>'силос сп рапс'!BL51</f>
        <v>6997.0959725573293</v>
      </c>
      <c r="C19" s="95">
        <f t="shared" si="0"/>
        <v>69.970959725573294</v>
      </c>
      <c r="D19" s="111" t="e">
        <f t="shared" ca="1" si="1"/>
        <v>#REF!</v>
      </c>
    </row>
    <row r="20" spans="1:4" x14ac:dyDescent="0.2">
      <c r="A20" s="107" t="s">
        <v>407</v>
      </c>
      <c r="B20" s="95">
        <f>'силос сп рапс'!BM51</f>
        <v>173995.65000000002</v>
      </c>
      <c r="C20" s="95">
        <f t="shared" si="0"/>
        <v>1739.9565000000002</v>
      </c>
      <c r="D20" s="111" t="e">
        <f t="shared" ca="1" si="1"/>
        <v>#REF!</v>
      </c>
    </row>
    <row r="21" spans="1:4" x14ac:dyDescent="0.2">
      <c r="A21" s="94" t="s">
        <v>338</v>
      </c>
      <c r="B21" s="95">
        <f>SUM(B22:B23)</f>
        <v>552007.42721846187</v>
      </c>
      <c r="C21" s="95">
        <f t="shared" si="0"/>
        <v>5520.0742721846191</v>
      </c>
      <c r="D21" s="111" t="e">
        <f t="shared" ca="1" si="1"/>
        <v>#REF!</v>
      </c>
    </row>
    <row r="22" spans="1:4" x14ac:dyDescent="0.2">
      <c r="A22" s="107" t="s">
        <v>344</v>
      </c>
      <c r="B22" s="95">
        <f>'силос сп рапс'!BO51+'силос сп рапс'!BQ51+'силос сп рапс'!BS51</f>
        <v>59156.537864257887</v>
      </c>
      <c r="C22" s="95">
        <f t="shared" si="0"/>
        <v>591.56537864257882</v>
      </c>
      <c r="D22" s="111" t="e">
        <f t="shared" ca="1" si="1"/>
        <v>#REF!</v>
      </c>
    </row>
    <row r="23" spans="1:4" x14ac:dyDescent="0.2">
      <c r="A23" s="107" t="s">
        <v>345</v>
      </c>
      <c r="B23" s="95">
        <f>'силос сп рапс'!BT51</f>
        <v>492850.889354204</v>
      </c>
      <c r="C23" s="95">
        <f t="shared" si="0"/>
        <v>4928.5088935420399</v>
      </c>
      <c r="D23" s="111" t="e">
        <f t="shared" ca="1" si="1"/>
        <v>#REF!</v>
      </c>
    </row>
    <row r="24" spans="1:4" x14ac:dyDescent="0.2">
      <c r="A24" s="94" t="s">
        <v>336</v>
      </c>
      <c r="B24" s="112" t="e">
        <f>'силос сп рапс'!AS51</f>
        <v>#REF!</v>
      </c>
      <c r="C24" s="95" t="e">
        <f t="shared" si="0"/>
        <v>#REF!</v>
      </c>
      <c r="D24" s="111" t="e">
        <f t="shared" ca="1" si="1"/>
        <v>#REF!</v>
      </c>
    </row>
    <row r="25" spans="1:4" s="92" customFormat="1" x14ac:dyDescent="0.2">
      <c r="A25" s="93" t="s">
        <v>346</v>
      </c>
      <c r="B25" s="91">
        <f>SUM(B26:B29)</f>
        <v>55646.55533529495</v>
      </c>
      <c r="C25" s="91">
        <f t="shared" si="0"/>
        <v>556.46555335294954</v>
      </c>
      <c r="D25" s="110" t="e">
        <f t="shared" ca="1" si="1"/>
        <v>#REF!</v>
      </c>
    </row>
    <row r="26" spans="1:4" x14ac:dyDescent="0.2">
      <c r="A26" s="107" t="s">
        <v>360</v>
      </c>
      <c r="B26" s="95">
        <f>B6*15.12</f>
        <v>1512</v>
      </c>
      <c r="C26" s="95">
        <f t="shared" si="0"/>
        <v>15.12</v>
      </c>
      <c r="D26" s="111" t="e">
        <f t="shared" ca="1" si="1"/>
        <v>#REF!</v>
      </c>
    </row>
    <row r="27" spans="1:4" x14ac:dyDescent="0.2">
      <c r="A27" s="107" t="s">
        <v>363</v>
      </c>
      <c r="B27" s="95">
        <f>12*100/250*('силос сп рапс'!L37+'силос сп рапс'!L46)+12*80/250*('силос сп рапс'!L22+'силос сп рапс'!L23+'силос сп рапс'!L24+'силос сп рапс'!L25+'силос сп рапс'!L27+'силос сп рапс'!L30+'силос сп рапс'!L32+'силос сп рапс'!L33+'силос сп рапс'!L44+'силос сп рапс'!L45)</f>
        <v>240.90132196162045</v>
      </c>
      <c r="C27" s="95">
        <f t="shared" si="0"/>
        <v>2.4090132196162046</v>
      </c>
      <c r="D27" s="111" t="e">
        <f t="shared" ca="1" si="1"/>
        <v>#REF!</v>
      </c>
    </row>
    <row r="28" spans="1:4" x14ac:dyDescent="0.2">
      <c r="A28" s="107" t="s">
        <v>367</v>
      </c>
      <c r="B28" s="95">
        <f>'силос сп рапс'!BH51</f>
        <v>31364.320679999993</v>
      </c>
      <c r="C28" s="95">
        <f t="shared" si="0"/>
        <v>313.64320679999992</v>
      </c>
      <c r="D28" s="111" t="e">
        <f t="shared" ca="1" si="1"/>
        <v>#REF!</v>
      </c>
    </row>
    <row r="29" spans="1:4" x14ac:dyDescent="0.2">
      <c r="A29" s="107" t="s">
        <v>365</v>
      </c>
      <c r="B29" s="95">
        <f>(B6*100*4/1000*33794/15)*25%</f>
        <v>22529.333333333332</v>
      </c>
      <c r="C29" s="95">
        <f t="shared" si="0"/>
        <v>225.29333333333332</v>
      </c>
      <c r="D29" s="111" t="e">
        <f t="shared" ca="1" si="1"/>
        <v>#REF!</v>
      </c>
    </row>
    <row r="30" spans="1:4" s="92" customFormat="1" x14ac:dyDescent="0.2">
      <c r="A30" s="93" t="s">
        <v>347</v>
      </c>
      <c r="B30" s="91" t="e">
        <f ca="1">B12+B13+B14+B16+B25+B15</f>
        <v>#REF!</v>
      </c>
      <c r="C30" s="91" t="e">
        <f t="shared" ca="1" si="0"/>
        <v>#REF!</v>
      </c>
      <c r="D30" s="110" t="e">
        <f t="shared" ca="1" si="1"/>
        <v>#REF!</v>
      </c>
    </row>
    <row r="31" spans="1:4" s="92" customFormat="1" x14ac:dyDescent="0.2">
      <c r="A31" s="93" t="s">
        <v>348</v>
      </c>
      <c r="B31" s="91" t="e">
        <f ca="1">B30*17.7%</f>
        <v>#REF!</v>
      </c>
      <c r="C31" s="91" t="e">
        <f t="shared" ca="1" si="0"/>
        <v>#REF!</v>
      </c>
      <c r="D31" s="110" t="e">
        <f t="shared" ca="1" si="1"/>
        <v>#REF!</v>
      </c>
    </row>
    <row r="32" spans="1:4" s="92" customFormat="1" x14ac:dyDescent="0.2">
      <c r="A32" s="93" t="s">
        <v>349</v>
      </c>
      <c r="B32" s="91" t="e">
        <f ca="1">B30+B31</f>
        <v>#REF!</v>
      </c>
      <c r="C32" s="91" t="e">
        <f t="shared" ca="1" si="0"/>
        <v>#REF!</v>
      </c>
      <c r="D32" s="110" t="e">
        <f ca="1">D30+D31</f>
        <v>#REF!</v>
      </c>
    </row>
    <row r="33" spans="1:9" x14ac:dyDescent="0.2">
      <c r="A33" s="94" t="s">
        <v>350</v>
      </c>
      <c r="B33" s="95" t="e">
        <f ca="1">B32/B6</f>
        <v>#REF!</v>
      </c>
      <c r="C33" s="95"/>
      <c r="D33" s="95"/>
    </row>
    <row r="34" spans="1:9" x14ac:dyDescent="0.2">
      <c r="A34" s="94" t="s">
        <v>371</v>
      </c>
      <c r="B34" s="95" t="e">
        <f ca="1">B32/(B8)</f>
        <v>#REF!</v>
      </c>
      <c r="C34" s="95"/>
      <c r="D34" s="95"/>
    </row>
    <row r="35" spans="1:9" x14ac:dyDescent="0.2">
      <c r="A35" s="141" t="s">
        <v>379</v>
      </c>
      <c r="B35" s="140" t="e">
        <f ca="1">B32/(B9)</f>
        <v>#REF!</v>
      </c>
      <c r="C35" s="139"/>
      <c r="D35" s="139"/>
    </row>
    <row r="36" spans="1:9" x14ac:dyDescent="0.2">
      <c r="A36" s="94" t="s">
        <v>351</v>
      </c>
      <c r="B36" s="95">
        <f>'силос сп рапс'!O51+'силос сп рапс'!P51</f>
        <v>1033.2027363184079</v>
      </c>
      <c r="C36" s="95"/>
      <c r="D36" s="95"/>
    </row>
    <row r="37" spans="1:9" x14ac:dyDescent="0.2">
      <c r="A37" s="107" t="s">
        <v>339</v>
      </c>
      <c r="B37" s="95">
        <f>B36/B6</f>
        <v>10.332027363184078</v>
      </c>
      <c r="C37" s="95"/>
      <c r="D37" s="95"/>
    </row>
    <row r="38" spans="1:9" x14ac:dyDescent="0.2">
      <c r="A38" s="107" t="s">
        <v>340</v>
      </c>
      <c r="B38" s="111">
        <f>B36/B8</f>
        <v>8.2656218905472631E-2</v>
      </c>
      <c r="C38" s="95"/>
      <c r="D38" s="95"/>
    </row>
    <row r="39" spans="1:9" x14ac:dyDescent="0.2">
      <c r="A39" s="94" t="s">
        <v>358</v>
      </c>
      <c r="B39" s="95">
        <f ca="1">('силос сп рапс'!AH51+'силос сп рапс'!AI51)/B36</f>
        <v>582.17180633704129</v>
      </c>
      <c r="C39" s="95"/>
      <c r="D39" s="95"/>
    </row>
    <row r="40" spans="1:9" x14ac:dyDescent="0.2">
      <c r="A40" s="108" t="s">
        <v>341</v>
      </c>
      <c r="B40" s="95">
        <f ca="1">'силос сп рапс'!AH51/'силос сп рапс'!O51</f>
        <v>705.32322904440502</v>
      </c>
      <c r="C40" s="95"/>
      <c r="D40" s="95"/>
    </row>
    <row r="41" spans="1:9" x14ac:dyDescent="0.2">
      <c r="A41" s="109" t="s">
        <v>342</v>
      </c>
      <c r="B41" s="95">
        <f ca="1">'силос сп рапс'!AI51/'силос сп рапс'!P51</f>
        <v>430.39297906820627</v>
      </c>
      <c r="C41" s="95"/>
      <c r="D41" s="95"/>
    </row>
    <row r="42" spans="1:9" x14ac:dyDescent="0.2">
      <c r="A42" s="94" t="s">
        <v>352</v>
      </c>
      <c r="B42" s="95">
        <f ca="1">B39*164.5</f>
        <v>95767.262142443287</v>
      </c>
      <c r="C42" s="95"/>
      <c r="D42" s="95"/>
    </row>
    <row r="43" spans="1:9" x14ac:dyDescent="0.2">
      <c r="A43" s="108" t="s">
        <v>341</v>
      </c>
      <c r="B43" s="112">
        <f ca="1">B40*164.5</f>
        <v>116025.67117780463</v>
      </c>
      <c r="C43" s="94"/>
      <c r="D43" s="94"/>
    </row>
    <row r="44" spans="1:9" ht="12.75" customHeight="1" x14ac:dyDescent="0.2">
      <c r="A44" s="109" t="s">
        <v>342</v>
      </c>
      <c r="B44" s="112">
        <f ca="1">B41*164.5</f>
        <v>70799.645056719935</v>
      </c>
      <c r="C44" s="94"/>
      <c r="D44" s="94"/>
    </row>
    <row r="46" spans="1:9" x14ac:dyDescent="0.2">
      <c r="A46" t="s">
        <v>507</v>
      </c>
      <c r="B46"/>
      <c r="C46"/>
      <c r="D46"/>
      <c r="E46"/>
      <c r="F46"/>
      <c r="G46"/>
      <c r="I46" t="s">
        <v>508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509</v>
      </c>
      <c r="B48"/>
      <c r="C48"/>
      <c r="D48"/>
      <c r="E48"/>
      <c r="F48"/>
      <c r="G48"/>
      <c r="I48" t="s">
        <v>510</v>
      </c>
    </row>
    <row r="49" spans="1:9" x14ac:dyDescent="0.2">
      <c r="A49"/>
      <c r="B49"/>
      <c r="C49"/>
      <c r="D49"/>
      <c r="E49"/>
      <c r="F49"/>
      <c r="G49"/>
      <c r="I49"/>
    </row>
    <row r="50" spans="1:9" x14ac:dyDescent="0.2">
      <c r="A50" t="s">
        <v>512</v>
      </c>
      <c r="B50"/>
      <c r="C50"/>
      <c r="D50"/>
      <c r="E50"/>
      <c r="F50"/>
      <c r="G50"/>
      <c r="I50" t="s">
        <v>511</v>
      </c>
    </row>
  </sheetData>
  <phoneticPr fontId="4" type="noConversion"/>
  <pageMargins left="0.75" right="0.75" top="1" bottom="1" header="0.5" footer="0.5"/>
  <pageSetup paperSize="9" scale="6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BY51"/>
  <sheetViews>
    <sheetView topLeftCell="AE7" workbookViewId="0">
      <selection activeCell="BD17" sqref="AM17:BD19"/>
    </sheetView>
  </sheetViews>
  <sheetFormatPr defaultColWidth="9.140625" defaultRowHeight="11.25" x14ac:dyDescent="0.2"/>
  <cols>
    <col min="1" max="1" width="3.85546875" style="15" customWidth="1"/>
    <col min="2" max="2" width="23" style="13" customWidth="1"/>
    <col min="3" max="3" width="4.5703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.28515625" style="13" customWidth="1"/>
    <col min="9" max="9" width="6.140625" style="13" customWidth="1"/>
    <col min="10" max="10" width="5.42578125" style="13" customWidth="1"/>
    <col min="11" max="11" width="7.28515625" style="13" customWidth="1"/>
    <col min="12" max="12" width="6.140625" style="13" customWidth="1"/>
    <col min="13" max="13" width="6.5703125" style="13" customWidth="1"/>
    <col min="14" max="14" width="7" style="13" customWidth="1"/>
    <col min="15" max="15" width="8.28515625" style="13" customWidth="1"/>
    <col min="16" max="16" width="7.8554687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5703125" style="13" customWidth="1"/>
    <col min="24" max="27" width="8.28515625" style="13" customWidth="1"/>
    <col min="28" max="29" width="7.28515625" style="13" customWidth="1"/>
    <col min="30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52" width="7.42578125" style="16" customWidth="1"/>
    <col min="53" max="53" width="9.28515625" style="16" customWidth="1"/>
    <col min="54" max="72" width="7.42578125" style="16" customWidth="1"/>
    <col min="73" max="73" width="9" style="16" customWidth="1"/>
    <col min="74" max="75" width="7.42578125" style="16" customWidth="1"/>
    <col min="76" max="76" width="9" style="17" customWidth="1"/>
    <col min="77" max="16384" width="9.140625" style="13"/>
  </cols>
  <sheetData>
    <row r="1" spans="1:77" s="7" customFormat="1" ht="15.75" x14ac:dyDescent="0.2">
      <c r="B1" s="47" t="s">
        <v>55</v>
      </c>
      <c r="E1" s="8"/>
      <c r="G1" s="6"/>
      <c r="H1" s="7" t="s">
        <v>437</v>
      </c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/>
    </row>
    <row r="2" spans="1:77" s="7" customFormat="1" ht="15.75" x14ac:dyDescent="0.2">
      <c r="B2" s="47" t="s">
        <v>58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</row>
    <row r="3" spans="1:77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1"/>
    </row>
    <row r="4" spans="1:77" s="1" customFormat="1" ht="12.75" customHeight="1" x14ac:dyDescent="0.2">
      <c r="B4" s="46" t="s">
        <v>503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1:77" s="1" customFormat="1" ht="12.75" customHeight="1" x14ac:dyDescent="0.2">
      <c r="B5" s="177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1:77" s="1" customFormat="1" ht="12.75" customHeight="1" x14ac:dyDescent="0.2">
      <c r="B6" s="46" t="s">
        <v>366</v>
      </c>
      <c r="D6" s="1">
        <v>100</v>
      </c>
      <c r="E6" s="2"/>
      <c r="F6" s="1" t="s">
        <v>362</v>
      </c>
      <c r="G6" s="46"/>
      <c r="I6" s="1">
        <v>150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1:77" s="1" customFormat="1" ht="12.75" customHeight="1" x14ac:dyDescent="0.2">
      <c r="B7" s="46" t="s">
        <v>386</v>
      </c>
      <c r="E7" s="2"/>
      <c r="G7" s="46"/>
      <c r="L7" s="46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1:77" ht="12.75" customHeight="1" x14ac:dyDescent="0.2">
      <c r="B8" s="125" t="s">
        <v>387</v>
      </c>
      <c r="D8" s="13">
        <v>3</v>
      </c>
      <c r="E8" s="14"/>
      <c r="F8" s="13"/>
      <c r="G8" s="45"/>
      <c r="L8" s="45"/>
      <c r="Q8" s="15"/>
      <c r="AQ8" s="16"/>
      <c r="AR8" s="16"/>
    </row>
    <row r="9" spans="1:77" ht="12.75" customHeight="1" x14ac:dyDescent="0.2">
      <c r="B9" s="125" t="s">
        <v>388</v>
      </c>
      <c r="D9" s="13">
        <v>10</v>
      </c>
      <c r="E9" s="14"/>
      <c r="F9" s="13"/>
      <c r="G9" s="45"/>
      <c r="L9" s="45"/>
      <c r="Q9" s="15"/>
      <c r="AQ9" s="16"/>
      <c r="AR9" s="16"/>
    </row>
    <row r="10" spans="1:77" ht="12.75" customHeight="1" x14ac:dyDescent="0.2">
      <c r="B10" s="125" t="s">
        <v>389</v>
      </c>
      <c r="D10" s="13">
        <v>50</v>
      </c>
      <c r="E10" s="14"/>
      <c r="F10" s="13"/>
      <c r="G10" s="45"/>
      <c r="L10" s="45"/>
      <c r="Q10" s="15"/>
      <c r="AQ10" s="16"/>
      <c r="AR10" s="16"/>
    </row>
    <row r="11" spans="1:77" ht="12.75" customHeight="1" x14ac:dyDescent="0.2">
      <c r="B11" s="125" t="s">
        <v>390</v>
      </c>
      <c r="D11" s="13">
        <f>D8*D9*D10</f>
        <v>1500</v>
      </c>
      <c r="E11" s="14"/>
      <c r="F11" s="13"/>
      <c r="G11" s="45"/>
      <c r="L11" s="45"/>
      <c r="Q11" s="15"/>
      <c r="AQ11" s="16"/>
      <c r="AR11" s="16"/>
    </row>
    <row r="12" spans="1:77" ht="12.75" customHeight="1" x14ac:dyDescent="0.2">
      <c r="B12" s="45" t="s">
        <v>373</v>
      </c>
      <c r="D12" s="13">
        <f>D6*I6</f>
        <v>15000</v>
      </c>
      <c r="E12" s="14"/>
      <c r="F12" s="7"/>
      <c r="G12" s="100"/>
      <c r="H12" s="102"/>
      <c r="I12" s="102"/>
      <c r="K12" s="7"/>
      <c r="L12" s="7"/>
      <c r="N12" s="7"/>
      <c r="Q12" s="15"/>
      <c r="AQ12" s="16"/>
      <c r="AR12" s="16"/>
    </row>
    <row r="13" spans="1:77" ht="12.75" customHeight="1" x14ac:dyDescent="0.2">
      <c r="B13" s="45" t="s">
        <v>374</v>
      </c>
      <c r="C13" s="102"/>
      <c r="D13" s="13">
        <f>D12*0.75</f>
        <v>11250</v>
      </c>
      <c r="E13" s="101"/>
      <c r="F13" s="1"/>
      <c r="G13" s="100"/>
      <c r="H13" s="102"/>
      <c r="I13" s="102"/>
      <c r="K13" s="7"/>
      <c r="L13" s="7"/>
      <c r="N13" s="7"/>
      <c r="Q13" s="15"/>
      <c r="AQ13" s="16"/>
      <c r="AR13" s="16"/>
    </row>
    <row r="14" spans="1:77" ht="12.75" customHeight="1" x14ac:dyDescent="0.2">
      <c r="A14" s="45"/>
      <c r="B14" s="102"/>
      <c r="D14" s="101"/>
      <c r="E14" s="1"/>
      <c r="F14" s="100"/>
      <c r="G14" s="102"/>
      <c r="H14" s="102"/>
      <c r="K14" s="7"/>
      <c r="L14" s="7"/>
      <c r="N14" s="7"/>
      <c r="Q14" s="15"/>
      <c r="AQ14" s="16"/>
      <c r="AR14" s="16"/>
    </row>
    <row r="15" spans="1:77" s="6" customFormat="1" ht="39.75" customHeight="1" x14ac:dyDescent="0.2">
      <c r="A15" s="472" t="s">
        <v>56</v>
      </c>
      <c r="B15" s="473" t="s">
        <v>52</v>
      </c>
      <c r="C15" s="473"/>
      <c r="D15" s="473"/>
      <c r="E15" s="473"/>
      <c r="F15" s="472" t="s">
        <v>16</v>
      </c>
      <c r="G15" s="472" t="s">
        <v>35</v>
      </c>
      <c r="H15" s="473" t="s">
        <v>31</v>
      </c>
      <c r="I15" s="473"/>
      <c r="J15" s="472" t="s">
        <v>34</v>
      </c>
      <c r="K15" s="472" t="s">
        <v>40</v>
      </c>
      <c r="L15" s="472" t="s">
        <v>39</v>
      </c>
      <c r="M15" s="473" t="s">
        <v>36</v>
      </c>
      <c r="N15" s="473"/>
      <c r="O15" s="473" t="s">
        <v>320</v>
      </c>
      <c r="P15" s="473"/>
      <c r="Q15" s="473" t="s">
        <v>319</v>
      </c>
      <c r="R15" s="473"/>
      <c r="S15" s="473"/>
      <c r="T15" s="473"/>
      <c r="U15" s="473" t="s">
        <v>321</v>
      </c>
      <c r="V15" s="473"/>
      <c r="W15" s="473" t="s">
        <v>322</v>
      </c>
      <c r="X15" s="473"/>
      <c r="Y15" s="473" t="s">
        <v>323</v>
      </c>
      <c r="Z15" s="473"/>
      <c r="AA15" s="473" t="s">
        <v>324</v>
      </c>
      <c r="AB15" s="473"/>
      <c r="AC15" s="481" t="s">
        <v>435</v>
      </c>
      <c r="AD15" s="482"/>
      <c r="AE15" s="483"/>
      <c r="AF15" s="473" t="s">
        <v>166</v>
      </c>
      <c r="AG15" s="473"/>
      <c r="AH15" s="473" t="s">
        <v>325</v>
      </c>
      <c r="AI15" s="473"/>
      <c r="AJ15" s="473" t="s">
        <v>326</v>
      </c>
      <c r="AK15" s="473"/>
      <c r="AL15" s="473" t="s">
        <v>327</v>
      </c>
      <c r="AM15" s="473"/>
      <c r="AN15" s="473" t="s">
        <v>14</v>
      </c>
      <c r="AO15" s="473"/>
      <c r="AP15" s="473"/>
      <c r="AQ15" s="473"/>
      <c r="AR15" s="473"/>
      <c r="AS15" s="473"/>
      <c r="AT15" s="473" t="s">
        <v>189</v>
      </c>
      <c r="AU15" s="473"/>
      <c r="AV15" s="473"/>
      <c r="AW15" s="473"/>
      <c r="AX15" s="473" t="s">
        <v>334</v>
      </c>
      <c r="AY15" s="473"/>
      <c r="AZ15" s="473"/>
      <c r="BA15" s="473"/>
      <c r="BB15" s="473" t="s">
        <v>376</v>
      </c>
      <c r="BC15" s="473"/>
      <c r="BD15" s="473"/>
      <c r="BE15" s="473"/>
      <c r="BF15" s="473" t="s">
        <v>391</v>
      </c>
      <c r="BG15" s="473"/>
      <c r="BH15" s="473"/>
      <c r="BI15" s="481" t="s">
        <v>406</v>
      </c>
      <c r="BJ15" s="482"/>
      <c r="BK15" s="482"/>
      <c r="BL15" s="482"/>
      <c r="BM15" s="483"/>
      <c r="BN15" s="473" t="s">
        <v>317</v>
      </c>
      <c r="BO15" s="473"/>
      <c r="BP15" s="473"/>
      <c r="BQ15" s="473"/>
      <c r="BR15" s="473"/>
      <c r="BS15" s="473"/>
      <c r="BT15" s="473"/>
      <c r="BU15" s="473" t="s">
        <v>49</v>
      </c>
      <c r="BV15" s="473"/>
      <c r="BW15" s="473" t="s">
        <v>331</v>
      </c>
      <c r="BX15" s="488" t="s">
        <v>59</v>
      </c>
      <c r="BY15" s="488"/>
    </row>
    <row r="16" spans="1:77" s="6" customFormat="1" ht="40.5" customHeight="1" x14ac:dyDescent="0.2">
      <c r="A16" s="472"/>
      <c r="B16" s="473"/>
      <c r="C16" s="473"/>
      <c r="D16" s="473"/>
      <c r="E16" s="473"/>
      <c r="F16" s="472"/>
      <c r="G16" s="472"/>
      <c r="H16" s="473"/>
      <c r="I16" s="473"/>
      <c r="J16" s="472"/>
      <c r="K16" s="472"/>
      <c r="L16" s="472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84"/>
      <c r="AD16" s="485"/>
      <c r="AE16" s="486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84"/>
      <c r="BJ16" s="485"/>
      <c r="BK16" s="485"/>
      <c r="BL16" s="485"/>
      <c r="BM16" s="486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88"/>
      <c r="BY16" s="488"/>
    </row>
    <row r="17" spans="1:77" s="6" customFormat="1" ht="45.75" customHeight="1" x14ac:dyDescent="0.2">
      <c r="A17" s="472"/>
      <c r="B17" s="473" t="s">
        <v>13</v>
      </c>
      <c r="C17" s="473" t="s">
        <v>41</v>
      </c>
      <c r="D17" s="473"/>
      <c r="E17" s="473"/>
      <c r="F17" s="472"/>
      <c r="G17" s="472"/>
      <c r="H17" s="472" t="s">
        <v>32</v>
      </c>
      <c r="I17" s="472" t="s">
        <v>33</v>
      </c>
      <c r="J17" s="472"/>
      <c r="K17" s="472"/>
      <c r="L17" s="472"/>
      <c r="M17" s="472" t="s">
        <v>37</v>
      </c>
      <c r="N17" s="472" t="s">
        <v>38</v>
      </c>
      <c r="O17" s="462">
        <v>7</v>
      </c>
      <c r="P17" s="462"/>
      <c r="Q17" s="473" t="s">
        <v>37</v>
      </c>
      <c r="R17" s="473"/>
      <c r="S17" s="473" t="s">
        <v>38</v>
      </c>
      <c r="T17" s="473"/>
      <c r="U17" s="472" t="s">
        <v>17</v>
      </c>
      <c r="V17" s="472" t="s">
        <v>18</v>
      </c>
      <c r="W17" s="489"/>
      <c r="X17" s="489"/>
      <c r="Y17" s="74">
        <v>0.1</v>
      </c>
      <c r="Z17" s="74">
        <v>0.05</v>
      </c>
      <c r="AA17" s="495"/>
      <c r="AB17" s="495"/>
      <c r="AC17" s="491" t="s">
        <v>19</v>
      </c>
      <c r="AD17" s="491" t="s">
        <v>17</v>
      </c>
      <c r="AE17" s="491" t="s">
        <v>18</v>
      </c>
      <c r="AF17" s="495">
        <f ca="1">(((((AD51/O51)*167)/29*(52/12)))/((AD51/O51)*167))</f>
        <v>0.14942528735632185</v>
      </c>
      <c r="AG17" s="495"/>
      <c r="AH17" s="472" t="s">
        <v>17</v>
      </c>
      <c r="AI17" s="472" t="s">
        <v>18</v>
      </c>
      <c r="AJ17" s="495">
        <v>0.3</v>
      </c>
      <c r="AK17" s="495"/>
      <c r="AL17" s="472" t="s">
        <v>17</v>
      </c>
      <c r="AM17" s="472" t="s">
        <v>18</v>
      </c>
      <c r="AN17" s="472" t="s">
        <v>333</v>
      </c>
      <c r="AO17" s="472" t="s">
        <v>43</v>
      </c>
      <c r="AP17" s="487" t="s">
        <v>50</v>
      </c>
      <c r="AQ17" s="487" t="s">
        <v>44</v>
      </c>
      <c r="AR17" s="487" t="s">
        <v>328</v>
      </c>
      <c r="AS17" s="487" t="s">
        <v>329</v>
      </c>
      <c r="AT17" s="472" t="s">
        <v>217</v>
      </c>
      <c r="AU17" s="487" t="s">
        <v>190</v>
      </c>
      <c r="AV17" s="487" t="s">
        <v>330</v>
      </c>
      <c r="AW17" s="487" t="s">
        <v>329</v>
      </c>
      <c r="AX17" s="472" t="s">
        <v>217</v>
      </c>
      <c r="AY17" s="487" t="s">
        <v>190</v>
      </c>
      <c r="AZ17" s="487" t="s">
        <v>330</v>
      </c>
      <c r="BA17" s="487" t="s">
        <v>329</v>
      </c>
      <c r="BB17" s="472" t="s">
        <v>377</v>
      </c>
      <c r="BC17" s="487" t="s">
        <v>190</v>
      </c>
      <c r="BD17" s="487" t="s">
        <v>330</v>
      </c>
      <c r="BE17" s="487" t="s">
        <v>329</v>
      </c>
      <c r="BF17" s="487" t="s">
        <v>392</v>
      </c>
      <c r="BG17" s="487" t="s">
        <v>330</v>
      </c>
      <c r="BH17" s="487" t="s">
        <v>329</v>
      </c>
      <c r="BI17" s="488" t="s">
        <v>46</v>
      </c>
      <c r="BJ17" s="488"/>
      <c r="BK17" s="488" t="s">
        <v>47</v>
      </c>
      <c r="BL17" s="488"/>
      <c r="BM17" s="517" t="s">
        <v>408</v>
      </c>
      <c r="BN17" s="488" t="s">
        <v>312</v>
      </c>
      <c r="BO17" s="488"/>
      <c r="BP17" s="488" t="s">
        <v>313</v>
      </c>
      <c r="BQ17" s="488"/>
      <c r="BR17" s="488" t="s">
        <v>314</v>
      </c>
      <c r="BS17" s="488"/>
      <c r="BT17" s="472" t="s">
        <v>315</v>
      </c>
      <c r="BU17" s="487" t="s">
        <v>316</v>
      </c>
      <c r="BV17" s="487" t="s">
        <v>332</v>
      </c>
      <c r="BW17" s="473"/>
      <c r="BX17" s="487" t="s">
        <v>51</v>
      </c>
      <c r="BY17" s="487" t="s">
        <v>15</v>
      </c>
    </row>
    <row r="18" spans="1:77" s="6" customFormat="1" ht="48" customHeight="1" x14ac:dyDescent="0.2">
      <c r="A18" s="472"/>
      <c r="B18" s="473"/>
      <c r="C18" s="472" t="s">
        <v>42</v>
      </c>
      <c r="D18" s="472" t="s">
        <v>54</v>
      </c>
      <c r="E18" s="472" t="s">
        <v>53</v>
      </c>
      <c r="F18" s="472"/>
      <c r="G18" s="472"/>
      <c r="H18" s="472"/>
      <c r="I18" s="472"/>
      <c r="J18" s="472"/>
      <c r="K18" s="472"/>
      <c r="L18" s="472"/>
      <c r="M18" s="472"/>
      <c r="N18" s="472"/>
      <c r="O18" s="472" t="s">
        <v>37</v>
      </c>
      <c r="P18" s="472" t="s">
        <v>38</v>
      </c>
      <c r="Q18" s="474" t="s">
        <v>20</v>
      </c>
      <c r="R18" s="472" t="s">
        <v>21</v>
      </c>
      <c r="S18" s="474" t="s">
        <v>20</v>
      </c>
      <c r="T18" s="472" t="s">
        <v>21</v>
      </c>
      <c r="U18" s="472"/>
      <c r="V18" s="472"/>
      <c r="W18" s="472" t="s">
        <v>17</v>
      </c>
      <c r="X18" s="472" t="s">
        <v>18</v>
      </c>
      <c r="Y18" s="472" t="s">
        <v>175</v>
      </c>
      <c r="Z18" s="472" t="s">
        <v>176</v>
      </c>
      <c r="AA18" s="472" t="s">
        <v>17</v>
      </c>
      <c r="AB18" s="472" t="s">
        <v>18</v>
      </c>
      <c r="AC18" s="492"/>
      <c r="AD18" s="492"/>
      <c r="AE18" s="492"/>
      <c r="AF18" s="472" t="s">
        <v>17</v>
      </c>
      <c r="AG18" s="472" t="s">
        <v>18</v>
      </c>
      <c r="AH18" s="472"/>
      <c r="AI18" s="472"/>
      <c r="AJ18" s="472" t="s">
        <v>17</v>
      </c>
      <c r="AK18" s="472" t="s">
        <v>18</v>
      </c>
      <c r="AL18" s="472"/>
      <c r="AM18" s="472"/>
      <c r="AN18" s="472"/>
      <c r="AO18" s="472"/>
      <c r="AP18" s="487"/>
      <c r="AQ18" s="487"/>
      <c r="AR18" s="487"/>
      <c r="AS18" s="487"/>
      <c r="AT18" s="472"/>
      <c r="AU18" s="487"/>
      <c r="AV18" s="487"/>
      <c r="AW18" s="487"/>
      <c r="AX18" s="472"/>
      <c r="AY18" s="487"/>
      <c r="AZ18" s="487"/>
      <c r="BA18" s="487"/>
      <c r="BB18" s="472"/>
      <c r="BC18" s="487"/>
      <c r="BD18" s="487"/>
      <c r="BE18" s="487"/>
      <c r="BF18" s="487"/>
      <c r="BG18" s="487"/>
      <c r="BH18" s="487"/>
      <c r="BI18" s="487" t="s">
        <v>48</v>
      </c>
      <c r="BJ18" s="487" t="s">
        <v>318</v>
      </c>
      <c r="BK18" s="487" t="s">
        <v>48</v>
      </c>
      <c r="BL18" s="487" t="s">
        <v>318</v>
      </c>
      <c r="BM18" s="529"/>
      <c r="BN18" s="487" t="s">
        <v>311</v>
      </c>
      <c r="BO18" s="487" t="s">
        <v>318</v>
      </c>
      <c r="BP18" s="487" t="s">
        <v>311</v>
      </c>
      <c r="BQ18" s="487" t="s">
        <v>318</v>
      </c>
      <c r="BR18" s="487" t="s">
        <v>311</v>
      </c>
      <c r="BS18" s="487" t="s">
        <v>318</v>
      </c>
      <c r="BT18" s="472"/>
      <c r="BU18" s="487"/>
      <c r="BV18" s="487"/>
      <c r="BW18" s="473"/>
      <c r="BX18" s="487"/>
      <c r="BY18" s="487"/>
    </row>
    <row r="19" spans="1:77" s="6" customFormat="1" ht="76.5" customHeight="1" x14ac:dyDescent="0.2">
      <c r="A19" s="472"/>
      <c r="B19" s="473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4"/>
      <c r="R19" s="472"/>
      <c r="S19" s="474"/>
      <c r="T19" s="472"/>
      <c r="U19" s="472"/>
      <c r="V19" s="472"/>
      <c r="W19" s="472"/>
      <c r="X19" s="472"/>
      <c r="Y19" s="472"/>
      <c r="Z19" s="472"/>
      <c r="AA19" s="472"/>
      <c r="AB19" s="472"/>
      <c r="AC19" s="493"/>
      <c r="AD19" s="493"/>
      <c r="AE19" s="493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87"/>
      <c r="AQ19" s="487"/>
      <c r="AR19" s="487"/>
      <c r="AS19" s="487"/>
      <c r="AT19" s="472"/>
      <c r="AU19" s="487"/>
      <c r="AV19" s="487"/>
      <c r="AW19" s="487"/>
      <c r="AX19" s="472"/>
      <c r="AY19" s="487"/>
      <c r="AZ19" s="487"/>
      <c r="BA19" s="487"/>
      <c r="BB19" s="472"/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  <c r="BM19" s="518"/>
      <c r="BN19" s="487"/>
      <c r="BO19" s="487"/>
      <c r="BP19" s="487"/>
      <c r="BQ19" s="487"/>
      <c r="BR19" s="487"/>
      <c r="BS19" s="487"/>
      <c r="BT19" s="472"/>
      <c r="BU19" s="487"/>
      <c r="BV19" s="487"/>
      <c r="BW19" s="473"/>
      <c r="BX19" s="487"/>
      <c r="BY19" s="487"/>
    </row>
    <row r="20" spans="1:77" x14ac:dyDescent="0.2">
      <c r="A20" s="20">
        <f>COLUMN(A20)</f>
        <v>1</v>
      </c>
      <c r="B20" s="494">
        <f>COLUMN(B20)</f>
        <v>2</v>
      </c>
      <c r="C20" s="494"/>
      <c r="D20" s="494"/>
      <c r="E20" s="494"/>
      <c r="F20" s="20">
        <v>3</v>
      </c>
      <c r="G20" s="20">
        <f t="shared" ref="G20:BR20" si="0">F20+1</f>
        <v>4</v>
      </c>
      <c r="H20" s="20">
        <f t="shared" si="0"/>
        <v>5</v>
      </c>
      <c r="I20" s="20">
        <f t="shared" si="0"/>
        <v>6</v>
      </c>
      <c r="J20" s="20">
        <f t="shared" si="0"/>
        <v>7</v>
      </c>
      <c r="K20" s="20">
        <f t="shared" si="0"/>
        <v>8</v>
      </c>
      <c r="L20" s="20">
        <f t="shared" si="0"/>
        <v>9</v>
      </c>
      <c r="M20" s="20">
        <f t="shared" si="0"/>
        <v>10</v>
      </c>
      <c r="N20" s="20">
        <f t="shared" si="0"/>
        <v>11</v>
      </c>
      <c r="O20" s="20">
        <f t="shared" si="0"/>
        <v>12</v>
      </c>
      <c r="P20" s="20">
        <f t="shared" si="0"/>
        <v>13</v>
      </c>
      <c r="Q20" s="20">
        <f t="shared" si="0"/>
        <v>14</v>
      </c>
      <c r="R20" s="20">
        <f t="shared" si="0"/>
        <v>15</v>
      </c>
      <c r="S20" s="20">
        <f t="shared" si="0"/>
        <v>16</v>
      </c>
      <c r="T20" s="20">
        <f t="shared" si="0"/>
        <v>17</v>
      </c>
      <c r="U20" s="20">
        <f t="shared" si="0"/>
        <v>18</v>
      </c>
      <c r="V20" s="20">
        <f t="shared" si="0"/>
        <v>19</v>
      </c>
      <c r="W20" s="20">
        <f t="shared" si="0"/>
        <v>20</v>
      </c>
      <c r="X20" s="20">
        <f t="shared" si="0"/>
        <v>21</v>
      </c>
      <c r="Y20" s="20">
        <f t="shared" si="0"/>
        <v>22</v>
      </c>
      <c r="Z20" s="20">
        <f t="shared" si="0"/>
        <v>23</v>
      </c>
      <c r="AA20" s="20">
        <f t="shared" si="0"/>
        <v>24</v>
      </c>
      <c r="AB20" s="20">
        <f t="shared" si="0"/>
        <v>25</v>
      </c>
      <c r="AC20" s="20">
        <f t="shared" si="0"/>
        <v>26</v>
      </c>
      <c r="AD20" s="20">
        <f t="shared" si="0"/>
        <v>27</v>
      </c>
      <c r="AE20" s="20">
        <f t="shared" si="0"/>
        <v>28</v>
      </c>
      <c r="AF20" s="20">
        <f t="shared" si="0"/>
        <v>29</v>
      </c>
      <c r="AG20" s="20">
        <f t="shared" si="0"/>
        <v>30</v>
      </c>
      <c r="AH20" s="20">
        <f t="shared" si="0"/>
        <v>31</v>
      </c>
      <c r="AI20" s="20">
        <f t="shared" si="0"/>
        <v>32</v>
      </c>
      <c r="AJ20" s="20">
        <f t="shared" si="0"/>
        <v>33</v>
      </c>
      <c r="AK20" s="20">
        <f t="shared" si="0"/>
        <v>34</v>
      </c>
      <c r="AL20" s="20">
        <f t="shared" si="0"/>
        <v>35</v>
      </c>
      <c r="AM20" s="20">
        <f t="shared" si="0"/>
        <v>36</v>
      </c>
      <c r="AN20" s="20">
        <f t="shared" si="0"/>
        <v>37</v>
      </c>
      <c r="AO20" s="20">
        <f t="shared" si="0"/>
        <v>38</v>
      </c>
      <c r="AP20" s="20">
        <f t="shared" si="0"/>
        <v>39</v>
      </c>
      <c r="AQ20" s="20">
        <f t="shared" si="0"/>
        <v>40</v>
      </c>
      <c r="AR20" s="20">
        <f t="shared" si="0"/>
        <v>41</v>
      </c>
      <c r="AS20" s="20">
        <f t="shared" si="0"/>
        <v>42</v>
      </c>
      <c r="AT20" s="20">
        <f t="shared" si="0"/>
        <v>43</v>
      </c>
      <c r="AU20" s="20">
        <f t="shared" si="0"/>
        <v>44</v>
      </c>
      <c r="AV20" s="20">
        <f t="shared" si="0"/>
        <v>45</v>
      </c>
      <c r="AW20" s="20">
        <f t="shared" si="0"/>
        <v>46</v>
      </c>
      <c r="AX20" s="20">
        <f t="shared" si="0"/>
        <v>47</v>
      </c>
      <c r="AY20" s="20">
        <f t="shared" si="0"/>
        <v>48</v>
      </c>
      <c r="AZ20" s="20">
        <f t="shared" si="0"/>
        <v>49</v>
      </c>
      <c r="BA20" s="20">
        <f t="shared" si="0"/>
        <v>50</v>
      </c>
      <c r="BB20" s="20">
        <f t="shared" si="0"/>
        <v>51</v>
      </c>
      <c r="BC20" s="20">
        <f t="shared" si="0"/>
        <v>52</v>
      </c>
      <c r="BD20" s="20">
        <f t="shared" si="0"/>
        <v>53</v>
      </c>
      <c r="BE20" s="20">
        <f t="shared" si="0"/>
        <v>54</v>
      </c>
      <c r="BF20" s="20">
        <f t="shared" si="0"/>
        <v>55</v>
      </c>
      <c r="BG20" s="20">
        <f t="shared" si="0"/>
        <v>56</v>
      </c>
      <c r="BH20" s="20">
        <f t="shared" si="0"/>
        <v>57</v>
      </c>
      <c r="BI20" s="20">
        <f t="shared" si="0"/>
        <v>58</v>
      </c>
      <c r="BJ20" s="20">
        <f t="shared" si="0"/>
        <v>59</v>
      </c>
      <c r="BK20" s="20">
        <f t="shared" si="0"/>
        <v>60</v>
      </c>
      <c r="BL20" s="20">
        <f t="shared" si="0"/>
        <v>61</v>
      </c>
      <c r="BM20" s="20">
        <f t="shared" si="0"/>
        <v>62</v>
      </c>
      <c r="BN20" s="20">
        <f t="shared" si="0"/>
        <v>63</v>
      </c>
      <c r="BO20" s="20">
        <f t="shared" si="0"/>
        <v>64</v>
      </c>
      <c r="BP20" s="20">
        <f t="shared" si="0"/>
        <v>65</v>
      </c>
      <c r="BQ20" s="20">
        <f t="shared" si="0"/>
        <v>66</v>
      </c>
      <c r="BR20" s="20">
        <f t="shared" si="0"/>
        <v>67</v>
      </c>
      <c r="BS20" s="20">
        <f t="shared" ref="BS20:BY20" si="1">BR20+1</f>
        <v>68</v>
      </c>
      <c r="BT20" s="20">
        <f t="shared" si="1"/>
        <v>69</v>
      </c>
      <c r="BU20" s="20">
        <f t="shared" si="1"/>
        <v>70</v>
      </c>
      <c r="BV20" s="20">
        <f t="shared" si="1"/>
        <v>71</v>
      </c>
      <c r="BW20" s="20">
        <f t="shared" si="1"/>
        <v>72</v>
      </c>
      <c r="BX20" s="20">
        <f t="shared" si="1"/>
        <v>73</v>
      </c>
      <c r="BY20" s="20">
        <f t="shared" si="1"/>
        <v>74</v>
      </c>
    </row>
    <row r="21" spans="1:77" s="7" customFormat="1" ht="12.75" customHeight="1" x14ac:dyDescent="0.2">
      <c r="A21" s="21"/>
      <c r="B21" s="462" t="s">
        <v>57</v>
      </c>
      <c r="C21" s="462"/>
      <c r="D21" s="462"/>
      <c r="E21" s="46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5"/>
      <c r="AQ21" s="26"/>
      <c r="AR21" s="26"/>
      <c r="AS21" s="25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3"/>
    </row>
    <row r="22" spans="1:77" ht="22.5" x14ac:dyDescent="0.2">
      <c r="A22" s="20">
        <v>1</v>
      </c>
      <c r="B22" s="27" t="s">
        <v>420</v>
      </c>
      <c r="C22" s="66">
        <v>2</v>
      </c>
      <c r="D22" s="30" t="s">
        <v>186</v>
      </c>
      <c r="E22" s="31" t="s">
        <v>115</v>
      </c>
      <c r="F22" s="28" t="s">
        <v>108</v>
      </c>
      <c r="G22" s="29">
        <f>D6</f>
        <v>100</v>
      </c>
      <c r="H22" s="135">
        <v>42628</v>
      </c>
      <c r="I22" s="135">
        <v>42633</v>
      </c>
      <c r="J22" s="179">
        <f>I22-H22</f>
        <v>5</v>
      </c>
      <c r="K22" s="170">
        <f>8*1.26</f>
        <v>10.08</v>
      </c>
      <c r="L22" s="33">
        <f>G22/K22</f>
        <v>9.9206349206349209</v>
      </c>
      <c r="M22" s="34">
        <v>1</v>
      </c>
      <c r="N22" s="34"/>
      <c r="O22" s="35">
        <f>IF(M22=0,0,L22*$O$17)</f>
        <v>69.444444444444443</v>
      </c>
      <c r="P22" s="35">
        <f>IF(N22=0,0,L22*$O$17)</f>
        <v>0</v>
      </c>
      <c r="Q22" s="34">
        <v>5</v>
      </c>
      <c r="R22" s="83">
        <f>'Исходные данные'!$G$21</f>
        <v>197.57121135326915</v>
      </c>
      <c r="S22" s="34"/>
      <c r="T22" s="33"/>
      <c r="U22" s="130">
        <f>O22*R22*'Исходные данные'!$C$37%</f>
        <v>0</v>
      </c>
      <c r="V22" s="130">
        <f>P22*T22*'Исходные данные'!$C$38%</f>
        <v>0</v>
      </c>
      <c r="W22" s="130">
        <f>O22*R22*$W$17</f>
        <v>0</v>
      </c>
      <c r="X22" s="131">
        <f>P22*T22*$W$17</f>
        <v>0</v>
      </c>
      <c r="Y22" s="130">
        <f>(O22*R22+U22+W22)*$Y$17</f>
        <v>1372.0223010643692</v>
      </c>
      <c r="Z22" s="131">
        <f>(P22*T22+V22+X22)*$Z$17</f>
        <v>0</v>
      </c>
      <c r="AA22" s="130">
        <f>(O22*R22+U22)*$AA$17</f>
        <v>0</v>
      </c>
      <c r="AB22" s="131">
        <f>(P22*T22+V22)*$AA$17</f>
        <v>0</v>
      </c>
      <c r="AC22" s="129">
        <v>2.5</v>
      </c>
      <c r="AD22" s="130">
        <f>(O22*R22+U22+W22+Y22+AA22)*AC22</f>
        <v>37730.613279270154</v>
      </c>
      <c r="AE22" s="130">
        <f>(P22*T22+V22+X22+Z22+AB22)*AC22</f>
        <v>0</v>
      </c>
      <c r="AF22" s="35">
        <f ca="1">AD22*$AF$17</f>
        <v>5637.9077313851958</v>
      </c>
      <c r="AG22" s="73"/>
      <c r="AH22" s="35">
        <f t="shared" ref="AH22:AI32" ca="1" si="2">AD22+AF22</f>
        <v>43368.52101065535</v>
      </c>
      <c r="AI22" s="35">
        <f t="shared" si="2"/>
        <v>0</v>
      </c>
      <c r="AJ22" s="35">
        <f t="shared" ref="AJ22:AK32" ca="1" si="3">AH22*$AJ$17</f>
        <v>13010.556303196605</v>
      </c>
      <c r="AK22" s="73">
        <f t="shared" si="3"/>
        <v>0</v>
      </c>
      <c r="AL22" s="35">
        <f ca="1">AH22+AJ22</f>
        <v>56379.077313851958</v>
      </c>
      <c r="AM22" s="73">
        <f>AK22+AI22</f>
        <v>0</v>
      </c>
      <c r="AN22" s="171">
        <v>9.5238095238095237</v>
      </c>
      <c r="AO22" s="33">
        <f>'Исходные данные'!$C$53</f>
        <v>0.84</v>
      </c>
      <c r="AP22" s="79">
        <f>(G22*AN22)*AO22/100</f>
        <v>8</v>
      </c>
      <c r="AQ22" s="33" t="s">
        <v>156</v>
      </c>
      <c r="AR22" s="83" t="e">
        <f>'Исходные данные'!#REF!</f>
        <v>#REF!</v>
      </c>
      <c r="AS22" s="36" t="e">
        <f>AP22*AR22</f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f>аморт!$G$12</f>
        <v>61.781971818181816</v>
      </c>
      <c r="BJ22" s="36">
        <f>BI22*L22</f>
        <v>612.9163870851371</v>
      </c>
      <c r="BK22" s="36">
        <f>аморт!$G$70</f>
        <v>45.238095238095241</v>
      </c>
      <c r="BL22" s="36">
        <f>BK22*L22</f>
        <v>448.790627362056</v>
      </c>
      <c r="BM22" s="36"/>
      <c r="BN22" s="38">
        <v>84.5</v>
      </c>
      <c r="BO22" s="36">
        <f>BN22*BY22</f>
        <v>9724.206349206348</v>
      </c>
      <c r="BP22" s="38">
        <v>9.4</v>
      </c>
      <c r="BQ22" s="36">
        <f>BP22*BY22</f>
        <v>1081.7460317460318</v>
      </c>
      <c r="BR22" s="38">
        <f>6.7*1.045*1.054</f>
        <v>7.3795810000000008</v>
      </c>
      <c r="BS22" s="36">
        <f>BR22*BY22</f>
        <v>849.2374960317461</v>
      </c>
      <c r="BT22" s="36">
        <f>аморт!$C$70*10%/аморт!$E$70*L22*7</f>
        <v>92361.111111111124</v>
      </c>
      <c r="BU22" s="36" t="e">
        <f ca="1">AL22+AM22+AS22+AW22+BA22+BE22+BH22+BJ22+BL22+BM22+BO22+BQ22+BS22+BT22</f>
        <v>#REF!</v>
      </c>
      <c r="BV22" s="36" t="e">
        <f ca="1">BU22/$D$6</f>
        <v>#REF!</v>
      </c>
      <c r="BW22" s="38">
        <f>(O22+P22)/$D$6</f>
        <v>0.69444444444444442</v>
      </c>
      <c r="BX22" s="38">
        <v>11.6</v>
      </c>
      <c r="BY22" s="39">
        <f>BX22*L22</f>
        <v>115.07936507936508</v>
      </c>
    </row>
    <row r="23" spans="1:77" x14ac:dyDescent="0.2">
      <c r="A23" s="20">
        <f>A22+1</f>
        <v>2</v>
      </c>
      <c r="B23" s="27" t="s">
        <v>428</v>
      </c>
      <c r="C23" s="66">
        <v>1</v>
      </c>
      <c r="D23" s="30" t="s">
        <v>186</v>
      </c>
      <c r="E23" s="31" t="s">
        <v>432</v>
      </c>
      <c r="F23" s="28" t="s">
        <v>108</v>
      </c>
      <c r="G23" s="29">
        <f>G22</f>
        <v>100</v>
      </c>
      <c r="H23" s="135">
        <v>42510</v>
      </c>
      <c r="I23" s="135">
        <v>42515</v>
      </c>
      <c r="J23" s="179">
        <f t="shared" ref="J23:J31" si="4">I23-H23</f>
        <v>5</v>
      </c>
      <c r="K23" s="170">
        <f>8*3.6</f>
        <v>28.8</v>
      </c>
      <c r="L23" s="33">
        <f>G23/K23</f>
        <v>3.4722222222222223</v>
      </c>
      <c r="M23" s="34">
        <v>1</v>
      </c>
      <c r="N23" s="34"/>
      <c r="O23" s="35">
        <f>IF(M23=0,0,L23*$O$17)</f>
        <v>24.305555555555557</v>
      </c>
      <c r="P23" s="35">
        <f>IF(N23=0,0,L23*$O$17)</f>
        <v>0</v>
      </c>
      <c r="Q23" s="34">
        <v>4</v>
      </c>
      <c r="R23" s="83">
        <f>'Исходные данные'!$F$21</f>
        <v>173.86266599087685</v>
      </c>
      <c r="S23" s="34"/>
      <c r="T23" s="33"/>
      <c r="U23" s="130">
        <f>O23*R23*'Исходные данные'!$C$37%</f>
        <v>0</v>
      </c>
      <c r="V23" s="130">
        <f>P23*T23*'Исходные данные'!$C$38%</f>
        <v>0</v>
      </c>
      <c r="W23" s="130">
        <f>O23*R23*$W$17</f>
        <v>0</v>
      </c>
      <c r="X23" s="131">
        <f>P23*T23*$W$17</f>
        <v>0</v>
      </c>
      <c r="Y23" s="130">
        <f>(O23*R23+U23+W23)*$Y$17</f>
        <v>422.58286872782577</v>
      </c>
      <c r="Z23" s="131">
        <f>(P23*T23+V23+X23)*$Z$17</f>
        <v>0</v>
      </c>
      <c r="AA23" s="130">
        <f>(O23*R23+U23)*$AA$17</f>
        <v>0</v>
      </c>
      <c r="AB23" s="131">
        <f>(P23*T23+V23)*$AA$17</f>
        <v>0</v>
      </c>
      <c r="AC23" s="129">
        <v>2.5</v>
      </c>
      <c r="AD23" s="130">
        <f>(O23*R23+U23+W23+Y23+AA23)*AC23</f>
        <v>11621.028890015206</v>
      </c>
      <c r="AE23" s="130">
        <f>(P23*T23+V23+X23+Z23+AB23)*AC23</f>
        <v>0</v>
      </c>
      <c r="AF23" s="35">
        <f ca="1">AD23*$AF$17</f>
        <v>1736.4755812666401</v>
      </c>
      <c r="AG23" s="73"/>
      <c r="AH23" s="35">
        <f t="shared" ca="1" si="2"/>
        <v>13357.504471281847</v>
      </c>
      <c r="AI23" s="35">
        <f t="shared" si="2"/>
        <v>0</v>
      </c>
      <c r="AJ23" s="35">
        <f t="shared" ca="1" si="3"/>
        <v>4007.2513413845541</v>
      </c>
      <c r="AK23" s="73">
        <f t="shared" si="3"/>
        <v>0</v>
      </c>
      <c r="AL23" s="35">
        <f ca="1">AH23+AJ23</f>
        <v>17364.755812666401</v>
      </c>
      <c r="AM23" s="73">
        <f>AK23+AI23</f>
        <v>0</v>
      </c>
      <c r="AN23" s="171">
        <v>9.5238095238095237</v>
      </c>
      <c r="AO23" s="33">
        <f>'Исходные данные'!$C$53</f>
        <v>0.84</v>
      </c>
      <c r="AP23" s="79">
        <f>(G23*AN23)*AO23/100</f>
        <v>8</v>
      </c>
      <c r="AQ23" s="33" t="s">
        <v>156</v>
      </c>
      <c r="AR23" s="83" t="e">
        <f>'Исходные данные'!#REF!</f>
        <v>#REF!</v>
      </c>
      <c r="AS23" s="36" t="e">
        <f>AP23*AR23</f>
        <v>#REF!</v>
      </c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f>аморт!$G$12</f>
        <v>61.781971818181816</v>
      </c>
      <c r="BJ23" s="36">
        <f>BI23*L23</f>
        <v>214.52073547979799</v>
      </c>
      <c r="BK23" s="36">
        <f>аморт!G33</f>
        <v>97.41305263157895</v>
      </c>
      <c r="BL23" s="36">
        <f>BK23*L23</f>
        <v>338.23976608187138</v>
      </c>
      <c r="BM23" s="36"/>
      <c r="BN23" s="38">
        <v>84.5</v>
      </c>
      <c r="BO23" s="36">
        <f>BN23*BY23</f>
        <v>3403.4722222222222</v>
      </c>
      <c r="BP23" s="38">
        <v>9.4</v>
      </c>
      <c r="BQ23" s="36">
        <f>BP23*BY23</f>
        <v>378.61111111111114</v>
      </c>
      <c r="BR23" s="38">
        <f>6.7*1.045*1.054</f>
        <v>7.3795810000000008</v>
      </c>
      <c r="BS23" s="36">
        <f>BR23*BY23</f>
        <v>297.23312361111113</v>
      </c>
      <c r="BT23" s="36">
        <f>аморт!$C$33*10%/аморт!$E$33*L23*7</f>
        <v>11246.472222222223</v>
      </c>
      <c r="BU23" s="36" t="e">
        <f ca="1">AL23+AM23+AS23+AW23+BA23+BE23+BH23+BJ23+BL23+BM23+BO23+BQ23+BS23+BT23</f>
        <v>#REF!</v>
      </c>
      <c r="BV23" s="36" t="e">
        <f ca="1">BU23/$D$6</f>
        <v>#REF!</v>
      </c>
      <c r="BW23" s="38">
        <f>(O23+P23)/$D$6</f>
        <v>0.24305555555555558</v>
      </c>
      <c r="BX23" s="38">
        <v>11.6</v>
      </c>
      <c r="BY23" s="39">
        <f>BX23*L23</f>
        <v>40.277777777777779</v>
      </c>
    </row>
    <row r="24" spans="1:77" x14ac:dyDescent="0.2">
      <c r="A24" s="20">
        <f>A23+1</f>
        <v>3</v>
      </c>
      <c r="B24" s="27" t="s">
        <v>429</v>
      </c>
      <c r="C24" s="66">
        <v>1</v>
      </c>
      <c r="D24" s="30" t="s">
        <v>186</v>
      </c>
      <c r="E24" s="31" t="s">
        <v>425</v>
      </c>
      <c r="F24" s="28" t="s">
        <v>108</v>
      </c>
      <c r="G24" s="29">
        <f>D6</f>
        <v>100</v>
      </c>
      <c r="H24" s="135">
        <v>42515</v>
      </c>
      <c r="I24" s="135">
        <v>42522</v>
      </c>
      <c r="J24" s="179">
        <f t="shared" si="4"/>
        <v>7</v>
      </c>
      <c r="K24" s="170">
        <f>8*4</f>
        <v>32</v>
      </c>
      <c r="L24" s="33">
        <f>G24/K24</f>
        <v>3.125</v>
      </c>
      <c r="M24" s="34">
        <v>1</v>
      </c>
      <c r="N24" s="34"/>
      <c r="O24" s="35">
        <f>IF(M24=0,0,L24*$O$17)</f>
        <v>21.875</v>
      </c>
      <c r="P24" s="35">
        <f>IF(N24=0,0,L24*$O$17)</f>
        <v>0</v>
      </c>
      <c r="Q24" s="34">
        <v>4</v>
      </c>
      <c r="R24" s="83">
        <f>'Исходные данные'!$F$21</f>
        <v>173.86266599087685</v>
      </c>
      <c r="S24" s="34"/>
      <c r="T24" s="33"/>
      <c r="U24" s="130">
        <f>O24*R24*'Исходные данные'!$C$37%</f>
        <v>0</v>
      </c>
      <c r="V24" s="130">
        <f>P24*T24*'Исходные данные'!$C$38%</f>
        <v>0</v>
      </c>
      <c r="W24" s="130">
        <f>O24*R24*$W$17</f>
        <v>0</v>
      </c>
      <c r="X24" s="131">
        <f>P24*T24*$W$17</f>
        <v>0</v>
      </c>
      <c r="Y24" s="130">
        <f>(O24*R24+U24+W24)*$Y$17</f>
        <v>380.32458185504311</v>
      </c>
      <c r="Z24" s="131">
        <f>(P24*T24+V24+X24)*$Z$17</f>
        <v>0</v>
      </c>
      <c r="AA24" s="130">
        <f>(O24*R24+U24)*$AA$17</f>
        <v>0</v>
      </c>
      <c r="AB24" s="131">
        <f>(P24*T24+V24)*$AA$17</f>
        <v>0</v>
      </c>
      <c r="AC24" s="129">
        <v>2.5</v>
      </c>
      <c r="AD24" s="130">
        <f>(O24*R24+U24+W24+Y24+AA24)*AC24</f>
        <v>10458.926001013686</v>
      </c>
      <c r="AE24" s="130">
        <f>(P24*T24+V24+X24+Z24+AB24)*AC24</f>
        <v>0</v>
      </c>
      <c r="AF24" s="35">
        <f ca="1">AD24*$AF$17</f>
        <v>1562.8280231399763</v>
      </c>
      <c r="AG24" s="73"/>
      <c r="AH24" s="35">
        <f t="shared" ca="1" si="2"/>
        <v>12021.754024153663</v>
      </c>
      <c r="AI24" s="35">
        <f t="shared" si="2"/>
        <v>0</v>
      </c>
      <c r="AJ24" s="35">
        <f t="shared" ca="1" si="3"/>
        <v>3606.5262072460987</v>
      </c>
      <c r="AK24" s="73">
        <f t="shared" si="3"/>
        <v>0</v>
      </c>
      <c r="AL24" s="35">
        <f ca="1">AH24+AJ24</f>
        <v>15628.280231399762</v>
      </c>
      <c r="AM24" s="73">
        <f>AK24+AI24</f>
        <v>0</v>
      </c>
      <c r="AN24" s="171">
        <v>9.5238095238095237</v>
      </c>
      <c r="AO24" s="33">
        <f>'Исходные данные'!$C$53</f>
        <v>0.84</v>
      </c>
      <c r="AP24" s="79">
        <f>(G24*AN24)*AO24/100</f>
        <v>8</v>
      </c>
      <c r="AQ24" s="33" t="s">
        <v>155</v>
      </c>
      <c r="AR24" s="83" t="e">
        <f>'Исходные данные'!#REF!</f>
        <v>#REF!</v>
      </c>
      <c r="AS24" s="36" t="e">
        <f>AP24*AR24</f>
        <v>#REF!</v>
      </c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>
        <f>аморт!$G$12</f>
        <v>61.781971818181816</v>
      </c>
      <c r="BJ24" s="36">
        <f>BI24*L24</f>
        <v>193.06866193181818</v>
      </c>
      <c r="BK24" s="36">
        <f>аморт!G52</f>
        <v>50.50391891891892</v>
      </c>
      <c r="BL24" s="36">
        <f>BK24*L24</f>
        <v>157.82474662162161</v>
      </c>
      <c r="BM24" s="36"/>
      <c r="BN24" s="38">
        <v>84.5</v>
      </c>
      <c r="BO24" s="36">
        <f>BN24*BY24</f>
        <v>3063.125</v>
      </c>
      <c r="BP24" s="38">
        <v>9.4</v>
      </c>
      <c r="BQ24" s="36">
        <f>BP24*BY24</f>
        <v>340.75</v>
      </c>
      <c r="BR24" s="38">
        <f>6.7*1.045*1.054</f>
        <v>7.3795810000000008</v>
      </c>
      <c r="BS24" s="36">
        <f>BR24*BY24</f>
        <v>267.50981125000004</v>
      </c>
      <c r="BT24" s="36">
        <f>аморт!$C$52*10%/аморт!$E$52*L24*7</f>
        <v>13080.514999999999</v>
      </c>
      <c r="BU24" s="36" t="e">
        <f ca="1">AL24+AM24+AS24+AW24+BA24+BE24+BH24+BJ24+BL24+BM24+BO24+BQ24+BS24+BT24</f>
        <v>#REF!</v>
      </c>
      <c r="BV24" s="36" t="e">
        <f ca="1">BU24/$D$6</f>
        <v>#REF!</v>
      </c>
      <c r="BW24" s="38">
        <f>(O24+P24)/$D$6</f>
        <v>0.21875</v>
      </c>
      <c r="BX24" s="38">
        <v>11.6</v>
      </c>
      <c r="BY24" s="39">
        <f>BX24*L24</f>
        <v>36.25</v>
      </c>
    </row>
    <row r="25" spans="1:77" x14ac:dyDescent="0.2">
      <c r="A25" s="20">
        <f t="shared" ref="A25:A32" si="5">A24+1</f>
        <v>4</v>
      </c>
      <c r="B25" s="27" t="s">
        <v>430</v>
      </c>
      <c r="C25" s="66">
        <v>1</v>
      </c>
      <c r="D25" s="30" t="s">
        <v>107</v>
      </c>
      <c r="E25" s="180" t="s">
        <v>492</v>
      </c>
      <c r="F25" s="28" t="s">
        <v>108</v>
      </c>
      <c r="G25" s="29">
        <f>D6</f>
        <v>100</v>
      </c>
      <c r="H25" s="135">
        <v>42536</v>
      </c>
      <c r="I25" s="135">
        <v>42538</v>
      </c>
      <c r="J25" s="179">
        <f t="shared" si="4"/>
        <v>2</v>
      </c>
      <c r="K25" s="170">
        <f>8*4.2</f>
        <v>33.6</v>
      </c>
      <c r="L25" s="33">
        <f t="shared" ref="L25:L32" si="6">G25/K25</f>
        <v>2.9761904761904763</v>
      </c>
      <c r="M25" s="34">
        <v>1</v>
      </c>
      <c r="N25" s="34"/>
      <c r="O25" s="35">
        <f>IF(M25=0,0,L25*$O$17)</f>
        <v>20.833333333333336</v>
      </c>
      <c r="P25" s="35">
        <f t="shared" ref="P25:P31" si="7">IF(N25=0,0,L25*$O$17)</f>
        <v>0</v>
      </c>
      <c r="Q25" s="34">
        <v>3</v>
      </c>
      <c r="R25" s="83">
        <f ca="1">IF(AND(O25&gt;0,Q25&gt;0),SUMIF('Исходные данные'!$C$13:H26,Q25,'Исходные данные'!$C$17:$H$17),IF(O25=0,0,IF(Q25=0,"РОТ")))</f>
        <v>138.29984794728838</v>
      </c>
      <c r="S25" s="34"/>
      <c r="T25" s="33"/>
      <c r="U25" s="130">
        <f ca="1">O25*R25*'Исходные данные'!$C$37%</f>
        <v>0</v>
      </c>
      <c r="V25" s="130">
        <f>P25*T25*'Исходные данные'!$C$38%</f>
        <v>0</v>
      </c>
      <c r="W25" s="130">
        <f t="shared" ref="W25:W32" ca="1" si="8">O25*R25*$W$17</f>
        <v>0</v>
      </c>
      <c r="X25" s="131">
        <f t="shared" ref="X25:X32" si="9">P25*T25*$W$17</f>
        <v>0</v>
      </c>
      <c r="Y25" s="130">
        <f t="shared" ref="Y25:Y32" ca="1" si="10">(O25*R25+U25+W25)*$Y$17</f>
        <v>288.12468322351754</v>
      </c>
      <c r="Z25" s="131">
        <f t="shared" ref="Z25:Z32" si="11">(P25*T25+V25+X25)*$Z$17</f>
        <v>0</v>
      </c>
      <c r="AA25" s="130">
        <f t="shared" ref="AA25:AA32" ca="1" si="12">(O25*R25+U25)*$AA$17</f>
        <v>0</v>
      </c>
      <c r="AB25" s="131">
        <f t="shared" ref="AB25:AB32" si="13">(P25*T25+V25)*$AA$17</f>
        <v>0</v>
      </c>
      <c r="AC25" s="129">
        <v>2.5</v>
      </c>
      <c r="AD25" s="130">
        <f t="shared" ref="AD25:AD32" ca="1" si="14">(O25*R25+U25+W25+Y25+AA25)*AC25</f>
        <v>7923.4287886467318</v>
      </c>
      <c r="AE25" s="130">
        <f t="shared" ref="AE25:AE32" si="15">(P25*T25+V25+X25+Z25+AB25)*AC25</f>
        <v>0</v>
      </c>
      <c r="AF25" s="35">
        <f t="shared" ref="AF25:AG32" ca="1" si="16">AD25*$AF$17</f>
        <v>1183.9606235908911</v>
      </c>
      <c r="AG25" s="73"/>
      <c r="AH25" s="35">
        <f t="shared" ca="1" si="2"/>
        <v>9107.3894122376223</v>
      </c>
      <c r="AI25" s="35"/>
      <c r="AJ25" s="35">
        <f t="shared" ca="1" si="3"/>
        <v>2732.2168236712864</v>
      </c>
      <c r="AK25" s="73"/>
      <c r="AL25" s="35">
        <f t="shared" ref="AL25:AL32" ca="1" si="17">AH25+AJ25</f>
        <v>11839.606235908908</v>
      </c>
      <c r="AM25" s="73"/>
      <c r="AN25" s="171">
        <v>2.2999999999999998</v>
      </c>
      <c r="AO25" s="33">
        <f>'Исходные данные'!$C$53</f>
        <v>0.84</v>
      </c>
      <c r="AP25" s="79">
        <f>(G25*AN25)*AO25/100</f>
        <v>1.9319999999999995</v>
      </c>
      <c r="AQ25" s="33" t="s">
        <v>155</v>
      </c>
      <c r="AR25" s="83" t="e">
        <f>'Исходные данные'!#REF!</f>
        <v>#REF!</v>
      </c>
      <c r="AS25" s="36" t="e">
        <f>AP25*AR25</f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f>аморт!$G$11</f>
        <v>181.91312849162011</v>
      </c>
      <c r="BJ25" s="36">
        <f>BI25*L25</f>
        <v>541.40812051077421</v>
      </c>
      <c r="BK25" s="36">
        <f>аморт!$G$34</f>
        <v>97.41305263157895</v>
      </c>
      <c r="BL25" s="36">
        <f>BK25*L25</f>
        <v>289.9197994987469</v>
      </c>
      <c r="BM25" s="36"/>
      <c r="BN25" s="38">
        <v>82.4</v>
      </c>
      <c r="BO25" s="36">
        <f>BN25*BY25</f>
        <v>1250.7142857142858</v>
      </c>
      <c r="BP25" s="38">
        <v>13.9</v>
      </c>
      <c r="BQ25" s="36">
        <f>BP25*BY25</f>
        <v>210.98214285714286</v>
      </c>
      <c r="BR25" s="38">
        <f>4.8*1.045*1.054</f>
        <v>5.2868639999999996</v>
      </c>
      <c r="BS25" s="36">
        <f>BR25*BY25</f>
        <v>80.247042857142858</v>
      </c>
      <c r="BT25" s="36">
        <f>аморт!C34*10%/аморт!E34*L25*7</f>
        <v>9639.8333333333339</v>
      </c>
      <c r="BU25" s="36" t="e">
        <f t="shared" ref="BU25:BU32" ca="1" si="18">AL25+AM25+AS25+AW25+BA25+BE25+BH25+BJ25+BL25+BM25+BO25+BQ25+BS25+BT25</f>
        <v>#REF!</v>
      </c>
      <c r="BV25" s="36" t="e">
        <f t="shared" ref="BV25:BV32" ca="1" si="19">BU25/$D$6</f>
        <v>#REF!</v>
      </c>
      <c r="BW25" s="38">
        <f t="shared" ref="BW25:BW31" si="20">(O25+P25)/$D$6</f>
        <v>0.20833333333333337</v>
      </c>
      <c r="BX25" s="38">
        <v>5.0999999999999996</v>
      </c>
      <c r="BY25" s="39">
        <f>BX25*L25</f>
        <v>15.178571428571429</v>
      </c>
    </row>
    <row r="26" spans="1:77" x14ac:dyDescent="0.2">
      <c r="A26" s="20">
        <f t="shared" si="5"/>
        <v>5</v>
      </c>
      <c r="B26" s="27" t="s">
        <v>23</v>
      </c>
      <c r="C26" s="66">
        <v>3</v>
      </c>
      <c r="D26" s="463" t="s">
        <v>120</v>
      </c>
      <c r="E26" s="464"/>
      <c r="F26" s="28" t="s">
        <v>111</v>
      </c>
      <c r="G26" s="183">
        <f>AU32</f>
        <v>3</v>
      </c>
      <c r="H26" s="135">
        <v>42536</v>
      </c>
      <c r="I26" s="135">
        <v>42538</v>
      </c>
      <c r="J26" s="179">
        <f t="shared" si="4"/>
        <v>2</v>
      </c>
      <c r="K26" s="170">
        <f>G26/6</f>
        <v>0.5</v>
      </c>
      <c r="L26" s="33">
        <f t="shared" si="6"/>
        <v>6</v>
      </c>
      <c r="M26" s="34">
        <v>1</v>
      </c>
      <c r="N26" s="34">
        <v>1</v>
      </c>
      <c r="O26" s="35">
        <f t="shared" ref="O26:O32" si="21">IF(M26=0,0,L26*$O$17)</f>
        <v>42</v>
      </c>
      <c r="P26" s="35">
        <f t="shared" si="7"/>
        <v>42</v>
      </c>
      <c r="Q26" s="34">
        <v>2</v>
      </c>
      <c r="R26" s="83">
        <f ca="1">IF(AND(O26&gt;0,Q26&gt;0),SUMIF('Исходные данные'!$C$13:H28,Q26,'Исходные данные'!$C$17:$H$17),IF(O26=0,0,IF(Q26=0,"РОТ")))</f>
        <v>128.66557526609228</v>
      </c>
      <c r="S26" s="34">
        <v>2</v>
      </c>
      <c r="T26" s="83">
        <f ca="1">IF(AND(N26&gt;0,P26&gt;0),SUMIF('Исходные данные'!$C$13:$J$29,S26,'Исходные данные'!$C$33:$J$39),IF(N26=0,0,IF(S26=0,"РОТ")))</f>
        <v>105.700598073999</v>
      </c>
      <c r="U26" s="130">
        <f ca="1">O26*R26*'Исходные данные'!$C$37%</f>
        <v>0</v>
      </c>
      <c r="V26" s="130">
        <f ca="1">P26*T26*'Исходные данные'!$C$38%</f>
        <v>0</v>
      </c>
      <c r="W26" s="130">
        <f t="shared" ca="1" si="8"/>
        <v>0</v>
      </c>
      <c r="X26" s="131">
        <f t="shared" ca="1" si="9"/>
        <v>0</v>
      </c>
      <c r="Y26" s="130">
        <f t="shared" ca="1" si="10"/>
        <v>540.39541611758762</v>
      </c>
      <c r="Z26" s="131">
        <f t="shared" ca="1" si="11"/>
        <v>221.97125595539794</v>
      </c>
      <c r="AA26" s="130">
        <f t="shared" ca="1" si="12"/>
        <v>0</v>
      </c>
      <c r="AB26" s="131">
        <f t="shared" ca="1" si="13"/>
        <v>0</v>
      </c>
      <c r="AC26" s="129">
        <v>2.5</v>
      </c>
      <c r="AD26" s="130">
        <f t="shared" ca="1" si="14"/>
        <v>14860.873943233659</v>
      </c>
      <c r="AE26" s="130">
        <f t="shared" ca="1" si="15"/>
        <v>11653.490937658391</v>
      </c>
      <c r="AF26" s="35">
        <f t="shared" ca="1" si="16"/>
        <v>2220.5903593337653</v>
      </c>
      <c r="AG26" s="73">
        <f t="shared" ca="1" si="16"/>
        <v>1741.3262320638976</v>
      </c>
      <c r="AH26" s="35">
        <f t="shared" ca="1" si="2"/>
        <v>17081.464302567423</v>
      </c>
      <c r="AI26" s="35">
        <f t="shared" ca="1" si="2"/>
        <v>13394.817169722288</v>
      </c>
      <c r="AJ26" s="35">
        <f t="shared" ca="1" si="3"/>
        <v>5124.4392907702268</v>
      </c>
      <c r="AK26" s="73">
        <f t="shared" ca="1" si="3"/>
        <v>4018.4451509166861</v>
      </c>
      <c r="AL26" s="35">
        <f t="shared" ca="1" si="17"/>
        <v>22205.903593337651</v>
      </c>
      <c r="AM26" s="73">
        <f t="shared" ref="AM26:AM32" ca="1" si="22">AK26+AI26</f>
        <v>17413.262320638973</v>
      </c>
      <c r="AN26" s="171"/>
      <c r="AO26" s="32"/>
      <c r="AP26" s="79"/>
      <c r="AQ26" s="33"/>
      <c r="AR26" s="32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85"/>
      <c r="BL26" s="36"/>
      <c r="BM26" s="36"/>
      <c r="BN26" s="38"/>
      <c r="BO26" s="36"/>
      <c r="BP26" s="38"/>
      <c r="BQ26" s="36"/>
      <c r="BR26" s="38"/>
      <c r="BS26" s="36"/>
      <c r="BT26" s="36"/>
      <c r="BU26" s="36">
        <f t="shared" ca="1" si="18"/>
        <v>39619.165913976627</v>
      </c>
      <c r="BV26" s="36">
        <f t="shared" ca="1" si="19"/>
        <v>396.19165913976627</v>
      </c>
      <c r="BW26" s="38">
        <f t="shared" si="20"/>
        <v>0.84</v>
      </c>
      <c r="BX26" s="38"/>
      <c r="BY26" s="39"/>
    </row>
    <row r="27" spans="1:77" ht="22.5" x14ac:dyDescent="0.2">
      <c r="A27" s="20">
        <f t="shared" si="5"/>
        <v>6</v>
      </c>
      <c r="B27" s="27" t="s">
        <v>24</v>
      </c>
      <c r="C27" s="66">
        <v>3</v>
      </c>
      <c r="D27" s="30" t="s">
        <v>107</v>
      </c>
      <c r="E27" s="31" t="s">
        <v>117</v>
      </c>
      <c r="F27" s="28" t="s">
        <v>111</v>
      </c>
      <c r="G27" s="183">
        <f>G26</f>
        <v>3</v>
      </c>
      <c r="H27" s="135">
        <v>42536</v>
      </c>
      <c r="I27" s="135">
        <v>42538</v>
      </c>
      <c r="J27" s="179">
        <f t="shared" si="4"/>
        <v>2</v>
      </c>
      <c r="K27" s="170">
        <f>G27/6</f>
        <v>0.5</v>
      </c>
      <c r="L27" s="33">
        <f t="shared" si="6"/>
        <v>6</v>
      </c>
      <c r="M27" s="34">
        <v>1</v>
      </c>
      <c r="N27" s="34">
        <v>1</v>
      </c>
      <c r="O27" s="35">
        <f t="shared" si="21"/>
        <v>42</v>
      </c>
      <c r="P27" s="35">
        <f t="shared" si="7"/>
        <v>42</v>
      </c>
      <c r="Q27" s="34">
        <v>2</v>
      </c>
      <c r="R27" s="83">
        <f ca="1">IF(AND(O27&gt;0,Q27&gt;0),SUMIF('Исходные данные'!$C$13:H29,Q27,'Исходные данные'!$C$17:$H$17),IF(O27=0,0,IF(Q27=0,"РОТ")))</f>
        <v>128.66557526609228</v>
      </c>
      <c r="S27" s="34">
        <v>2</v>
      </c>
      <c r="T27" s="83">
        <f ca="1">IF(AND(N27&gt;0,P27&gt;0),SUMIF('Исходные данные'!$C$13:$J$29,S27,'Исходные данные'!$C$33:$J$39),IF(N27=0,0,IF(S27=0,"РОТ")))</f>
        <v>105.700598073999</v>
      </c>
      <c r="U27" s="130">
        <f ca="1">O27*R27*'Исходные данные'!$C$37%</f>
        <v>0</v>
      </c>
      <c r="V27" s="130">
        <f ca="1">P27*T27*'Исходные данные'!$C$38%</f>
        <v>0</v>
      </c>
      <c r="W27" s="130">
        <f t="shared" ca="1" si="8"/>
        <v>0</v>
      </c>
      <c r="X27" s="131">
        <f t="shared" ca="1" si="9"/>
        <v>0</v>
      </c>
      <c r="Y27" s="130">
        <f t="shared" ca="1" si="10"/>
        <v>540.39541611758762</v>
      </c>
      <c r="Z27" s="131">
        <f t="shared" ca="1" si="11"/>
        <v>221.97125595539794</v>
      </c>
      <c r="AA27" s="130">
        <f t="shared" ca="1" si="12"/>
        <v>0</v>
      </c>
      <c r="AB27" s="131">
        <f t="shared" ca="1" si="13"/>
        <v>0</v>
      </c>
      <c r="AC27" s="129">
        <v>2.5</v>
      </c>
      <c r="AD27" s="130">
        <f t="shared" ca="1" si="14"/>
        <v>14860.873943233659</v>
      </c>
      <c r="AE27" s="130">
        <f t="shared" ca="1" si="15"/>
        <v>11653.490937658391</v>
      </c>
      <c r="AF27" s="35">
        <f t="shared" ca="1" si="16"/>
        <v>2220.5903593337653</v>
      </c>
      <c r="AG27" s="73">
        <f t="shared" ca="1" si="16"/>
        <v>1741.3262320638976</v>
      </c>
      <c r="AH27" s="35">
        <f t="shared" ca="1" si="2"/>
        <v>17081.464302567423</v>
      </c>
      <c r="AI27" s="35">
        <f t="shared" ca="1" si="2"/>
        <v>13394.817169722288</v>
      </c>
      <c r="AJ27" s="35">
        <f t="shared" ca="1" si="3"/>
        <v>5124.4392907702268</v>
      </c>
      <c r="AK27" s="73">
        <f t="shared" ca="1" si="3"/>
        <v>4018.4451509166861</v>
      </c>
      <c r="AL27" s="35">
        <f t="shared" ca="1" si="17"/>
        <v>22205.903593337651</v>
      </c>
      <c r="AM27" s="73">
        <f t="shared" ca="1" si="22"/>
        <v>17413.262320638973</v>
      </c>
      <c r="AN27" s="171">
        <v>0.96</v>
      </c>
      <c r="AO27" s="33">
        <f>'Исходные данные'!$C$53</f>
        <v>0.84</v>
      </c>
      <c r="AP27" s="79">
        <f>(G27*AN27)*AO27/100</f>
        <v>2.4192000000000002E-2</v>
      </c>
      <c r="AQ27" s="33" t="s">
        <v>155</v>
      </c>
      <c r="AR27" s="83" t="e">
        <f>'Исходные данные'!#REF!</f>
        <v>#REF!</v>
      </c>
      <c r="AS27" s="36" t="e">
        <f>AP27*AR27</f>
        <v>#REF!</v>
      </c>
      <c r="AT27" s="32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f>аморт!$G$11</f>
        <v>181.91312849162011</v>
      </c>
      <c r="BJ27" s="36">
        <f>BI27*L27</f>
        <v>1091.4787709497207</v>
      </c>
      <c r="BK27" s="85">
        <f>аморт!$G$23</f>
        <v>48.426111111111105</v>
      </c>
      <c r="BL27" s="36">
        <f>BK27*L27</f>
        <v>290.55666666666662</v>
      </c>
      <c r="BM27" s="36"/>
      <c r="BN27" s="38">
        <v>82.4</v>
      </c>
      <c r="BO27" s="36">
        <f>BN27*BY27</f>
        <v>2521.44</v>
      </c>
      <c r="BP27" s="38">
        <v>13.9</v>
      </c>
      <c r="BQ27" s="36">
        <f>BP27*BY27</f>
        <v>425.34</v>
      </c>
      <c r="BR27" s="38">
        <f>4.8*1.045*1.054</f>
        <v>5.2868639999999996</v>
      </c>
      <c r="BS27" s="36">
        <f>BR27*BY27</f>
        <v>161.77803839999999</v>
      </c>
      <c r="BT27" s="36">
        <f>аморт!$C$23*10%/аморт!$E$23*L27*7</f>
        <v>46128.776400000002</v>
      </c>
      <c r="BU27" s="36" t="e">
        <f t="shared" ca="1" si="18"/>
        <v>#REF!</v>
      </c>
      <c r="BV27" s="36" t="e">
        <f t="shared" ca="1" si="19"/>
        <v>#REF!</v>
      </c>
      <c r="BW27" s="38">
        <f t="shared" si="20"/>
        <v>0.84</v>
      </c>
      <c r="BX27" s="38">
        <v>5.0999999999999996</v>
      </c>
      <c r="BY27" s="39">
        <f>BX27*L27</f>
        <v>30.599999999999998</v>
      </c>
    </row>
    <row r="28" spans="1:77" x14ac:dyDescent="0.2">
      <c r="A28" s="20">
        <f t="shared" si="5"/>
        <v>7</v>
      </c>
      <c r="B28" s="27" t="s">
        <v>25</v>
      </c>
      <c r="C28" s="66">
        <v>3</v>
      </c>
      <c r="D28" s="463" t="s">
        <v>120</v>
      </c>
      <c r="E28" s="464"/>
      <c r="F28" s="28" t="s">
        <v>111</v>
      </c>
      <c r="G28" s="183">
        <f>G27</f>
        <v>3</v>
      </c>
      <c r="H28" s="135">
        <v>42536</v>
      </c>
      <c r="I28" s="135">
        <v>42538</v>
      </c>
      <c r="J28" s="179">
        <f t="shared" si="4"/>
        <v>2</v>
      </c>
      <c r="K28" s="170">
        <f>G28/6</f>
        <v>0.5</v>
      </c>
      <c r="L28" s="33">
        <f t="shared" si="6"/>
        <v>6</v>
      </c>
      <c r="M28" s="34"/>
      <c r="N28" s="34">
        <v>1</v>
      </c>
      <c r="O28" s="35">
        <f>IF(M28=0,0,L28*$O$17)</f>
        <v>0</v>
      </c>
      <c r="P28" s="35">
        <f>IF(N28=0,0,L28*$O$17)</f>
        <v>42</v>
      </c>
      <c r="Q28" s="34">
        <v>2</v>
      </c>
      <c r="R28" s="83">
        <f>IF(AND(O28&gt;0,Q28&gt;0),SUMIF('Исходные данные'!$C$13:H29,Q28,'Исходные данные'!$C$17:$H$17),IF(O28=0,0,IF(Q28=0,"РОТ")))</f>
        <v>0</v>
      </c>
      <c r="S28" s="34">
        <v>2</v>
      </c>
      <c r="T28" s="83">
        <f ca="1">IF(AND(N28&gt;0,P28&gt;0),SUMIF('Исходные данные'!$C$13:$J$29,S28,'Исходные данные'!$C$33:$J$39),IF(N28=0,0,IF(S28=0,"РОТ")))</f>
        <v>105.700598073999</v>
      </c>
      <c r="U28" s="130">
        <f>O28*R28*'Исходные данные'!$C$37%</f>
        <v>0</v>
      </c>
      <c r="V28" s="130">
        <f ca="1">P28*T28*'Исходные данные'!$C$38%</f>
        <v>0</v>
      </c>
      <c r="W28" s="130">
        <f t="shared" si="8"/>
        <v>0</v>
      </c>
      <c r="X28" s="131">
        <f t="shared" ca="1" si="9"/>
        <v>0</v>
      </c>
      <c r="Y28" s="130">
        <f t="shared" si="10"/>
        <v>0</v>
      </c>
      <c r="Z28" s="131">
        <f t="shared" ca="1" si="11"/>
        <v>221.97125595539794</v>
      </c>
      <c r="AA28" s="130">
        <f t="shared" si="12"/>
        <v>0</v>
      </c>
      <c r="AB28" s="131">
        <f t="shared" ca="1" si="13"/>
        <v>0</v>
      </c>
      <c r="AC28" s="129">
        <v>2.5</v>
      </c>
      <c r="AD28" s="130">
        <f t="shared" si="14"/>
        <v>0</v>
      </c>
      <c r="AE28" s="130">
        <f t="shared" ca="1" si="15"/>
        <v>11653.490937658391</v>
      </c>
      <c r="AF28" s="35">
        <f t="shared" ca="1" si="16"/>
        <v>0</v>
      </c>
      <c r="AG28" s="73">
        <f t="shared" ca="1" si="16"/>
        <v>1741.3262320638976</v>
      </c>
      <c r="AH28" s="35">
        <f t="shared" ca="1" si="2"/>
        <v>0</v>
      </c>
      <c r="AI28" s="35">
        <f t="shared" ca="1" si="2"/>
        <v>13394.817169722288</v>
      </c>
      <c r="AJ28" s="35">
        <f t="shared" ca="1" si="3"/>
        <v>0</v>
      </c>
      <c r="AK28" s="73">
        <f t="shared" ca="1" si="3"/>
        <v>4018.4451509166861</v>
      </c>
      <c r="AL28" s="35">
        <f t="shared" ca="1" si="17"/>
        <v>0</v>
      </c>
      <c r="AM28" s="73">
        <f t="shared" ca="1" si="22"/>
        <v>17413.262320638973</v>
      </c>
      <c r="AN28" s="171"/>
      <c r="AO28" s="32"/>
      <c r="AP28" s="79"/>
      <c r="AQ28" s="33"/>
      <c r="AR28" s="32"/>
      <c r="AS28" s="36"/>
      <c r="AT28" s="32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85"/>
      <c r="BL28" s="36"/>
      <c r="BM28" s="36"/>
      <c r="BN28" s="38"/>
      <c r="BO28" s="36"/>
      <c r="BP28" s="38"/>
      <c r="BQ28" s="36"/>
      <c r="BR28" s="38"/>
      <c r="BS28" s="36"/>
      <c r="BT28" s="36"/>
      <c r="BU28" s="36">
        <f t="shared" ca="1" si="18"/>
        <v>17413.262320638973</v>
      </c>
      <c r="BV28" s="36">
        <f ca="1">BU28/$D$6</f>
        <v>174.13262320638972</v>
      </c>
      <c r="BW28" s="38">
        <f>(O28+P28)/$D$6</f>
        <v>0.42</v>
      </c>
      <c r="BX28" s="38"/>
      <c r="BY28" s="39"/>
    </row>
    <row r="29" spans="1:77" ht="22.5" x14ac:dyDescent="0.2">
      <c r="A29" s="20">
        <f t="shared" si="5"/>
        <v>8</v>
      </c>
      <c r="B29" s="27" t="s">
        <v>26</v>
      </c>
      <c r="C29" s="66">
        <v>3</v>
      </c>
      <c r="D29" s="463" t="s">
        <v>120</v>
      </c>
      <c r="E29" s="464"/>
      <c r="F29" s="28" t="s">
        <v>111</v>
      </c>
      <c r="G29" s="36">
        <f>AY32</f>
        <v>50</v>
      </c>
      <c r="H29" s="135">
        <v>42536</v>
      </c>
      <c r="I29" s="135">
        <v>42538</v>
      </c>
      <c r="J29" s="179">
        <f t="shared" si="4"/>
        <v>2</v>
      </c>
      <c r="K29" s="170">
        <f>50/6</f>
        <v>8.3333333333333339</v>
      </c>
      <c r="L29" s="33">
        <f t="shared" si="6"/>
        <v>6</v>
      </c>
      <c r="M29" s="34"/>
      <c r="N29" s="34">
        <v>1</v>
      </c>
      <c r="O29" s="35">
        <f t="shared" si="21"/>
        <v>0</v>
      </c>
      <c r="P29" s="35">
        <f t="shared" si="7"/>
        <v>42</v>
      </c>
      <c r="Q29" s="34">
        <v>2</v>
      </c>
      <c r="R29" s="83">
        <f>IF(AND(O29&gt;0,Q29&gt;0),SUMIF('Исходные данные'!$C$13:H29,Q29,'Исходные данные'!$C$17:$H$17),IF(O29=0,0,IF(Q29=0,"РОТ")))</f>
        <v>0</v>
      </c>
      <c r="S29" s="34">
        <v>2</v>
      </c>
      <c r="T29" s="83">
        <f ca="1">IF(AND(N29&gt;0,P29&gt;0),SUMIF('Исходные данные'!$C$13:$J$29,S29,'Исходные данные'!$C$33:$J$39),IF(N29=0,0,IF(S29=0,"РОТ")))</f>
        <v>105.700598073999</v>
      </c>
      <c r="U29" s="130">
        <f>O29*R29*'Исходные данные'!$C$37%</f>
        <v>0</v>
      </c>
      <c r="V29" s="130">
        <f ca="1">P29*T29*'Исходные данные'!$C$38%</f>
        <v>0</v>
      </c>
      <c r="W29" s="130">
        <f t="shared" si="8"/>
        <v>0</v>
      </c>
      <c r="X29" s="131">
        <f t="shared" ca="1" si="9"/>
        <v>0</v>
      </c>
      <c r="Y29" s="130">
        <f t="shared" si="10"/>
        <v>0</v>
      </c>
      <c r="Z29" s="131">
        <f t="shared" ca="1" si="11"/>
        <v>221.97125595539794</v>
      </c>
      <c r="AA29" s="130">
        <f t="shared" si="12"/>
        <v>0</v>
      </c>
      <c r="AB29" s="131">
        <f t="shared" ca="1" si="13"/>
        <v>0</v>
      </c>
      <c r="AC29" s="129">
        <v>2.5</v>
      </c>
      <c r="AD29" s="130">
        <f t="shared" si="14"/>
        <v>0</v>
      </c>
      <c r="AE29" s="130">
        <f t="shared" ca="1" si="15"/>
        <v>11653.490937658391</v>
      </c>
      <c r="AF29" s="35">
        <f t="shared" ca="1" si="16"/>
        <v>0</v>
      </c>
      <c r="AG29" s="73">
        <f t="shared" ca="1" si="16"/>
        <v>1741.3262320638976</v>
      </c>
      <c r="AH29" s="35">
        <f t="shared" ca="1" si="2"/>
        <v>0</v>
      </c>
      <c r="AI29" s="35">
        <f t="shared" ca="1" si="2"/>
        <v>13394.817169722288</v>
      </c>
      <c r="AJ29" s="35">
        <f t="shared" ca="1" si="3"/>
        <v>0</v>
      </c>
      <c r="AK29" s="73">
        <f t="shared" ca="1" si="3"/>
        <v>4018.4451509166861</v>
      </c>
      <c r="AL29" s="35">
        <f t="shared" ca="1" si="17"/>
        <v>0</v>
      </c>
      <c r="AM29" s="73">
        <f t="shared" ca="1" si="22"/>
        <v>17413.262320638973</v>
      </c>
      <c r="AN29" s="171"/>
      <c r="AO29" s="32"/>
      <c r="AP29" s="79"/>
      <c r="AQ29" s="33"/>
      <c r="AR29" s="32"/>
      <c r="AS29" s="36"/>
      <c r="AT29" s="32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85"/>
      <c r="BL29" s="36"/>
      <c r="BM29" s="36"/>
      <c r="BN29" s="38"/>
      <c r="BO29" s="36"/>
      <c r="BP29" s="38"/>
      <c r="BQ29" s="36"/>
      <c r="BR29" s="38"/>
      <c r="BS29" s="36"/>
      <c r="BT29" s="36"/>
      <c r="BU29" s="36">
        <f t="shared" ca="1" si="18"/>
        <v>17413.262320638973</v>
      </c>
      <c r="BV29" s="36">
        <f t="shared" ca="1" si="19"/>
        <v>174.13262320638972</v>
      </c>
      <c r="BW29" s="38">
        <f t="shared" si="20"/>
        <v>0.42</v>
      </c>
      <c r="BX29" s="38"/>
      <c r="BY29" s="39"/>
    </row>
    <row r="30" spans="1:77" ht="33.75" x14ac:dyDescent="0.2">
      <c r="A30" s="20">
        <f t="shared" si="5"/>
        <v>9</v>
      </c>
      <c r="B30" s="27" t="s">
        <v>77</v>
      </c>
      <c r="C30" s="66">
        <v>3</v>
      </c>
      <c r="D30" s="30" t="s">
        <v>107</v>
      </c>
      <c r="E30" s="31" t="s">
        <v>117</v>
      </c>
      <c r="F30" s="28" t="s">
        <v>111</v>
      </c>
      <c r="G30" s="36">
        <f>G29</f>
        <v>50</v>
      </c>
      <c r="H30" s="135">
        <v>42536</v>
      </c>
      <c r="I30" s="135">
        <v>42538</v>
      </c>
      <c r="J30" s="179">
        <f t="shared" si="4"/>
        <v>2</v>
      </c>
      <c r="K30" s="170">
        <f>50/6</f>
        <v>8.3333333333333339</v>
      </c>
      <c r="L30" s="33">
        <f t="shared" si="6"/>
        <v>6</v>
      </c>
      <c r="M30" s="34">
        <v>1</v>
      </c>
      <c r="N30" s="34">
        <v>1</v>
      </c>
      <c r="O30" s="35">
        <f t="shared" si="21"/>
        <v>42</v>
      </c>
      <c r="P30" s="35">
        <f t="shared" si="7"/>
        <v>42</v>
      </c>
      <c r="Q30" s="34">
        <v>2</v>
      </c>
      <c r="R30" s="83">
        <f ca="1">IF(AND(O30&gt;0,Q30&gt;0),SUMIF('Исходные данные'!$C$13:H30,Q30,'Исходные данные'!$C$17:$H$17),IF(O30=0,0,IF(Q30=0,"РОТ")))</f>
        <v>128.66557526609228</v>
      </c>
      <c r="S30" s="34">
        <v>2</v>
      </c>
      <c r="T30" s="83">
        <f ca="1">IF(AND(N30&gt;0,P30&gt;0),SUMIF('Исходные данные'!$C$13:$J$29,S30,'Исходные данные'!$C$33:$J$39),IF(N30=0,0,IF(S30=0,"РОТ")))</f>
        <v>105.700598073999</v>
      </c>
      <c r="U30" s="130">
        <f ca="1">O30*R30*'Исходные данные'!$C$37%</f>
        <v>0</v>
      </c>
      <c r="V30" s="130">
        <f ca="1">P30*T30*'Исходные данные'!$C$38%</f>
        <v>0</v>
      </c>
      <c r="W30" s="130">
        <f t="shared" ca="1" si="8"/>
        <v>0</v>
      </c>
      <c r="X30" s="131">
        <f t="shared" ca="1" si="9"/>
        <v>0</v>
      </c>
      <c r="Y30" s="130">
        <f t="shared" ca="1" si="10"/>
        <v>540.39541611758762</v>
      </c>
      <c r="Z30" s="131">
        <f t="shared" ca="1" si="11"/>
        <v>221.97125595539794</v>
      </c>
      <c r="AA30" s="130">
        <f t="shared" ca="1" si="12"/>
        <v>0</v>
      </c>
      <c r="AB30" s="131">
        <f t="shared" ca="1" si="13"/>
        <v>0</v>
      </c>
      <c r="AC30" s="129">
        <v>2.5</v>
      </c>
      <c r="AD30" s="130">
        <f t="shared" ca="1" si="14"/>
        <v>14860.873943233659</v>
      </c>
      <c r="AE30" s="130">
        <f t="shared" ca="1" si="15"/>
        <v>11653.490937658391</v>
      </c>
      <c r="AF30" s="35">
        <f t="shared" ca="1" si="16"/>
        <v>2220.5903593337653</v>
      </c>
      <c r="AG30" s="73">
        <f t="shared" ca="1" si="16"/>
        <v>1741.3262320638976</v>
      </c>
      <c r="AH30" s="35">
        <f t="shared" ca="1" si="2"/>
        <v>17081.464302567423</v>
      </c>
      <c r="AI30" s="35">
        <f t="shared" ca="1" si="2"/>
        <v>13394.817169722288</v>
      </c>
      <c r="AJ30" s="35">
        <f t="shared" ca="1" si="3"/>
        <v>5124.4392907702268</v>
      </c>
      <c r="AK30" s="73">
        <f t="shared" ca="1" si="3"/>
        <v>4018.4451509166861</v>
      </c>
      <c r="AL30" s="35">
        <f t="shared" ca="1" si="17"/>
        <v>22205.903593337651</v>
      </c>
      <c r="AM30" s="73">
        <f t="shared" ca="1" si="22"/>
        <v>17413.262320638973</v>
      </c>
      <c r="AN30" s="171">
        <v>0.96</v>
      </c>
      <c r="AO30" s="33">
        <f>'Исходные данные'!$C$53</f>
        <v>0.84</v>
      </c>
      <c r="AP30" s="79">
        <f>(G30*AN30)*AO30/100</f>
        <v>0.4032</v>
      </c>
      <c r="AQ30" s="33" t="s">
        <v>155</v>
      </c>
      <c r="AR30" s="83" t="e">
        <f>'Исходные данные'!#REF!</f>
        <v>#REF!</v>
      </c>
      <c r="AS30" s="36" t="e">
        <f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>
        <f>аморт!$G$11</f>
        <v>181.91312849162011</v>
      </c>
      <c r="BJ30" s="36">
        <f>BI30*L30</f>
        <v>1091.4787709497207</v>
      </c>
      <c r="BK30" s="85">
        <f>аморт!$G$23</f>
        <v>48.426111111111105</v>
      </c>
      <c r="BL30" s="36">
        <f>BK30*L30</f>
        <v>290.55666666666662</v>
      </c>
      <c r="BM30" s="36"/>
      <c r="BN30" s="38">
        <v>82.4</v>
      </c>
      <c r="BO30" s="36">
        <f>BN30*BY30</f>
        <v>2521.44</v>
      </c>
      <c r="BP30" s="38">
        <v>13.9</v>
      </c>
      <c r="BQ30" s="36">
        <f>BP30*BY30</f>
        <v>425.34</v>
      </c>
      <c r="BR30" s="38">
        <f>4.8*1.045*1.054</f>
        <v>5.2868639999999996</v>
      </c>
      <c r="BS30" s="36">
        <f>BR30*BY30</f>
        <v>161.77803839999999</v>
      </c>
      <c r="BT30" s="36">
        <f>аморт!$C$23*10%/аморт!$E$23*L30*7</f>
        <v>46128.776400000002</v>
      </c>
      <c r="BU30" s="36" t="e">
        <f t="shared" ca="1" si="18"/>
        <v>#REF!</v>
      </c>
      <c r="BV30" s="36" t="e">
        <f t="shared" ca="1" si="19"/>
        <v>#REF!</v>
      </c>
      <c r="BW30" s="38">
        <f t="shared" si="20"/>
        <v>0.84</v>
      </c>
      <c r="BX30" s="38">
        <v>5.0999999999999996</v>
      </c>
      <c r="BY30" s="39">
        <f>BX30*L30</f>
        <v>30.599999999999998</v>
      </c>
    </row>
    <row r="31" spans="1:77" ht="22.5" x14ac:dyDescent="0.2">
      <c r="A31" s="20">
        <f t="shared" si="5"/>
        <v>10</v>
      </c>
      <c r="B31" s="27" t="s">
        <v>27</v>
      </c>
      <c r="C31" s="66">
        <v>3</v>
      </c>
      <c r="D31" s="463" t="s">
        <v>120</v>
      </c>
      <c r="E31" s="464"/>
      <c r="F31" s="28" t="s">
        <v>111</v>
      </c>
      <c r="G31" s="36">
        <f>G30</f>
        <v>50</v>
      </c>
      <c r="H31" s="135">
        <v>42536</v>
      </c>
      <c r="I31" s="135">
        <v>42538</v>
      </c>
      <c r="J31" s="179">
        <f t="shared" si="4"/>
        <v>2</v>
      </c>
      <c r="K31" s="170">
        <f>50/6</f>
        <v>8.3333333333333339</v>
      </c>
      <c r="L31" s="33">
        <f t="shared" si="6"/>
        <v>6</v>
      </c>
      <c r="M31" s="34"/>
      <c r="N31" s="34">
        <v>1</v>
      </c>
      <c r="O31" s="35">
        <f>IF(M31=0,0,L31*$O$17)</f>
        <v>0</v>
      </c>
      <c r="P31" s="35">
        <f t="shared" si="7"/>
        <v>42</v>
      </c>
      <c r="Q31" s="34">
        <v>2</v>
      </c>
      <c r="R31" s="83">
        <f>IF(AND(O31&gt;0,Q31&gt;0),SUMIF('Исходные данные'!$C$13:H31,Q31,'Исходные данные'!$C$17:$H$17),IF(O31=0,0,IF(Q31=0,"РОТ")))</f>
        <v>0</v>
      </c>
      <c r="S31" s="34">
        <v>2</v>
      </c>
      <c r="T31" s="83">
        <f ca="1">IF(AND(N31&gt;0,P31&gt;0),SUMIF('Исходные данные'!$C$13:$J$29,S31,'Исходные данные'!$C$33:$J$39),IF(N31=0,0,IF(S31=0,"РОТ")))</f>
        <v>105.700598073999</v>
      </c>
      <c r="U31" s="130">
        <f>O31*R31*'Исходные данные'!$C$37%</f>
        <v>0</v>
      </c>
      <c r="V31" s="130">
        <f ca="1">P31*T31*'Исходные данные'!$C$38%</f>
        <v>0</v>
      </c>
      <c r="W31" s="130">
        <f t="shared" si="8"/>
        <v>0</v>
      </c>
      <c r="X31" s="131">
        <f t="shared" ca="1" si="9"/>
        <v>0</v>
      </c>
      <c r="Y31" s="130">
        <f t="shared" si="10"/>
        <v>0</v>
      </c>
      <c r="Z31" s="131">
        <f t="shared" ca="1" si="11"/>
        <v>221.97125595539794</v>
      </c>
      <c r="AA31" s="130">
        <f t="shared" si="12"/>
        <v>0</v>
      </c>
      <c r="AB31" s="131">
        <f t="shared" ca="1" si="13"/>
        <v>0</v>
      </c>
      <c r="AC31" s="129">
        <v>2.5</v>
      </c>
      <c r="AD31" s="130">
        <f t="shared" si="14"/>
        <v>0</v>
      </c>
      <c r="AE31" s="130">
        <f t="shared" ca="1" si="15"/>
        <v>11653.490937658391</v>
      </c>
      <c r="AF31" s="35">
        <f t="shared" ca="1" si="16"/>
        <v>0</v>
      </c>
      <c r="AG31" s="73">
        <f t="shared" ca="1" si="16"/>
        <v>1741.3262320638976</v>
      </c>
      <c r="AH31" s="35">
        <f t="shared" ca="1" si="2"/>
        <v>0</v>
      </c>
      <c r="AI31" s="35">
        <f t="shared" ca="1" si="2"/>
        <v>13394.817169722288</v>
      </c>
      <c r="AJ31" s="35">
        <f t="shared" ca="1" si="3"/>
        <v>0</v>
      </c>
      <c r="AK31" s="73">
        <f t="shared" ca="1" si="3"/>
        <v>4018.4451509166861</v>
      </c>
      <c r="AL31" s="35">
        <f t="shared" ca="1" si="17"/>
        <v>0</v>
      </c>
      <c r="AM31" s="73">
        <f t="shared" ca="1" si="22"/>
        <v>17413.262320638973</v>
      </c>
      <c r="AN31" s="171"/>
      <c r="AO31" s="32"/>
      <c r="AP31" s="79"/>
      <c r="AQ31" s="33"/>
      <c r="AR31" s="32"/>
      <c r="AS31" s="36"/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85"/>
      <c r="BL31" s="36"/>
      <c r="BM31" s="36"/>
      <c r="BN31" s="38"/>
      <c r="BO31" s="36"/>
      <c r="BP31" s="38"/>
      <c r="BQ31" s="36"/>
      <c r="BR31" s="38"/>
      <c r="BS31" s="36"/>
      <c r="BT31" s="36"/>
      <c r="BU31" s="36">
        <f ca="1">AL31+AM31+AS31+AW31+BA31+BE31+BH31+BJ31+BL31+BM31+BO31+BQ31+BS31+BT31</f>
        <v>17413.262320638973</v>
      </c>
      <c r="BV31" s="36">
        <f t="shared" ca="1" si="19"/>
        <v>174.13262320638972</v>
      </c>
      <c r="BW31" s="38">
        <f t="shared" si="20"/>
        <v>0.42</v>
      </c>
      <c r="BX31" s="38"/>
      <c r="BY31" s="39"/>
    </row>
    <row r="32" spans="1:77" ht="67.5" x14ac:dyDescent="0.2">
      <c r="A32" s="20">
        <f t="shared" si="5"/>
        <v>11</v>
      </c>
      <c r="B32" s="27" t="s">
        <v>502</v>
      </c>
      <c r="C32" s="66">
        <v>2</v>
      </c>
      <c r="D32" s="30" t="s">
        <v>186</v>
      </c>
      <c r="E32" s="84" t="s">
        <v>498</v>
      </c>
      <c r="F32" s="28" t="s">
        <v>108</v>
      </c>
      <c r="G32" s="29">
        <f>D6</f>
        <v>100</v>
      </c>
      <c r="H32" s="135">
        <f>H25</f>
        <v>42536</v>
      </c>
      <c r="I32" s="135">
        <v>42538</v>
      </c>
      <c r="J32" s="179">
        <f>I32-H32</f>
        <v>2</v>
      </c>
      <c r="K32" s="170">
        <f>6.7*8</f>
        <v>53.6</v>
      </c>
      <c r="L32" s="33">
        <f t="shared" si="6"/>
        <v>1.8656716417910448</v>
      </c>
      <c r="M32" s="34">
        <v>1</v>
      </c>
      <c r="N32" s="34">
        <v>1</v>
      </c>
      <c r="O32" s="35">
        <f t="shared" si="21"/>
        <v>13.059701492537314</v>
      </c>
      <c r="P32" s="35">
        <f>IF(N32=0,0,L32*$O$17)</f>
        <v>13.059701492537314</v>
      </c>
      <c r="Q32" s="34">
        <v>5</v>
      </c>
      <c r="R32" s="83">
        <f ca="1">IF(AND(O32&gt;0,Q32&gt;0),SUMIF('Исходные данные'!$C$13:H32,Q32,'Исходные данные'!$C$17:$H$17),IF(O32=0,0,IF(Q32=0,"РОТ")))</f>
        <v>179.78980233147493</v>
      </c>
      <c r="S32" s="34">
        <v>2</v>
      </c>
      <c r="T32" s="83">
        <f ca="1">IF(AND(N32&gt;0,P32&gt;0),SUMIF('Исходные данные'!$C$13:$J$29,S32,'Исходные данные'!$C$33:$J$39),IF(N32=0,0,IF(S32=0,"РОТ")))</f>
        <v>105.700598073999</v>
      </c>
      <c r="U32" s="130">
        <f ca="1">O32*R32*'Исходные данные'!$C$37%</f>
        <v>0</v>
      </c>
      <c r="V32" s="130">
        <f ca="1">P32*T32*'Исходные данные'!$C$38%</f>
        <v>0</v>
      </c>
      <c r="W32" s="130">
        <f t="shared" ca="1" si="8"/>
        <v>0</v>
      </c>
      <c r="X32" s="131">
        <f t="shared" ca="1" si="9"/>
        <v>0</v>
      </c>
      <c r="Y32" s="130">
        <f t="shared" ca="1" si="10"/>
        <v>234.8001149851352</v>
      </c>
      <c r="Z32" s="131">
        <f t="shared" ca="1" si="11"/>
        <v>69.020912921454581</v>
      </c>
      <c r="AA32" s="130">
        <f t="shared" ca="1" si="12"/>
        <v>0</v>
      </c>
      <c r="AB32" s="131">
        <f t="shared" ca="1" si="13"/>
        <v>0</v>
      </c>
      <c r="AC32" s="129">
        <v>2.5</v>
      </c>
      <c r="AD32" s="130">
        <f t="shared" ca="1" si="14"/>
        <v>6457.0031620912177</v>
      </c>
      <c r="AE32" s="130">
        <f t="shared" ca="1" si="15"/>
        <v>3623.5979283763654</v>
      </c>
      <c r="AF32" s="35">
        <f t="shared" ca="1" si="16"/>
        <v>964.83955295615908</v>
      </c>
      <c r="AG32" s="73">
        <f t="shared" ca="1" si="16"/>
        <v>541.457161711411</v>
      </c>
      <c r="AH32" s="35">
        <f t="shared" ca="1" si="2"/>
        <v>7421.8427150473772</v>
      </c>
      <c r="AI32" s="35">
        <f t="shared" ca="1" si="2"/>
        <v>4165.0550900877761</v>
      </c>
      <c r="AJ32" s="35">
        <f t="shared" ca="1" si="3"/>
        <v>2226.552814514213</v>
      </c>
      <c r="AK32" s="73">
        <f t="shared" ca="1" si="3"/>
        <v>1249.5165270263328</v>
      </c>
      <c r="AL32" s="35">
        <f t="shared" ca="1" si="17"/>
        <v>9648.3955295615906</v>
      </c>
      <c r="AM32" s="73">
        <f t="shared" ca="1" si="22"/>
        <v>5414.5716171141084</v>
      </c>
      <c r="AN32" s="171">
        <v>9</v>
      </c>
      <c r="AO32" s="33">
        <f>'Исходные данные'!$C$53</f>
        <v>0.84</v>
      </c>
      <c r="AP32" s="79">
        <f>(G32*AN32)*AO32/100</f>
        <v>7.56</v>
      </c>
      <c r="AQ32" s="33" t="s">
        <v>155</v>
      </c>
      <c r="AR32" s="83" t="e">
        <f>'Исходные данные'!#REF!</f>
        <v>#REF!</v>
      </c>
      <c r="AS32" s="36" t="e">
        <f>AP32*AR32</f>
        <v>#REF!</v>
      </c>
      <c r="AT32" s="171">
        <v>0.3</v>
      </c>
      <c r="AU32" s="36">
        <f>AT32*G32/10</f>
        <v>3</v>
      </c>
      <c r="AV32" s="79">
        <v>20</v>
      </c>
      <c r="AW32" s="36">
        <f>AU32*AV32*1000</f>
        <v>60000</v>
      </c>
      <c r="AX32" s="38">
        <v>5</v>
      </c>
      <c r="AY32" s="36">
        <f>AX32*G32/10</f>
        <v>50</v>
      </c>
      <c r="AZ32" s="38" t="e">
        <f>Нормы!#REF!</f>
        <v>#REF!</v>
      </c>
      <c r="BA32" s="36" t="e">
        <f>AY32*AZ32*1000</f>
        <v>#REF!</v>
      </c>
      <c r="BB32" s="36"/>
      <c r="BC32" s="36"/>
      <c r="BD32" s="36"/>
      <c r="BE32" s="36"/>
      <c r="BF32" s="36"/>
      <c r="BG32" s="36"/>
      <c r="BH32" s="36"/>
      <c r="BI32" s="36">
        <f>аморт!$G$11</f>
        <v>181.91312849162011</v>
      </c>
      <c r="BJ32" s="36">
        <f>BI32*L32</f>
        <v>339.39016509630619</v>
      </c>
      <c r="BK32" s="36">
        <f>аморт!$G$83</f>
        <v>214.94602272727272</v>
      </c>
      <c r="BL32" s="36">
        <f>BK32*L32</f>
        <v>401.01869911804613</v>
      </c>
      <c r="BM32" s="36"/>
      <c r="BN32" s="38">
        <v>82.4</v>
      </c>
      <c r="BO32" s="36">
        <f>BN32*BY32</f>
        <v>784.02985074626872</v>
      </c>
      <c r="BP32" s="38">
        <v>13.9</v>
      </c>
      <c r="BQ32" s="36">
        <f>BP32*BY32</f>
        <v>132.25746268656718</v>
      </c>
      <c r="BR32" s="38">
        <f>4.8*1.045*1.054</f>
        <v>5.2868639999999996</v>
      </c>
      <c r="BS32" s="36">
        <f>BR32*BY32</f>
        <v>50.304116417910443</v>
      </c>
      <c r="BT32" s="36">
        <f>аморт!$C$83*10%/аморт!$E$83*L32*7</f>
        <v>19762.201492537315</v>
      </c>
      <c r="BU32" s="36" t="e">
        <f t="shared" ca="1" si="18"/>
        <v>#REF!</v>
      </c>
      <c r="BV32" s="36" t="e">
        <f t="shared" ca="1" si="19"/>
        <v>#REF!</v>
      </c>
      <c r="BW32" s="38">
        <f>(O32+P32)/$D$6</f>
        <v>0.2611940298507463</v>
      </c>
      <c r="BX32" s="38">
        <v>5.0999999999999996</v>
      </c>
      <c r="BY32" s="39">
        <f>BX32*L32</f>
        <v>9.5149253731343286</v>
      </c>
    </row>
    <row r="33" spans="1:77" x14ac:dyDescent="0.2">
      <c r="A33" s="20"/>
      <c r="B33" s="27"/>
      <c r="C33" s="66"/>
      <c r="D33" s="30"/>
      <c r="E33" s="31"/>
      <c r="F33" s="28"/>
      <c r="G33" s="29"/>
      <c r="H33" s="81"/>
      <c r="I33" s="81"/>
      <c r="J33" s="83"/>
      <c r="K33" s="32"/>
      <c r="L33" s="33"/>
      <c r="M33" s="34"/>
      <c r="N33" s="34"/>
      <c r="O33" s="35"/>
      <c r="P33" s="35"/>
      <c r="Q33" s="34"/>
      <c r="R33" s="83"/>
      <c r="S33" s="34"/>
      <c r="T33" s="33"/>
      <c r="U33" s="130"/>
      <c r="V33" s="130"/>
      <c r="W33" s="130"/>
      <c r="X33" s="131"/>
      <c r="Y33" s="130"/>
      <c r="Z33" s="131"/>
      <c r="AA33" s="130"/>
      <c r="AB33" s="131"/>
      <c r="AC33" s="129"/>
      <c r="AD33" s="130"/>
      <c r="AE33" s="130"/>
      <c r="AF33" s="35"/>
      <c r="AG33" s="73"/>
      <c r="AH33" s="35"/>
      <c r="AI33" s="35"/>
      <c r="AJ33" s="35"/>
      <c r="AK33" s="73"/>
      <c r="AL33" s="35"/>
      <c r="AM33" s="73"/>
      <c r="AN33" s="32"/>
      <c r="AO33" s="33"/>
      <c r="AP33" s="79"/>
      <c r="AQ33" s="33"/>
      <c r="AR33" s="83"/>
      <c r="AS33" s="36"/>
      <c r="AT33" s="32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8"/>
      <c r="BO33" s="36"/>
      <c r="BP33" s="38"/>
      <c r="BQ33" s="36"/>
      <c r="BR33" s="38"/>
      <c r="BS33" s="36"/>
      <c r="BT33" s="36"/>
      <c r="BU33" s="36"/>
      <c r="BV33" s="36"/>
      <c r="BW33" s="38"/>
      <c r="BX33" s="38"/>
      <c r="BY33" s="39"/>
    </row>
    <row r="34" spans="1:77" s="54" customFormat="1" x14ac:dyDescent="0.2">
      <c r="A34" s="52"/>
      <c r="B34" s="53" t="s">
        <v>22</v>
      </c>
      <c r="C34" s="53"/>
      <c r="D34" s="53"/>
      <c r="E34" s="53"/>
      <c r="F34" s="55"/>
      <c r="G34" s="56"/>
      <c r="H34" s="56"/>
      <c r="I34" s="56"/>
      <c r="J34" s="65">
        <f>SUM(J22:J33)</f>
        <v>33</v>
      </c>
      <c r="K34" s="65"/>
      <c r="L34" s="65">
        <f>SUM(L22:L33)</f>
        <v>57.359719260838666</v>
      </c>
      <c r="M34" s="65">
        <f>SUM(M22:M33)</f>
        <v>8</v>
      </c>
      <c r="N34" s="65">
        <f>SUM(N22:N33)</f>
        <v>7</v>
      </c>
      <c r="O34" s="65">
        <f>SUM(O22:O33)</f>
        <v>275.5180348258707</v>
      </c>
      <c r="P34" s="65">
        <f>SUM(P22:P33)</f>
        <v>265.05970149253733</v>
      </c>
      <c r="Q34" s="65"/>
      <c r="R34" s="65"/>
      <c r="S34" s="65"/>
      <c r="T34" s="65"/>
      <c r="U34" s="65">
        <f t="shared" ref="U34:AM34" ca="1" si="23">SUM(U22:U33)</f>
        <v>0</v>
      </c>
      <c r="V34" s="65">
        <f t="shared" ca="1" si="23"/>
        <v>0</v>
      </c>
      <c r="W34" s="65">
        <f t="shared" ca="1" si="23"/>
        <v>0</v>
      </c>
      <c r="X34" s="65">
        <f t="shared" ca="1" si="23"/>
        <v>0</v>
      </c>
      <c r="Y34" s="65">
        <f t="shared" ca="1" si="23"/>
        <v>4319.0407982086526</v>
      </c>
      <c r="Z34" s="65">
        <f t="shared" ca="1" si="23"/>
        <v>1400.8484486538421</v>
      </c>
      <c r="AA34" s="65">
        <f t="shared" ca="1" si="23"/>
        <v>0</v>
      </c>
      <c r="AB34" s="65">
        <f t="shared" ca="1" si="23"/>
        <v>0</v>
      </c>
      <c r="AC34" s="65"/>
      <c r="AD34" s="65">
        <f t="shared" ca="1" si="23"/>
        <v>118773.62195073797</v>
      </c>
      <c r="AE34" s="65">
        <f t="shared" ca="1" si="23"/>
        <v>73544.543554326709</v>
      </c>
      <c r="AF34" s="65">
        <f t="shared" ca="1" si="23"/>
        <v>17747.782590340157</v>
      </c>
      <c r="AG34" s="65">
        <f t="shared" ca="1" si="23"/>
        <v>10989.414554094796</v>
      </c>
      <c r="AH34" s="65">
        <f t="shared" ca="1" si="23"/>
        <v>136521.40454107811</v>
      </c>
      <c r="AI34" s="65">
        <f t="shared" ca="1" si="23"/>
        <v>84533.958108421502</v>
      </c>
      <c r="AJ34" s="65">
        <f t="shared" ca="1" si="23"/>
        <v>40956.421362323439</v>
      </c>
      <c r="AK34" s="65">
        <f t="shared" ca="1" si="23"/>
        <v>25360.187432526447</v>
      </c>
      <c r="AL34" s="65">
        <f t="shared" ca="1" si="23"/>
        <v>177477.82590340159</v>
      </c>
      <c r="AM34" s="65">
        <f t="shared" ca="1" si="23"/>
        <v>109894.14554094794</v>
      </c>
      <c r="AN34" s="65"/>
      <c r="AO34" s="65"/>
      <c r="AP34" s="65">
        <f>SUM(AP22:AP33)</f>
        <v>33.919392000000002</v>
      </c>
      <c r="AQ34" s="65"/>
      <c r="AR34" s="65"/>
      <c r="AS34" s="65" t="e">
        <f>SUM(AS22:AS33)</f>
        <v>#REF!</v>
      </c>
      <c r="AT34" s="65"/>
      <c r="AU34" s="65">
        <f>SUM(AU22:AU33)</f>
        <v>3</v>
      </c>
      <c r="AV34" s="65"/>
      <c r="AW34" s="65">
        <f>SUM(AW22:AW33)</f>
        <v>60000</v>
      </c>
      <c r="AX34" s="65"/>
      <c r="AY34" s="65">
        <f>SUM(AY22:AY33)</f>
        <v>50</v>
      </c>
      <c r="AZ34" s="65"/>
      <c r="BA34" s="65" t="e">
        <f>SUM(BA22:BA33)</f>
        <v>#REF!</v>
      </c>
      <c r="BB34" s="65"/>
      <c r="BC34" s="65">
        <f>SUM(BC22:BC33)</f>
        <v>0</v>
      </c>
      <c r="BD34" s="65"/>
      <c r="BE34" s="65">
        <f>SUM(BE22:BE33)</f>
        <v>0</v>
      </c>
      <c r="BF34" s="65"/>
      <c r="BG34" s="65"/>
      <c r="BH34" s="65"/>
      <c r="BI34" s="65"/>
      <c r="BJ34" s="65">
        <f>SUM(BJ22:BJ33)</f>
        <v>4084.2616120032744</v>
      </c>
      <c r="BK34" s="65"/>
      <c r="BL34" s="65">
        <f>SUM(BL22:BL33)</f>
        <v>2216.9069720156754</v>
      </c>
      <c r="BM34" s="65"/>
      <c r="BN34" s="65"/>
      <c r="BO34" s="65">
        <f>SUM(BO22:BO33)</f>
        <v>23268.427707889121</v>
      </c>
      <c r="BP34" s="65"/>
      <c r="BQ34" s="65">
        <f>SUM(BQ22:BQ33)</f>
        <v>2995.0267484008532</v>
      </c>
      <c r="BR34" s="65"/>
      <c r="BS34" s="65">
        <f>SUM(BS22:BS33)</f>
        <v>1868.0876669679103</v>
      </c>
      <c r="BT34" s="65">
        <f>SUM(BT22:BT33)</f>
        <v>238347.68595920398</v>
      </c>
      <c r="BU34" s="65" t="e">
        <f ca="1">SUM(BU22:BU33)</f>
        <v>#REF!</v>
      </c>
      <c r="BV34" s="65"/>
      <c r="BW34" s="65"/>
      <c r="BX34" s="65"/>
      <c r="BY34" s="65">
        <f>SUM(BY22:BY33)</f>
        <v>277.50063965884857</v>
      </c>
    </row>
    <row r="35" spans="1:77" s="7" customFormat="1" x14ac:dyDescent="0.2">
      <c r="A35" s="21"/>
      <c r="B35" s="462" t="s">
        <v>73</v>
      </c>
      <c r="C35" s="462"/>
      <c r="D35" s="462"/>
      <c r="E35" s="462"/>
      <c r="F35" s="22"/>
      <c r="G35" s="23"/>
      <c r="H35" s="23"/>
      <c r="I35" s="23"/>
      <c r="J35" s="23"/>
      <c r="K35" s="23"/>
      <c r="L35" s="40"/>
      <c r="M35" s="23"/>
      <c r="N35" s="23"/>
      <c r="O35" s="41"/>
      <c r="P35" s="41"/>
      <c r="Q35" s="25"/>
      <c r="R35" s="23"/>
      <c r="S35" s="25"/>
      <c r="T35" s="2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23"/>
      <c r="AO35" s="23"/>
      <c r="AP35" s="42"/>
      <c r="AQ35" s="26"/>
      <c r="AR35" s="26"/>
      <c r="AS35" s="42"/>
      <c r="AT35" s="2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1:77" s="7" customFormat="1" ht="22.5" x14ac:dyDescent="0.2">
      <c r="A36" s="19">
        <v>1</v>
      </c>
      <c r="B36" s="27" t="s">
        <v>74</v>
      </c>
      <c r="C36" s="66">
        <v>1</v>
      </c>
      <c r="D36" s="465" t="s">
        <v>133</v>
      </c>
      <c r="E36" s="466"/>
      <c r="F36" s="28" t="s">
        <v>108</v>
      </c>
      <c r="G36" s="29">
        <v>100</v>
      </c>
      <c r="H36" s="178">
        <v>42537</v>
      </c>
      <c r="I36" s="178">
        <v>42542</v>
      </c>
      <c r="J36" s="179">
        <f t="shared" ref="J36:J41" si="24">I36-H36+1</f>
        <v>6</v>
      </c>
      <c r="K36" s="170">
        <f t="shared" ref="K36:K41" si="25">G36/J36</f>
        <v>16.666666666666668</v>
      </c>
      <c r="L36" s="33">
        <f t="shared" ref="L36:L41" si="26">G36/K36</f>
        <v>6</v>
      </c>
      <c r="M36" s="30"/>
      <c r="N36" s="30">
        <v>1</v>
      </c>
      <c r="O36" s="35">
        <f t="shared" ref="O36:O41" si="27">IF(M36=0,0,L36*$O$17)</f>
        <v>0</v>
      </c>
      <c r="P36" s="35">
        <f t="shared" ref="P36:P41" si="28">IF(N36=0,0,L36*$O$17)</f>
        <v>42</v>
      </c>
      <c r="Q36" s="85">
        <v>5</v>
      </c>
      <c r="R36" s="83">
        <f>'Исходные данные'!$G$21</f>
        <v>197.57121135326915</v>
      </c>
      <c r="S36" s="184">
        <v>5</v>
      </c>
      <c r="T36" s="83">
        <f ca="1">IF(AND(N36&gt;0,P36&gt;0),SUMIF('Исходные данные'!$C$13:$J$29,S36,'Исходные данные'!$C$33:$J$39),IF(N36=0,0,IF(S36=0,"РОТ")))</f>
        <v>136.32413583375569</v>
      </c>
      <c r="U36" s="130">
        <f>O36*R36*'Исходные данные'!$C$37%</f>
        <v>0</v>
      </c>
      <c r="V36" s="130">
        <f ca="1">P36*T36*'Исходные данные'!$C$38%</f>
        <v>0</v>
      </c>
      <c r="W36" s="130">
        <f t="shared" ref="W36:W41" si="29">O36*R36*$W$17</f>
        <v>0</v>
      </c>
      <c r="X36" s="131">
        <f t="shared" ref="X36:X41" ca="1" si="30">P36*T36*$W$17</f>
        <v>0</v>
      </c>
      <c r="Y36" s="130">
        <f t="shared" ref="Y36:Y41" si="31">(O36*R36+U36+W36)*$Y$17</f>
        <v>0</v>
      </c>
      <c r="Z36" s="131">
        <f t="shared" ref="Z36:Z41" ca="1" si="32">(P36*T36+V36+X36)*$Z$17</f>
        <v>286.28068525088696</v>
      </c>
      <c r="AA36" s="130">
        <f t="shared" ref="AA36:AA41" si="33">(O36*R36+U36)*$AA$17</f>
        <v>0</v>
      </c>
      <c r="AB36" s="131">
        <f t="shared" ref="AB36:AB41" ca="1" si="34">(P36*T36+V36)*$AA$17</f>
        <v>0</v>
      </c>
      <c r="AC36" s="129">
        <v>2.5</v>
      </c>
      <c r="AD36" s="130">
        <f t="shared" ref="AD36:AD41" si="35">(O36*R36+U36+W36+Y36+AA36)*AC36</f>
        <v>0</v>
      </c>
      <c r="AE36" s="130">
        <f t="shared" ref="AE36:AE41" ca="1" si="36">(P36*T36+V36+X36+Z36+AB36)*AC36</f>
        <v>15029.735975671563</v>
      </c>
      <c r="AF36" s="35">
        <f t="shared" ref="AF36:AG41" ca="1" si="37">AD36*$AF$17</f>
        <v>0</v>
      </c>
      <c r="AG36" s="73">
        <f t="shared" ca="1" si="37"/>
        <v>2245.8226170543717</v>
      </c>
      <c r="AH36" s="35">
        <f t="shared" ref="AH36:AI41" ca="1" si="38">AD36+AF36</f>
        <v>0</v>
      </c>
      <c r="AI36" s="35">
        <f t="shared" ca="1" si="38"/>
        <v>17275.558592725934</v>
      </c>
      <c r="AJ36" s="35">
        <f t="shared" ref="AJ36:AK41" ca="1" si="39">AH36*$AJ$17</f>
        <v>0</v>
      </c>
      <c r="AK36" s="73">
        <f t="shared" ca="1" si="39"/>
        <v>5182.6675778177805</v>
      </c>
      <c r="AL36" s="35">
        <f t="shared" ref="AL36:AL41" ca="1" si="40">AH36+AJ36</f>
        <v>0</v>
      </c>
      <c r="AM36" s="73">
        <f t="shared" ref="AM36:AM41" ca="1" si="41">AK36+AI36</f>
        <v>22458.226170543716</v>
      </c>
      <c r="AN36" s="171">
        <f>2419/G36</f>
        <v>24.19</v>
      </c>
      <c r="AO36" s="33">
        <f>'Исходные данные'!$C$53</f>
        <v>0.84</v>
      </c>
      <c r="AP36" s="79">
        <f t="shared" ref="AP36:AP41" si="42">(G36*AN36)*AO36/100</f>
        <v>20.319600000000001</v>
      </c>
      <c r="AQ36" s="33" t="s">
        <v>155</v>
      </c>
      <c r="AR36" s="83" t="e">
        <f>'Исходные данные'!#REF!</f>
        <v>#REF!</v>
      </c>
      <c r="AS36" s="36" t="e">
        <f t="shared" ref="AS36:AS41" si="43">AP36*AR36</f>
        <v>#REF!</v>
      </c>
      <c r="AT36" s="23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6">
        <f t="shared" ref="BJ36:BJ41" si="44">BI36*L36</f>
        <v>0</v>
      </c>
      <c r="BK36" s="36">
        <f>аморт!$G$88</f>
        <v>114.406775</v>
      </c>
      <c r="BL36" s="36">
        <f t="shared" ref="BL36:BL41" si="45">BK36*L36</f>
        <v>686.44065000000001</v>
      </c>
      <c r="BM36" s="36"/>
      <c r="BN36" s="42"/>
      <c r="BO36" s="36">
        <f t="shared" ref="BO36:BO41" si="46">BN36*BY36</f>
        <v>0</v>
      </c>
      <c r="BP36" s="42"/>
      <c r="BQ36" s="36">
        <f t="shared" ref="BQ36:BQ41" si="47">BP36*BY36</f>
        <v>0</v>
      </c>
      <c r="BR36" s="42"/>
      <c r="BS36" s="36">
        <f t="shared" ref="BS36:BS41" si="48">BR36*BY36</f>
        <v>0</v>
      </c>
      <c r="BT36" s="36">
        <f>аморт!$C$88*10%/аморт!$E$88*L36*7</f>
        <v>30752.541119999998</v>
      </c>
      <c r="BU36" s="36" t="e">
        <f t="shared" ref="BU36:BU41" ca="1" si="49">AL36+AM36+AS36+AW36+BA36+BE36+BH36+BJ36+BL36+BM36+BO36+BQ36+BS36+BT36</f>
        <v>#REF!</v>
      </c>
      <c r="BV36" s="36" t="e">
        <f t="shared" ref="BV36:BV41" ca="1" si="50">BU36/$D$6</f>
        <v>#REF!</v>
      </c>
      <c r="BW36" s="38">
        <f t="shared" ref="BW36:BW41" si="51">(O36+P36)/$D$6</f>
        <v>0.42</v>
      </c>
      <c r="BX36" s="42"/>
      <c r="BY36" s="39">
        <f t="shared" ref="BY36:BY41" si="52">BX36*L36</f>
        <v>0</v>
      </c>
    </row>
    <row r="37" spans="1:77" s="7" customFormat="1" x14ac:dyDescent="0.2">
      <c r="A37" s="20">
        <f>A36+1</f>
        <v>2</v>
      </c>
      <c r="B37" s="27" t="s">
        <v>75</v>
      </c>
      <c r="C37" s="66">
        <v>1</v>
      </c>
      <c r="D37" s="30" t="s">
        <v>105</v>
      </c>
      <c r="E37" s="31" t="s">
        <v>134</v>
      </c>
      <c r="F37" s="28" t="s">
        <v>108</v>
      </c>
      <c r="G37" s="29">
        <v>100</v>
      </c>
      <c r="H37" s="178">
        <f>H36</f>
        <v>42537</v>
      </c>
      <c r="I37" s="178">
        <f>I36</f>
        <v>42542</v>
      </c>
      <c r="J37" s="179">
        <f t="shared" si="24"/>
        <v>6</v>
      </c>
      <c r="K37" s="170">
        <f t="shared" si="25"/>
        <v>16.666666666666668</v>
      </c>
      <c r="L37" s="33">
        <f t="shared" si="26"/>
        <v>6</v>
      </c>
      <c r="M37" s="30">
        <v>1</v>
      </c>
      <c r="N37" s="30"/>
      <c r="O37" s="35">
        <f t="shared" si="27"/>
        <v>42</v>
      </c>
      <c r="P37" s="35">
        <f t="shared" si="28"/>
        <v>0</v>
      </c>
      <c r="Q37" s="85">
        <v>5</v>
      </c>
      <c r="R37" s="83">
        <f>'Исходные данные'!$G$21</f>
        <v>197.57121135326915</v>
      </c>
      <c r="S37" s="184">
        <v>5</v>
      </c>
      <c r="T37" s="83">
        <f>IF(AND(N37&gt;0,P37&gt;0),SUMIF('Исходные данные'!$C$13:$J$29,S37,'Исходные данные'!$C$33:$J$39),IF(N37=0,0,IF(S37=0,"РОТ")))</f>
        <v>0</v>
      </c>
      <c r="U37" s="130">
        <f>O37*R37*'Исходные данные'!$C$37%</f>
        <v>0</v>
      </c>
      <c r="V37" s="130">
        <f>P37*T37*'Исходные данные'!$C$38%</f>
        <v>0</v>
      </c>
      <c r="W37" s="130">
        <f t="shared" si="29"/>
        <v>0</v>
      </c>
      <c r="X37" s="131">
        <f t="shared" si="30"/>
        <v>0</v>
      </c>
      <c r="Y37" s="130">
        <f t="shared" si="31"/>
        <v>829.79908768373048</v>
      </c>
      <c r="Z37" s="131">
        <f t="shared" si="32"/>
        <v>0</v>
      </c>
      <c r="AA37" s="130">
        <f t="shared" si="33"/>
        <v>0</v>
      </c>
      <c r="AB37" s="131">
        <f t="shared" si="34"/>
        <v>0</v>
      </c>
      <c r="AC37" s="129">
        <v>2.5</v>
      </c>
      <c r="AD37" s="130">
        <f t="shared" si="35"/>
        <v>22819.474911302586</v>
      </c>
      <c r="AE37" s="130">
        <f t="shared" si="36"/>
        <v>0</v>
      </c>
      <c r="AF37" s="35">
        <f t="shared" ca="1" si="37"/>
        <v>3409.8065959417659</v>
      </c>
      <c r="AG37" s="73">
        <f t="shared" ca="1" si="37"/>
        <v>0</v>
      </c>
      <c r="AH37" s="35">
        <f t="shared" ca="1" si="38"/>
        <v>26229.281507244352</v>
      </c>
      <c r="AI37" s="35">
        <f t="shared" ca="1" si="38"/>
        <v>0</v>
      </c>
      <c r="AJ37" s="35">
        <f t="shared" ca="1" si="39"/>
        <v>7868.784452173305</v>
      </c>
      <c r="AK37" s="73">
        <f t="shared" ca="1" si="39"/>
        <v>0</v>
      </c>
      <c r="AL37" s="35">
        <f t="shared" ca="1" si="40"/>
        <v>34098.065959417654</v>
      </c>
      <c r="AM37" s="73">
        <f t="shared" ca="1" si="41"/>
        <v>0</v>
      </c>
      <c r="AN37" s="171">
        <f>1440/G37</f>
        <v>14.4</v>
      </c>
      <c r="AO37" s="33">
        <f>'Исходные данные'!$C$53</f>
        <v>0.84</v>
      </c>
      <c r="AP37" s="79">
        <f t="shared" si="42"/>
        <v>12.095999999999998</v>
      </c>
      <c r="AQ37" s="33" t="s">
        <v>155</v>
      </c>
      <c r="AR37" s="83" t="e">
        <f>'Исходные данные'!#REF!</f>
        <v>#REF!</v>
      </c>
      <c r="AS37" s="36" t="e">
        <f t="shared" si="43"/>
        <v>#REF!</v>
      </c>
      <c r="AT37" s="23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36">
        <f>аморт!$G$8</f>
        <v>75.11864416666667</v>
      </c>
      <c r="BJ37" s="36">
        <f t="shared" si="44"/>
        <v>450.71186499999999</v>
      </c>
      <c r="BK37" s="36">
        <f>аморт!$G$42</f>
        <v>30.100819672131149</v>
      </c>
      <c r="BL37" s="36">
        <f t="shared" si="45"/>
        <v>180.60491803278688</v>
      </c>
      <c r="BM37" s="36"/>
      <c r="BN37" s="38">
        <v>111.7</v>
      </c>
      <c r="BO37" s="36">
        <f t="shared" si="46"/>
        <v>4825.4400000000005</v>
      </c>
      <c r="BP37" s="38">
        <v>12.5</v>
      </c>
      <c r="BQ37" s="36">
        <f t="shared" si="47"/>
        <v>540</v>
      </c>
      <c r="BR37" s="42"/>
      <c r="BS37" s="36">
        <f t="shared" si="48"/>
        <v>0</v>
      </c>
      <c r="BT37" s="36">
        <f>аморт!$C$42*10%/аморт!$E$42*L37*7</f>
        <v>5552.5175999999992</v>
      </c>
      <c r="BU37" s="36" t="e">
        <f t="shared" ca="1" si="49"/>
        <v>#REF!</v>
      </c>
      <c r="BV37" s="36" t="e">
        <f t="shared" ca="1" si="50"/>
        <v>#REF!</v>
      </c>
      <c r="BW37" s="38">
        <f t="shared" si="51"/>
        <v>0.42</v>
      </c>
      <c r="BX37" s="38">
        <v>7.2</v>
      </c>
      <c r="BY37" s="39">
        <f t="shared" si="52"/>
        <v>43.2</v>
      </c>
    </row>
    <row r="38" spans="1:77" s="7" customFormat="1" ht="22.5" x14ac:dyDescent="0.2">
      <c r="A38" s="19">
        <v>3</v>
      </c>
      <c r="B38" s="27" t="s">
        <v>74</v>
      </c>
      <c r="C38" s="66">
        <v>1</v>
      </c>
      <c r="D38" s="470" t="s">
        <v>133</v>
      </c>
      <c r="E38" s="471"/>
      <c r="F38" s="28" t="s">
        <v>108</v>
      </c>
      <c r="G38" s="29">
        <f>G37</f>
        <v>100</v>
      </c>
      <c r="H38" s="178">
        <v>42565</v>
      </c>
      <c r="I38" s="178">
        <v>42570</v>
      </c>
      <c r="J38" s="179">
        <f t="shared" si="24"/>
        <v>6</v>
      </c>
      <c r="K38" s="170">
        <f t="shared" si="25"/>
        <v>16.666666666666668</v>
      </c>
      <c r="L38" s="33">
        <f t="shared" si="26"/>
        <v>6</v>
      </c>
      <c r="M38" s="30"/>
      <c r="N38" s="30">
        <v>1</v>
      </c>
      <c r="O38" s="35">
        <f t="shared" si="27"/>
        <v>0</v>
      </c>
      <c r="P38" s="35">
        <f t="shared" si="28"/>
        <v>42</v>
      </c>
      <c r="Q38" s="85">
        <v>5</v>
      </c>
      <c r="R38" s="83">
        <f>'Исходные данные'!$G$21</f>
        <v>197.57121135326915</v>
      </c>
      <c r="S38" s="184">
        <v>5</v>
      </c>
      <c r="T38" s="83">
        <f ca="1">IF(AND(N38&gt;0,P38&gt;0),SUMIF('Исходные данные'!$C$13:$J$29,S38,'Исходные данные'!$C$33:$J$39),IF(N38=0,0,IF(S38=0,"РОТ")))</f>
        <v>136.32413583375569</v>
      </c>
      <c r="U38" s="130">
        <f>O38*R38*'Исходные данные'!$C$37%</f>
        <v>0</v>
      </c>
      <c r="V38" s="130">
        <f ca="1">P38*T38*'Исходные данные'!$C$38%</f>
        <v>0</v>
      </c>
      <c r="W38" s="130">
        <f t="shared" si="29"/>
        <v>0</v>
      </c>
      <c r="X38" s="131">
        <f t="shared" ca="1" si="30"/>
        <v>0</v>
      </c>
      <c r="Y38" s="130">
        <f t="shared" si="31"/>
        <v>0</v>
      </c>
      <c r="Z38" s="131">
        <f t="shared" ca="1" si="32"/>
        <v>286.28068525088696</v>
      </c>
      <c r="AA38" s="130">
        <f t="shared" si="33"/>
        <v>0</v>
      </c>
      <c r="AB38" s="131">
        <f t="shared" ca="1" si="34"/>
        <v>0</v>
      </c>
      <c r="AC38" s="129">
        <v>3.5</v>
      </c>
      <c r="AD38" s="130">
        <f t="shared" si="35"/>
        <v>0</v>
      </c>
      <c r="AE38" s="130">
        <f t="shared" ca="1" si="36"/>
        <v>21041.630365940189</v>
      </c>
      <c r="AF38" s="35">
        <f t="shared" ca="1" si="37"/>
        <v>0</v>
      </c>
      <c r="AG38" s="73">
        <f t="shared" ca="1" si="37"/>
        <v>3144.1516638761204</v>
      </c>
      <c r="AH38" s="35">
        <f t="shared" ca="1" si="38"/>
        <v>0</v>
      </c>
      <c r="AI38" s="35">
        <f t="shared" ca="1" si="38"/>
        <v>24185.78202981631</v>
      </c>
      <c r="AJ38" s="35">
        <f t="shared" ca="1" si="39"/>
        <v>0</v>
      </c>
      <c r="AK38" s="73">
        <f t="shared" ca="1" si="39"/>
        <v>7255.7346089448929</v>
      </c>
      <c r="AL38" s="35">
        <f t="shared" ca="1" si="40"/>
        <v>0</v>
      </c>
      <c r="AM38" s="73">
        <f t="shared" ca="1" si="41"/>
        <v>31441.516638761204</v>
      </c>
      <c r="AN38" s="171">
        <f>2419/G38</f>
        <v>24.19</v>
      </c>
      <c r="AO38" s="33">
        <f>'Исходные данные'!$C$53</f>
        <v>0.84</v>
      </c>
      <c r="AP38" s="79">
        <f t="shared" si="42"/>
        <v>20.319600000000001</v>
      </c>
      <c r="AQ38" s="33" t="s">
        <v>155</v>
      </c>
      <c r="AR38" s="83" t="e">
        <f>'Исходные данные'!#REF!</f>
        <v>#REF!</v>
      </c>
      <c r="AS38" s="36" t="e">
        <f t="shared" si="43"/>
        <v>#REF!</v>
      </c>
      <c r="AT38" s="23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6">
        <f t="shared" si="44"/>
        <v>0</v>
      </c>
      <c r="BK38" s="36">
        <f>аморт!$G$88</f>
        <v>114.406775</v>
      </c>
      <c r="BL38" s="36">
        <f t="shared" si="45"/>
        <v>686.44065000000001</v>
      </c>
      <c r="BM38" s="36"/>
      <c r="BN38" s="42"/>
      <c r="BO38" s="36">
        <f t="shared" si="46"/>
        <v>0</v>
      </c>
      <c r="BP38" s="42"/>
      <c r="BQ38" s="36">
        <f t="shared" si="47"/>
        <v>0</v>
      </c>
      <c r="BR38" s="42"/>
      <c r="BS38" s="36">
        <f t="shared" si="48"/>
        <v>0</v>
      </c>
      <c r="BT38" s="36">
        <f>аморт!$C$88*10%/аморт!$E$88*L38*7</f>
        <v>30752.541119999998</v>
      </c>
      <c r="BU38" s="36" t="e">
        <f t="shared" ca="1" si="49"/>
        <v>#REF!</v>
      </c>
      <c r="BV38" s="36" t="e">
        <f t="shared" ca="1" si="50"/>
        <v>#REF!</v>
      </c>
      <c r="BW38" s="38">
        <f t="shared" si="51"/>
        <v>0.42</v>
      </c>
      <c r="BX38" s="42"/>
      <c r="BY38" s="39">
        <f t="shared" si="52"/>
        <v>0</v>
      </c>
    </row>
    <row r="39" spans="1:77" s="7" customFormat="1" x14ac:dyDescent="0.2">
      <c r="A39" s="20">
        <v>4</v>
      </c>
      <c r="B39" s="27" t="s">
        <v>75</v>
      </c>
      <c r="C39" s="66">
        <v>1</v>
      </c>
      <c r="D39" s="30" t="s">
        <v>105</v>
      </c>
      <c r="E39" s="180" t="s">
        <v>134</v>
      </c>
      <c r="F39" s="28" t="s">
        <v>108</v>
      </c>
      <c r="G39" s="29">
        <f>G38</f>
        <v>100</v>
      </c>
      <c r="H39" s="178">
        <v>42565</v>
      </c>
      <c r="I39" s="178">
        <v>42570</v>
      </c>
      <c r="J39" s="179">
        <f t="shared" si="24"/>
        <v>6</v>
      </c>
      <c r="K39" s="170">
        <f t="shared" si="25"/>
        <v>16.666666666666668</v>
      </c>
      <c r="L39" s="33">
        <f t="shared" si="26"/>
        <v>6</v>
      </c>
      <c r="M39" s="30">
        <v>1</v>
      </c>
      <c r="N39" s="30"/>
      <c r="O39" s="35">
        <f t="shared" si="27"/>
        <v>42</v>
      </c>
      <c r="P39" s="35">
        <f t="shared" si="28"/>
        <v>0</v>
      </c>
      <c r="Q39" s="85">
        <v>5</v>
      </c>
      <c r="R39" s="83">
        <f>'Исходные данные'!$G$21</f>
        <v>197.57121135326915</v>
      </c>
      <c r="S39" s="184">
        <v>5</v>
      </c>
      <c r="T39" s="83">
        <f>IF(AND(N39&gt;0,P39&gt;0),SUMIF('Исходные данные'!$C$13:$J$29,S39,'Исходные данные'!$C$33:$J$39),IF(N39=0,0,IF(S39=0,"РОТ")))</f>
        <v>0</v>
      </c>
      <c r="U39" s="130">
        <f>O39*R39*'Исходные данные'!$C$37%</f>
        <v>0</v>
      </c>
      <c r="V39" s="130">
        <f>P39*T39*'Исходные данные'!$C$38%</f>
        <v>0</v>
      </c>
      <c r="W39" s="130">
        <f t="shared" si="29"/>
        <v>0</v>
      </c>
      <c r="X39" s="131">
        <f t="shared" si="30"/>
        <v>0</v>
      </c>
      <c r="Y39" s="130">
        <f t="shared" si="31"/>
        <v>829.79908768373048</v>
      </c>
      <c r="Z39" s="131">
        <f t="shared" si="32"/>
        <v>0</v>
      </c>
      <c r="AA39" s="130">
        <f t="shared" si="33"/>
        <v>0</v>
      </c>
      <c r="AB39" s="131">
        <f t="shared" si="34"/>
        <v>0</v>
      </c>
      <c r="AC39" s="129">
        <v>4.5</v>
      </c>
      <c r="AD39" s="130">
        <f t="shared" si="35"/>
        <v>41075.054840344659</v>
      </c>
      <c r="AE39" s="130">
        <f t="shared" si="36"/>
        <v>0</v>
      </c>
      <c r="AF39" s="35">
        <f t="shared" ca="1" si="37"/>
        <v>6137.651872695179</v>
      </c>
      <c r="AG39" s="73">
        <f t="shared" ca="1" si="37"/>
        <v>0</v>
      </c>
      <c r="AH39" s="35">
        <f t="shared" ca="1" si="38"/>
        <v>47212.706713039835</v>
      </c>
      <c r="AI39" s="35">
        <f t="shared" ca="1" si="38"/>
        <v>0</v>
      </c>
      <c r="AJ39" s="35">
        <f t="shared" ca="1" si="39"/>
        <v>14163.812013911951</v>
      </c>
      <c r="AK39" s="73">
        <f t="shared" ca="1" si="39"/>
        <v>0</v>
      </c>
      <c r="AL39" s="35">
        <f t="shared" ca="1" si="40"/>
        <v>61376.518726951785</v>
      </c>
      <c r="AM39" s="73">
        <f t="shared" ca="1" si="41"/>
        <v>0</v>
      </c>
      <c r="AN39" s="171">
        <f>1440/G39</f>
        <v>14.4</v>
      </c>
      <c r="AO39" s="33">
        <f>'Исходные данные'!$C$53</f>
        <v>0.84</v>
      </c>
      <c r="AP39" s="79">
        <f t="shared" si="42"/>
        <v>12.095999999999998</v>
      </c>
      <c r="AQ39" s="33" t="s">
        <v>155</v>
      </c>
      <c r="AR39" s="83" t="e">
        <f>'Исходные данные'!#REF!</f>
        <v>#REF!</v>
      </c>
      <c r="AS39" s="36" t="e">
        <f t="shared" si="43"/>
        <v>#REF!</v>
      </c>
      <c r="AT39" s="23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36">
        <f>аморт!$G$8</f>
        <v>75.11864416666667</v>
      </c>
      <c r="BJ39" s="36">
        <f t="shared" si="44"/>
        <v>450.71186499999999</v>
      </c>
      <c r="BK39" s="36">
        <f>аморт!$G$42</f>
        <v>30.100819672131149</v>
      </c>
      <c r="BL39" s="36">
        <f t="shared" si="45"/>
        <v>180.60491803278688</v>
      </c>
      <c r="BM39" s="36"/>
      <c r="BN39" s="38">
        <v>112.7</v>
      </c>
      <c r="BO39" s="36">
        <f t="shared" si="46"/>
        <v>4868.6400000000003</v>
      </c>
      <c r="BP39" s="38">
        <v>12.5</v>
      </c>
      <c r="BQ39" s="36">
        <f t="shared" si="47"/>
        <v>540</v>
      </c>
      <c r="BR39" s="42"/>
      <c r="BS39" s="36">
        <f t="shared" si="48"/>
        <v>0</v>
      </c>
      <c r="BT39" s="36">
        <f>аморт!$C$42*10%/аморт!$E$42*L39*7</f>
        <v>5552.5175999999992</v>
      </c>
      <c r="BU39" s="36" t="e">
        <f t="shared" ca="1" si="49"/>
        <v>#REF!</v>
      </c>
      <c r="BV39" s="36" t="e">
        <f t="shared" ca="1" si="50"/>
        <v>#REF!</v>
      </c>
      <c r="BW39" s="38">
        <f t="shared" si="51"/>
        <v>0.42</v>
      </c>
      <c r="BX39" s="38">
        <v>7.2</v>
      </c>
      <c r="BY39" s="39">
        <f t="shared" si="52"/>
        <v>43.2</v>
      </c>
    </row>
    <row r="40" spans="1:77" s="7" customFormat="1" ht="22.5" x14ac:dyDescent="0.2">
      <c r="A40" s="19">
        <v>5</v>
      </c>
      <c r="B40" s="27" t="s">
        <v>74</v>
      </c>
      <c r="C40" s="66">
        <v>1</v>
      </c>
      <c r="D40" s="470" t="s">
        <v>133</v>
      </c>
      <c r="E40" s="471"/>
      <c r="F40" s="28" t="s">
        <v>108</v>
      </c>
      <c r="G40" s="29">
        <f>G39</f>
        <v>100</v>
      </c>
      <c r="H40" s="178">
        <v>42586</v>
      </c>
      <c r="I40" s="178">
        <v>42594</v>
      </c>
      <c r="J40" s="179">
        <f t="shared" si="24"/>
        <v>9</v>
      </c>
      <c r="K40" s="170">
        <f t="shared" si="25"/>
        <v>11.111111111111111</v>
      </c>
      <c r="L40" s="33">
        <f t="shared" si="26"/>
        <v>9</v>
      </c>
      <c r="M40" s="30"/>
      <c r="N40" s="30">
        <v>1</v>
      </c>
      <c r="O40" s="35">
        <f t="shared" si="27"/>
        <v>0</v>
      </c>
      <c r="P40" s="35">
        <f t="shared" si="28"/>
        <v>63</v>
      </c>
      <c r="Q40" s="85">
        <v>5</v>
      </c>
      <c r="R40" s="83">
        <f>'Исходные данные'!$G$21</f>
        <v>197.57121135326915</v>
      </c>
      <c r="S40" s="184">
        <v>5</v>
      </c>
      <c r="T40" s="83">
        <f ca="1">IF(AND(N40&gt;0,P40&gt;0),SUMIF('Исходные данные'!$C$13:$J$29,S40,'Исходные данные'!$C$33:$J$39),IF(N40=0,0,IF(S40=0,"РОТ")))</f>
        <v>136.32413583375569</v>
      </c>
      <c r="U40" s="130">
        <f>O40*R40*'Исходные данные'!$C$37%</f>
        <v>0</v>
      </c>
      <c r="V40" s="130">
        <f ca="1">P40*T40*'Исходные данные'!$C$38%</f>
        <v>0</v>
      </c>
      <c r="W40" s="130">
        <f t="shared" si="29"/>
        <v>0</v>
      </c>
      <c r="X40" s="131">
        <f t="shared" ca="1" si="30"/>
        <v>0</v>
      </c>
      <c r="Y40" s="130">
        <f t="shared" si="31"/>
        <v>0</v>
      </c>
      <c r="Z40" s="131">
        <f t="shared" ca="1" si="32"/>
        <v>429.42102787633041</v>
      </c>
      <c r="AA40" s="130">
        <f t="shared" si="33"/>
        <v>0</v>
      </c>
      <c r="AB40" s="131">
        <f t="shared" ca="1" si="34"/>
        <v>0</v>
      </c>
      <c r="AC40" s="129">
        <v>5.5</v>
      </c>
      <c r="AD40" s="130">
        <f t="shared" si="35"/>
        <v>0</v>
      </c>
      <c r="AE40" s="130">
        <f t="shared" ca="1" si="36"/>
        <v>49598.128719716166</v>
      </c>
      <c r="AF40" s="35">
        <f t="shared" ca="1" si="37"/>
        <v>0</v>
      </c>
      <c r="AG40" s="73">
        <f t="shared" ca="1" si="37"/>
        <v>7411.2146362794274</v>
      </c>
      <c r="AH40" s="35">
        <f t="shared" ca="1" si="38"/>
        <v>0</v>
      </c>
      <c r="AI40" s="35">
        <f t="shared" ca="1" si="38"/>
        <v>57009.343355995596</v>
      </c>
      <c r="AJ40" s="35">
        <f t="shared" ca="1" si="39"/>
        <v>0</v>
      </c>
      <c r="AK40" s="73">
        <f t="shared" ca="1" si="39"/>
        <v>17102.803006798677</v>
      </c>
      <c r="AL40" s="35">
        <f t="shared" ca="1" si="40"/>
        <v>0</v>
      </c>
      <c r="AM40" s="73">
        <f t="shared" ca="1" si="41"/>
        <v>74112.146362794272</v>
      </c>
      <c r="AN40" s="171">
        <f>3628.8/G40</f>
        <v>36.288000000000004</v>
      </c>
      <c r="AO40" s="33">
        <f>'Исходные данные'!$C$53</f>
        <v>0.84</v>
      </c>
      <c r="AP40" s="79">
        <f t="shared" si="42"/>
        <v>30.481919999999999</v>
      </c>
      <c r="AQ40" s="33" t="s">
        <v>155</v>
      </c>
      <c r="AR40" s="83" t="e">
        <f>'Исходные данные'!#REF!</f>
        <v>#REF!</v>
      </c>
      <c r="AS40" s="36" t="e">
        <f t="shared" si="43"/>
        <v>#REF!</v>
      </c>
      <c r="AT40" s="23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36">
        <f t="shared" si="44"/>
        <v>0</v>
      </c>
      <c r="BK40" s="36">
        <f>аморт!$G$88</f>
        <v>114.406775</v>
      </c>
      <c r="BL40" s="36">
        <f t="shared" si="45"/>
        <v>1029.660975</v>
      </c>
      <c r="BM40" s="36"/>
      <c r="BN40" s="42"/>
      <c r="BO40" s="36">
        <f t="shared" si="46"/>
        <v>0</v>
      </c>
      <c r="BP40" s="42"/>
      <c r="BQ40" s="36">
        <f t="shared" si="47"/>
        <v>0</v>
      </c>
      <c r="BR40" s="42"/>
      <c r="BS40" s="36">
        <f t="shared" si="48"/>
        <v>0</v>
      </c>
      <c r="BT40" s="36">
        <f>аморт!$C$88*10%/аморт!$E$88*L40*7</f>
        <v>46128.811679999999</v>
      </c>
      <c r="BU40" s="36" t="e">
        <f t="shared" ca="1" si="49"/>
        <v>#REF!</v>
      </c>
      <c r="BV40" s="36" t="e">
        <f t="shared" ca="1" si="50"/>
        <v>#REF!</v>
      </c>
      <c r="BW40" s="38">
        <f t="shared" si="51"/>
        <v>0.63</v>
      </c>
      <c r="BX40" s="42"/>
      <c r="BY40" s="39">
        <f t="shared" si="52"/>
        <v>0</v>
      </c>
    </row>
    <row r="41" spans="1:77" s="7" customFormat="1" x14ac:dyDescent="0.2">
      <c r="A41" s="20">
        <f>A40+1</f>
        <v>6</v>
      </c>
      <c r="B41" s="27" t="s">
        <v>75</v>
      </c>
      <c r="C41" s="66">
        <v>1</v>
      </c>
      <c r="D41" s="30" t="s">
        <v>105</v>
      </c>
      <c r="E41" s="180" t="s">
        <v>134</v>
      </c>
      <c r="F41" s="28" t="s">
        <v>108</v>
      </c>
      <c r="G41" s="29">
        <f>G40</f>
        <v>100</v>
      </c>
      <c r="H41" s="178">
        <v>42586</v>
      </c>
      <c r="I41" s="178">
        <f>I40</f>
        <v>42594</v>
      </c>
      <c r="J41" s="179">
        <f t="shared" si="24"/>
        <v>9</v>
      </c>
      <c r="K41" s="170">
        <f t="shared" si="25"/>
        <v>11.111111111111111</v>
      </c>
      <c r="L41" s="33">
        <f t="shared" si="26"/>
        <v>9</v>
      </c>
      <c r="M41" s="30">
        <v>1</v>
      </c>
      <c r="N41" s="30"/>
      <c r="O41" s="35">
        <f t="shared" si="27"/>
        <v>63</v>
      </c>
      <c r="P41" s="35">
        <f t="shared" si="28"/>
        <v>0</v>
      </c>
      <c r="Q41" s="85">
        <v>5</v>
      </c>
      <c r="R41" s="83">
        <f>'Исходные данные'!$G$21</f>
        <v>197.57121135326915</v>
      </c>
      <c r="S41" s="184">
        <v>5</v>
      </c>
      <c r="T41" s="83">
        <f>IF(AND(N41&gt;0,P41&gt;0),SUMIF('Исходные данные'!$C$13:$J$29,S41,'Исходные данные'!$C$33:$J$39),IF(N41=0,0,IF(S41=0,"РОТ")))</f>
        <v>0</v>
      </c>
      <c r="U41" s="130">
        <f>O41*R41*'Исходные данные'!$C$37%</f>
        <v>0</v>
      </c>
      <c r="V41" s="130">
        <f>P41*T41*'Исходные данные'!$C$38%</f>
        <v>0</v>
      </c>
      <c r="W41" s="130">
        <f t="shared" si="29"/>
        <v>0</v>
      </c>
      <c r="X41" s="131">
        <f t="shared" si="30"/>
        <v>0</v>
      </c>
      <c r="Y41" s="130">
        <f t="shared" si="31"/>
        <v>1244.6986315255956</v>
      </c>
      <c r="Z41" s="131">
        <f t="shared" si="32"/>
        <v>0</v>
      </c>
      <c r="AA41" s="130">
        <f t="shared" si="33"/>
        <v>0</v>
      </c>
      <c r="AB41" s="131">
        <f t="shared" si="34"/>
        <v>0</v>
      </c>
      <c r="AC41" s="129">
        <v>6.5</v>
      </c>
      <c r="AD41" s="130">
        <f t="shared" si="35"/>
        <v>88995.952154080092</v>
      </c>
      <c r="AE41" s="130">
        <f t="shared" si="36"/>
        <v>0</v>
      </c>
      <c r="AF41" s="35">
        <f t="shared" ca="1" si="37"/>
        <v>13298.245724172888</v>
      </c>
      <c r="AG41" s="73">
        <f t="shared" ca="1" si="37"/>
        <v>0</v>
      </c>
      <c r="AH41" s="35">
        <f t="shared" ca="1" si="38"/>
        <v>102294.19787825298</v>
      </c>
      <c r="AI41" s="35">
        <f t="shared" ca="1" si="38"/>
        <v>0</v>
      </c>
      <c r="AJ41" s="35">
        <f t="shared" ca="1" si="39"/>
        <v>30688.259363475892</v>
      </c>
      <c r="AK41" s="73">
        <f t="shared" ca="1" si="39"/>
        <v>0</v>
      </c>
      <c r="AL41" s="35">
        <f t="shared" ca="1" si="40"/>
        <v>132982.45724172887</v>
      </c>
      <c r="AM41" s="73">
        <f t="shared" ca="1" si="41"/>
        <v>0</v>
      </c>
      <c r="AN41" s="171">
        <f>2160/G41</f>
        <v>21.6</v>
      </c>
      <c r="AO41" s="33">
        <f>'Исходные данные'!$C$53</f>
        <v>0.84</v>
      </c>
      <c r="AP41" s="79">
        <f t="shared" si="42"/>
        <v>18.143999999999998</v>
      </c>
      <c r="AQ41" s="33" t="s">
        <v>155</v>
      </c>
      <c r="AR41" s="83" t="e">
        <f>'Исходные данные'!#REF!</f>
        <v>#REF!</v>
      </c>
      <c r="AS41" s="36" t="e">
        <f t="shared" si="43"/>
        <v>#REF!</v>
      </c>
      <c r="AT41" s="23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36">
        <f>аморт!$G$8</f>
        <v>75.11864416666667</v>
      </c>
      <c r="BJ41" s="36">
        <f t="shared" si="44"/>
        <v>676.06779749999998</v>
      </c>
      <c r="BK41" s="36">
        <f>аморт!$G$42</f>
        <v>30.100819672131149</v>
      </c>
      <c r="BL41" s="36">
        <f t="shared" si="45"/>
        <v>270.90737704918035</v>
      </c>
      <c r="BM41" s="36"/>
      <c r="BN41" s="38">
        <v>113.7</v>
      </c>
      <c r="BO41" s="36">
        <f t="shared" si="46"/>
        <v>7367.76</v>
      </c>
      <c r="BP41" s="38">
        <v>12.5</v>
      </c>
      <c r="BQ41" s="36">
        <f t="shared" si="47"/>
        <v>810</v>
      </c>
      <c r="BR41" s="42"/>
      <c r="BS41" s="36">
        <f t="shared" si="48"/>
        <v>0</v>
      </c>
      <c r="BT41" s="36">
        <f>аморт!$C$42*10%/аморт!$E$42*L41*7</f>
        <v>8328.7764000000006</v>
      </c>
      <c r="BU41" s="36" t="e">
        <f t="shared" ca="1" si="49"/>
        <v>#REF!</v>
      </c>
      <c r="BV41" s="36" t="e">
        <f t="shared" ca="1" si="50"/>
        <v>#REF!</v>
      </c>
      <c r="BW41" s="38">
        <f t="shared" si="51"/>
        <v>0.63</v>
      </c>
      <c r="BX41" s="38">
        <v>7.2</v>
      </c>
      <c r="BY41" s="39">
        <f t="shared" si="52"/>
        <v>64.8</v>
      </c>
    </row>
    <row r="42" spans="1:77" s="54" customFormat="1" x14ac:dyDescent="0.2">
      <c r="A42" s="52"/>
      <c r="B42" s="53" t="s">
        <v>22</v>
      </c>
      <c r="C42" s="56"/>
      <c r="D42" s="56"/>
      <c r="E42" s="56"/>
      <c r="F42" s="55"/>
      <c r="G42" s="56"/>
      <c r="H42" s="56"/>
      <c r="I42" s="56"/>
      <c r="J42" s="65">
        <f>SUM(J36:J41)</f>
        <v>42</v>
      </c>
      <c r="K42" s="65"/>
      <c r="L42" s="65">
        <f>SUM(L36:L41)</f>
        <v>42</v>
      </c>
      <c r="M42" s="65">
        <f>SUM(M36:M41)</f>
        <v>3</v>
      </c>
      <c r="N42" s="65">
        <f>SUM(N36:N41)</f>
        <v>3</v>
      </c>
      <c r="O42" s="65">
        <f>SUM(O36:O41)</f>
        <v>147</v>
      </c>
      <c r="P42" s="65">
        <f>SUM(P36:P41)</f>
        <v>147</v>
      </c>
      <c r="Q42" s="65"/>
      <c r="R42" s="65"/>
      <c r="S42" s="65"/>
      <c r="T42" s="65"/>
      <c r="U42" s="65">
        <f t="shared" ref="U42:AA42" si="53">SUM(U36:U41)</f>
        <v>0</v>
      </c>
      <c r="V42" s="65">
        <f t="shared" ca="1" si="53"/>
        <v>0</v>
      </c>
      <c r="W42" s="65">
        <f t="shared" si="53"/>
        <v>0</v>
      </c>
      <c r="X42" s="65">
        <f t="shared" ca="1" si="53"/>
        <v>0</v>
      </c>
      <c r="Y42" s="65">
        <f t="shared" si="53"/>
        <v>2904.2968068930568</v>
      </c>
      <c r="Z42" s="65">
        <f t="shared" ca="1" si="53"/>
        <v>1001.9823983781043</v>
      </c>
      <c r="AA42" s="65">
        <f t="shared" si="53"/>
        <v>0</v>
      </c>
      <c r="AB42" s="65">
        <f ca="1">SUM(AB36:AB41)</f>
        <v>0</v>
      </c>
      <c r="AC42" s="65"/>
      <c r="AD42" s="65">
        <f>SUM(AD36:AD41)</f>
        <v>152890.48190572736</v>
      </c>
      <c r="AE42" s="65">
        <f ca="1">SUM(AE36:AE41)</f>
        <v>85669.495061327907</v>
      </c>
      <c r="AF42" s="65">
        <f ca="1">SUM(AF36:AF41)</f>
        <v>22845.704192809833</v>
      </c>
      <c r="AG42" s="65">
        <f t="shared" ref="AG42:AL42" ca="1" si="54">SUM(AG36:AG41)</f>
        <v>12801.188917209918</v>
      </c>
      <c r="AH42" s="65">
        <f t="shared" ca="1" si="54"/>
        <v>175736.18609853717</v>
      </c>
      <c r="AI42" s="65">
        <f t="shared" ca="1" si="54"/>
        <v>98470.68397853784</v>
      </c>
      <c r="AJ42" s="65">
        <f t="shared" ca="1" si="54"/>
        <v>52720.855829561144</v>
      </c>
      <c r="AK42" s="65">
        <f t="shared" ca="1" si="54"/>
        <v>29541.205193561349</v>
      </c>
      <c r="AL42" s="65">
        <f t="shared" ca="1" si="54"/>
        <v>228457.0419280983</v>
      </c>
      <c r="AM42" s="65">
        <f ca="1">SUM(AM36:AM41)</f>
        <v>128011.8891720992</v>
      </c>
      <c r="AN42" s="65"/>
      <c r="AO42" s="65"/>
      <c r="AP42" s="65">
        <f>SUM(AP36:AP41)</f>
        <v>113.45712</v>
      </c>
      <c r="AQ42" s="65"/>
      <c r="AR42" s="65"/>
      <c r="AS42" s="65" t="e">
        <f>SUM(AS36:AS41)</f>
        <v>#REF!</v>
      </c>
      <c r="AT42" s="65"/>
      <c r="AU42" s="65">
        <f>SUM(AU36:AU41)</f>
        <v>0</v>
      </c>
      <c r="AV42" s="65"/>
      <c r="AW42" s="65">
        <f>SUM(AW36:AW41)</f>
        <v>0</v>
      </c>
      <c r="AX42" s="65"/>
      <c r="AY42" s="65">
        <f>SUM(AY36:AY41)</f>
        <v>0</v>
      </c>
      <c r="AZ42" s="65">
        <f>SUM(AZ36:AZ41)</f>
        <v>0</v>
      </c>
      <c r="BA42" s="65">
        <f>SUM(BA36:BA41)</f>
        <v>0</v>
      </c>
      <c r="BB42" s="65"/>
      <c r="BC42" s="65">
        <f>SUM(BC36:BC41)</f>
        <v>0</v>
      </c>
      <c r="BD42" s="65"/>
      <c r="BE42" s="65">
        <f>SUM(BE36:BE41)</f>
        <v>0</v>
      </c>
      <c r="BF42" s="65"/>
      <c r="BG42" s="65"/>
      <c r="BH42" s="65"/>
      <c r="BI42" s="65"/>
      <c r="BJ42" s="65">
        <f>SUM(BJ36:BJ41)</f>
        <v>1577.4915274999998</v>
      </c>
      <c r="BK42" s="65"/>
      <c r="BL42" s="65">
        <f>SUM(BL36:BL41)</f>
        <v>3034.6594881147539</v>
      </c>
      <c r="BM42" s="65"/>
      <c r="BN42" s="65"/>
      <c r="BO42" s="65">
        <f>SUM(BO36:BO41)</f>
        <v>17061.840000000004</v>
      </c>
      <c r="BP42" s="65"/>
      <c r="BQ42" s="65">
        <f>SUM(BQ36:BQ41)</f>
        <v>1890</v>
      </c>
      <c r="BR42" s="65"/>
      <c r="BS42" s="65">
        <f>SUM(BS36:BS37)</f>
        <v>0</v>
      </c>
      <c r="BT42" s="65">
        <f>SUM(BT36:BT41)</f>
        <v>127067.70552</v>
      </c>
      <c r="BU42" s="65" t="e">
        <f ca="1">SUM(BU36:BU37)</f>
        <v>#REF!</v>
      </c>
      <c r="BV42" s="65"/>
      <c r="BW42" s="65"/>
      <c r="BX42" s="65"/>
      <c r="BY42" s="65">
        <f>SUM(BY36:BY41)</f>
        <v>151.19999999999999</v>
      </c>
    </row>
    <row r="43" spans="1:77" s="7" customFormat="1" ht="12.75" customHeight="1" x14ac:dyDescent="0.2">
      <c r="A43" s="21"/>
      <c r="B43" s="462" t="s">
        <v>84</v>
      </c>
      <c r="C43" s="462"/>
      <c r="D43" s="462"/>
      <c r="E43" s="462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5"/>
      <c r="AQ43" s="26"/>
      <c r="AR43" s="26"/>
      <c r="AS43" s="25"/>
      <c r="AT43" s="23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3"/>
    </row>
    <row r="44" spans="1:77" ht="22.5" x14ac:dyDescent="0.2">
      <c r="A44" s="19">
        <v>1</v>
      </c>
      <c r="B44" s="27" t="s">
        <v>433</v>
      </c>
      <c r="C44" s="66">
        <v>1</v>
      </c>
      <c r="D44" s="181" t="s">
        <v>501</v>
      </c>
      <c r="E44" s="182" t="s">
        <v>500</v>
      </c>
      <c r="F44" s="28" t="s">
        <v>108</v>
      </c>
      <c r="G44" s="29">
        <v>100</v>
      </c>
      <c r="H44" s="172">
        <v>42597</v>
      </c>
      <c r="I44" s="172">
        <v>42600</v>
      </c>
      <c r="J44" s="185">
        <f t="shared" ref="J44:J49" si="55">I44-H44</f>
        <v>3</v>
      </c>
      <c r="K44" s="170">
        <f>5*8</f>
        <v>40</v>
      </c>
      <c r="L44" s="33">
        <f t="shared" ref="L44:L49" si="56">G44/K44</f>
        <v>2.5</v>
      </c>
      <c r="M44" s="34">
        <v>1</v>
      </c>
      <c r="N44" s="34"/>
      <c r="O44" s="35">
        <f t="shared" ref="O44:O49" si="57">IF(M44=0,0,L44*$O$17)</f>
        <v>17.5</v>
      </c>
      <c r="P44" s="35">
        <f t="shared" ref="P44:P49" si="58">IF(N44=0,0,L44*$O$17)</f>
        <v>0</v>
      </c>
      <c r="Q44" s="34">
        <v>4</v>
      </c>
      <c r="R44" s="83">
        <f ca="1">IF(AND(O44&gt;0,Q44&gt;0),SUMIF('Исходные данные'!$C$13:H36,Q44,'Исходные данные'!$C$17:$H$17),IF(O44=0,0,IF(Q44=0,"РОТ")))</f>
        <v>156.08125696908263</v>
      </c>
      <c r="S44" s="34"/>
      <c r="T44" s="33"/>
      <c r="U44" s="130">
        <f ca="1">O44*R44*'Исходные данные'!$C$37%</f>
        <v>0</v>
      </c>
      <c r="V44" s="130">
        <f>P44*T44*'Исходные данные'!$C$38%</f>
        <v>0</v>
      </c>
      <c r="W44" s="130">
        <f t="shared" ref="W44:W49" ca="1" si="59">O44*R44*$W$17</f>
        <v>0</v>
      </c>
      <c r="X44" s="131">
        <f t="shared" ref="X44:X49" si="60">P44*T44*$W$17</f>
        <v>0</v>
      </c>
      <c r="Y44" s="130">
        <f t="shared" ref="Y44:Y49" ca="1" si="61">(O44*R44+U44+W44)*$Y$17</f>
        <v>273.14219969589465</v>
      </c>
      <c r="Z44" s="131">
        <f t="shared" ref="Z44:Z49" si="62">(P44*T44+V44+X44)*$Z$17</f>
        <v>0</v>
      </c>
      <c r="AA44" s="130">
        <f t="shared" ref="AA44:AA49" ca="1" si="63">(O44*R44+U44)*$AA$17</f>
        <v>0</v>
      </c>
      <c r="AB44" s="131">
        <f t="shared" ref="AB44:AB49" si="64">(P44*T44+V44)*$AA$17</f>
        <v>0</v>
      </c>
      <c r="AC44" s="129">
        <v>2.5</v>
      </c>
      <c r="AD44" s="130">
        <f t="shared" ref="AD44:AD49" ca="1" si="65">(O44*R44+U44+W44+Y44+AA44)*AC44</f>
        <v>7511.4104916371025</v>
      </c>
      <c r="AE44" s="130">
        <f t="shared" ref="AE44:AE49" si="66">(P44*T44+V44+X44+Z44+AB44)*AC44</f>
        <v>0</v>
      </c>
      <c r="AF44" s="35">
        <f ca="1">AD44*$AF$17</f>
        <v>1122.3946711641647</v>
      </c>
      <c r="AG44" s="73">
        <f ca="1">AE44*$AF$17</f>
        <v>0</v>
      </c>
      <c r="AH44" s="35">
        <f ca="1">AD44+AF44</f>
        <v>8633.8051628012672</v>
      </c>
      <c r="AI44" s="35">
        <f ca="1">AE44+AG44</f>
        <v>0</v>
      </c>
      <c r="AJ44" s="35">
        <f ca="1">AH44*$AJ$17</f>
        <v>2590.14154884038</v>
      </c>
      <c r="AK44" s="73">
        <f ca="1">AI44*$AJ$17</f>
        <v>0</v>
      </c>
      <c r="AL44" s="35">
        <f ca="1">AH44+AJ44</f>
        <v>11223.946711641647</v>
      </c>
      <c r="AM44" s="73">
        <f ca="1">AK44+AI44</f>
        <v>0</v>
      </c>
      <c r="AN44" s="171">
        <f>12.5/0.84</f>
        <v>14.880952380952381</v>
      </c>
      <c r="AO44" s="33">
        <f>'Исходные данные'!$C$53</f>
        <v>0.84</v>
      </c>
      <c r="AP44" s="79">
        <f>(G44*AN44)*AO44/100</f>
        <v>12.5</v>
      </c>
      <c r="AQ44" s="33" t="s">
        <v>155</v>
      </c>
      <c r="AR44" s="83" t="e">
        <f>'Исходные данные'!#REF!</f>
        <v>#REF!</v>
      </c>
      <c r="AS44" s="36" t="e">
        <f>AP44*AR44</f>
        <v>#REF!</v>
      </c>
      <c r="AT44" s="32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>аморт!$G$11</f>
        <v>181.91312849162011</v>
      </c>
      <c r="BJ44" s="36">
        <f>BI44*L44</f>
        <v>454.78282122905028</v>
      </c>
      <c r="BK44" s="36">
        <f>аморт!G60</f>
        <v>41.864400000000003</v>
      </c>
      <c r="BL44" s="36">
        <f>BK44*L44</f>
        <v>104.661</v>
      </c>
      <c r="BM44" s="36"/>
      <c r="BN44" s="38">
        <v>82.4</v>
      </c>
      <c r="BO44" s="36">
        <f>BN44*BY44</f>
        <v>1050.6000000000001</v>
      </c>
      <c r="BP44" s="38">
        <v>13.9</v>
      </c>
      <c r="BQ44" s="36">
        <f>BP44*BY44</f>
        <v>177.22499999999999</v>
      </c>
      <c r="BR44" s="38">
        <f>4.8*1.045*1.054</f>
        <v>5.2868639999999996</v>
      </c>
      <c r="BS44" s="36">
        <f>BR44*BY44</f>
        <v>67.407516000000001</v>
      </c>
      <c r="BT44" s="36">
        <f>аморт!C56*10%/аморт!E56*L44*7</f>
        <v>7308.4759999999997</v>
      </c>
      <c r="BU44" s="36" t="e">
        <f t="shared" ref="BU44:BU49" ca="1" si="67">AL44+AM44+AS44+AW44+BA44+BE44+BH44+BJ44+BL44+BM44+BO44+BQ44+BS44+BT44</f>
        <v>#REF!</v>
      </c>
      <c r="BV44" s="36" t="e">
        <f t="shared" ref="BV44:BV49" ca="1" si="68">BU44/$D$6</f>
        <v>#REF!</v>
      </c>
      <c r="BW44" s="38">
        <f t="shared" ref="BW44:BW49" si="69">(O44+P44)/$D$6</f>
        <v>0.17499999999999999</v>
      </c>
      <c r="BX44" s="38">
        <v>5.0999999999999996</v>
      </c>
      <c r="BY44" s="39">
        <f>BX44*L44</f>
        <v>12.75</v>
      </c>
    </row>
    <row r="45" spans="1:77" ht="22.5" x14ac:dyDescent="0.2">
      <c r="A45" s="19">
        <v>2</v>
      </c>
      <c r="B45" s="27" t="s">
        <v>79</v>
      </c>
      <c r="C45" s="66">
        <v>5</v>
      </c>
      <c r="D45" s="19" t="s">
        <v>229</v>
      </c>
      <c r="E45" s="31"/>
      <c r="F45" s="28" t="s">
        <v>121</v>
      </c>
      <c r="G45" s="29">
        <f>D12/10</f>
        <v>1500</v>
      </c>
      <c r="H45" s="172">
        <v>42597</v>
      </c>
      <c r="I45" s="172">
        <f>I44</f>
        <v>42600</v>
      </c>
      <c r="J45" s="185">
        <f t="shared" si="55"/>
        <v>3</v>
      </c>
      <c r="K45" s="170">
        <v>80</v>
      </c>
      <c r="L45" s="33">
        <f t="shared" si="56"/>
        <v>18.75</v>
      </c>
      <c r="M45" s="34">
        <v>1</v>
      </c>
      <c r="N45" s="34"/>
      <c r="O45" s="35">
        <f t="shared" si="57"/>
        <v>131.25</v>
      </c>
      <c r="P45" s="35">
        <f t="shared" si="58"/>
        <v>0</v>
      </c>
      <c r="Q45" s="34">
        <v>5</v>
      </c>
      <c r="R45" s="83">
        <f>'Исходные данные'!G21</f>
        <v>197.57121135326915</v>
      </c>
      <c r="S45" s="34"/>
      <c r="T45" s="33"/>
      <c r="U45" s="130">
        <f>O45*R45*'Исходные данные'!$C$37%</f>
        <v>0</v>
      </c>
      <c r="V45" s="130">
        <f>P45*T45*'Исходные данные'!$C$38%</f>
        <v>0</v>
      </c>
      <c r="W45" s="130">
        <f t="shared" si="59"/>
        <v>0</v>
      </c>
      <c r="X45" s="131">
        <f t="shared" si="60"/>
        <v>0</v>
      </c>
      <c r="Y45" s="130">
        <f t="shared" si="61"/>
        <v>2593.1221490116577</v>
      </c>
      <c r="Z45" s="131">
        <f t="shared" si="62"/>
        <v>0</v>
      </c>
      <c r="AA45" s="130">
        <f t="shared" si="63"/>
        <v>0</v>
      </c>
      <c r="AB45" s="131">
        <f t="shared" si="64"/>
        <v>0</v>
      </c>
      <c r="AC45" s="129">
        <v>2.5</v>
      </c>
      <c r="AD45" s="130">
        <f t="shared" si="65"/>
        <v>71310.85909782059</v>
      </c>
      <c r="AE45" s="130">
        <f t="shared" si="66"/>
        <v>0</v>
      </c>
      <c r="AF45" s="35">
        <f ca="1">AD45*$AF$17</f>
        <v>10655.64561231802</v>
      </c>
      <c r="AG45" s="73"/>
      <c r="AH45" s="35">
        <f ca="1">AD45+AF45</f>
        <v>81966.504710138615</v>
      </c>
      <c r="AI45" s="35"/>
      <c r="AJ45" s="35">
        <f ca="1">AH45*$AJ$17</f>
        <v>24589.951413041585</v>
      </c>
      <c r="AK45" s="73"/>
      <c r="AL45" s="35">
        <f ca="1">AH45+AJ45</f>
        <v>106556.45612318019</v>
      </c>
      <c r="AM45" s="73"/>
      <c r="AN45" s="32">
        <v>12.33</v>
      </c>
      <c r="AO45" s="33">
        <f>'Исходные данные'!$C$53</f>
        <v>0.84</v>
      </c>
      <c r="AP45" s="79">
        <f>(G45*AN45)*AO45/100</f>
        <v>155.358</v>
      </c>
      <c r="AQ45" s="33" t="s">
        <v>155</v>
      </c>
      <c r="AR45" s="83" t="e">
        <f>'Исходные данные'!#REF!</f>
        <v>#REF!</v>
      </c>
      <c r="AS45" s="36" t="e">
        <f>AP45*AR45</f>
        <v>#REF!</v>
      </c>
      <c r="AT45" s="32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>аморт!$G$11</f>
        <v>181.91312849162011</v>
      </c>
      <c r="BJ45" s="36">
        <f>BI45*L45</f>
        <v>3410.871159217877</v>
      </c>
      <c r="BK45" s="85">
        <f>аморт!$G$23</f>
        <v>48.426111111111105</v>
      </c>
      <c r="BL45" s="36">
        <f>BK45*L45</f>
        <v>907.98958333333326</v>
      </c>
      <c r="BM45" s="36"/>
      <c r="BN45" s="38">
        <v>82.4</v>
      </c>
      <c r="BO45" s="36">
        <f>BN45*BY45</f>
        <v>7879.5000000000009</v>
      </c>
      <c r="BP45" s="38">
        <v>13.9</v>
      </c>
      <c r="BQ45" s="36">
        <f>BP45*BY45</f>
        <v>1329.1875</v>
      </c>
      <c r="BR45" s="38">
        <f>4.8*1.045*1.054</f>
        <v>5.2868639999999996</v>
      </c>
      <c r="BS45" s="36">
        <f>BR45*BY45</f>
        <v>505.55636999999996</v>
      </c>
      <c r="BT45" s="36">
        <f>аморт!$C$23*10%/аморт!$E$23*L45*7</f>
        <v>144152.42625000002</v>
      </c>
      <c r="BU45" s="36" t="e">
        <f t="shared" ca="1" si="67"/>
        <v>#REF!</v>
      </c>
      <c r="BV45" s="36" t="e">
        <f t="shared" ca="1" si="68"/>
        <v>#REF!</v>
      </c>
      <c r="BW45" s="38">
        <f t="shared" si="69"/>
        <v>1.3125</v>
      </c>
      <c r="BX45" s="38">
        <v>5.0999999999999996</v>
      </c>
      <c r="BY45" s="39">
        <f>BX45*L45</f>
        <v>95.625</v>
      </c>
    </row>
    <row r="46" spans="1:77" x14ac:dyDescent="0.2">
      <c r="A46" s="20">
        <f>A45+1</f>
        <v>3</v>
      </c>
      <c r="B46" s="27" t="s">
        <v>80</v>
      </c>
      <c r="C46" s="66">
        <v>1</v>
      </c>
      <c r="D46" s="463" t="s">
        <v>496</v>
      </c>
      <c r="E46" s="464"/>
      <c r="F46" s="28" t="s">
        <v>121</v>
      </c>
      <c r="G46" s="29">
        <f>D12/10</f>
        <v>1500</v>
      </c>
      <c r="H46" s="172">
        <v>42597</v>
      </c>
      <c r="I46" s="172">
        <f>I45</f>
        <v>42600</v>
      </c>
      <c r="J46" s="185">
        <f t="shared" si="55"/>
        <v>3</v>
      </c>
      <c r="K46" s="170">
        <f>G46/J46</f>
        <v>500</v>
      </c>
      <c r="L46" s="33">
        <f t="shared" si="56"/>
        <v>3</v>
      </c>
      <c r="M46" s="34">
        <v>1</v>
      </c>
      <c r="N46" s="34"/>
      <c r="O46" s="35">
        <f t="shared" si="57"/>
        <v>21</v>
      </c>
      <c r="P46" s="35">
        <f t="shared" si="58"/>
        <v>0</v>
      </c>
      <c r="Q46" s="34">
        <v>5</v>
      </c>
      <c r="R46" s="83">
        <f>'Исходные данные'!$G$21</f>
        <v>197.57121135326915</v>
      </c>
      <c r="S46" s="34"/>
      <c r="T46" s="33"/>
      <c r="U46" s="130">
        <f>O46*R46*'Исходные данные'!$C$37%</f>
        <v>0</v>
      </c>
      <c r="V46" s="130">
        <f>P46*T46*'Исходные данные'!$C$38%</f>
        <v>0</v>
      </c>
      <c r="W46" s="130">
        <f t="shared" si="59"/>
        <v>0</v>
      </c>
      <c r="X46" s="131">
        <f t="shared" si="60"/>
        <v>0</v>
      </c>
      <c r="Y46" s="130">
        <f t="shared" si="61"/>
        <v>414.89954384186524</v>
      </c>
      <c r="Z46" s="131">
        <f t="shared" si="62"/>
        <v>0</v>
      </c>
      <c r="AA46" s="130">
        <f t="shared" si="63"/>
        <v>0</v>
      </c>
      <c r="AB46" s="131">
        <f t="shared" si="64"/>
        <v>0</v>
      </c>
      <c r="AC46" s="129">
        <v>2.5</v>
      </c>
      <c r="AD46" s="130">
        <f t="shared" si="65"/>
        <v>11409.737455651293</v>
      </c>
      <c r="AE46" s="130">
        <f t="shared" si="66"/>
        <v>0</v>
      </c>
      <c r="AF46" s="35">
        <f ca="1">AD46*$AF$17</f>
        <v>1704.9032979708829</v>
      </c>
      <c r="AG46" s="73"/>
      <c r="AH46" s="35">
        <f ca="1">AD46+AF46</f>
        <v>13114.640753622176</v>
      </c>
      <c r="AI46" s="35"/>
      <c r="AJ46" s="35">
        <f ca="1">AH46*$AJ$17</f>
        <v>3934.3922260866525</v>
      </c>
      <c r="AK46" s="73"/>
      <c r="AL46" s="35">
        <f ca="1">AH46+AJ46</f>
        <v>17049.032979708827</v>
      </c>
      <c r="AM46" s="73"/>
      <c r="AN46" s="171">
        <v>10</v>
      </c>
      <c r="AO46" s="33">
        <f>'Исходные данные'!$C$53</f>
        <v>0.84</v>
      </c>
      <c r="AP46" s="79">
        <f>(G46*AN46)*AO46/100</f>
        <v>126</v>
      </c>
      <c r="AQ46" s="33" t="s">
        <v>155</v>
      </c>
      <c r="AR46" s="83" t="e">
        <f>'Исходные данные'!#REF!</f>
        <v>#REF!</v>
      </c>
      <c r="AS46" s="36" t="e">
        <f>AP46*AR46</f>
        <v>#REF!</v>
      </c>
      <c r="AT46" s="32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>
        <f>аморт!$G$8</f>
        <v>75.11864416666667</v>
      </c>
      <c r="BJ46" s="36">
        <f>BI46*L46</f>
        <v>225.35593249999999</v>
      </c>
      <c r="BK46" s="36">
        <f>аморт!$G$36</f>
        <v>294.73684210526318</v>
      </c>
      <c r="BL46" s="36">
        <f>BK46*L46</f>
        <v>884.21052631578959</v>
      </c>
      <c r="BM46" s="36">
        <f>(2596950)*6.7%</f>
        <v>173995.65000000002</v>
      </c>
      <c r="BN46" s="38">
        <v>111.7</v>
      </c>
      <c r="BO46" s="36">
        <f>BN46*BY46</f>
        <v>2412.7200000000003</v>
      </c>
      <c r="BP46" s="38">
        <v>12.5</v>
      </c>
      <c r="BQ46" s="36">
        <f>BP46*BY46</f>
        <v>270</v>
      </c>
      <c r="BR46" s="36"/>
      <c r="BS46" s="36">
        <f>BR46*BY46</f>
        <v>0</v>
      </c>
      <c r="BT46" s="36"/>
      <c r="BU46" s="36" t="e">
        <f t="shared" ca="1" si="67"/>
        <v>#REF!</v>
      </c>
      <c r="BV46" s="36" t="e">
        <f t="shared" ca="1" si="68"/>
        <v>#REF!</v>
      </c>
      <c r="BW46" s="38">
        <f t="shared" si="69"/>
        <v>0.21</v>
      </c>
      <c r="BX46" s="38">
        <v>7.2</v>
      </c>
      <c r="BY46" s="39">
        <f>BX46*L46</f>
        <v>21.6</v>
      </c>
    </row>
    <row r="47" spans="1:77" ht="33.75" x14ac:dyDescent="0.2">
      <c r="A47" s="20">
        <f>A46+1</f>
        <v>4</v>
      </c>
      <c r="B47" s="27" t="s">
        <v>81</v>
      </c>
      <c r="C47" s="66"/>
      <c r="D47" s="463" t="s">
        <v>120</v>
      </c>
      <c r="E47" s="464"/>
      <c r="F47" s="28" t="s">
        <v>121</v>
      </c>
      <c r="G47" s="38">
        <f>BC47</f>
        <v>3</v>
      </c>
      <c r="H47" s="173">
        <v>42597</v>
      </c>
      <c r="I47" s="172">
        <f>I46</f>
        <v>42600</v>
      </c>
      <c r="J47" s="185">
        <f t="shared" si="55"/>
        <v>3</v>
      </c>
      <c r="K47" s="170">
        <v>2</v>
      </c>
      <c r="L47" s="33">
        <f t="shared" si="56"/>
        <v>1.5</v>
      </c>
      <c r="M47" s="34"/>
      <c r="N47" s="34">
        <v>1</v>
      </c>
      <c r="O47" s="35">
        <f t="shared" si="57"/>
        <v>0</v>
      </c>
      <c r="P47" s="35">
        <f t="shared" si="58"/>
        <v>10.5</v>
      </c>
      <c r="Q47" s="34"/>
      <c r="R47" s="33"/>
      <c r="S47" s="34">
        <v>2</v>
      </c>
      <c r="T47" s="83">
        <f ca="1">IF(AND(N47&gt;0,P47&gt;0),SUMIF('Исходные данные'!$C$13:$J$29,S47,'Исходные данные'!$C$33:$J$39),IF(N47=0,0,IF(S47=0,"РОТ")))</f>
        <v>105.700598073999</v>
      </c>
      <c r="U47" s="130">
        <f>O47*R47*'Исходные данные'!$C$37%</f>
        <v>0</v>
      </c>
      <c r="V47" s="130">
        <f ca="1">P47*T47*'Исходные данные'!$C$38%</f>
        <v>0</v>
      </c>
      <c r="W47" s="130">
        <f t="shared" si="59"/>
        <v>0</v>
      </c>
      <c r="X47" s="131">
        <f t="shared" ca="1" si="60"/>
        <v>0</v>
      </c>
      <c r="Y47" s="130">
        <f t="shared" si="61"/>
        <v>0</v>
      </c>
      <c r="Z47" s="131">
        <f t="shared" ca="1" si="62"/>
        <v>55.492813988849484</v>
      </c>
      <c r="AA47" s="130">
        <f t="shared" si="63"/>
        <v>0</v>
      </c>
      <c r="AB47" s="131">
        <f t="shared" ca="1" si="64"/>
        <v>0</v>
      </c>
      <c r="AC47" s="129">
        <v>2.5</v>
      </c>
      <c r="AD47" s="130">
        <f t="shared" si="65"/>
        <v>0</v>
      </c>
      <c r="AE47" s="130">
        <f t="shared" ca="1" si="66"/>
        <v>2913.3727344145977</v>
      </c>
      <c r="AF47" s="35"/>
      <c r="AG47" s="73">
        <f ca="1">AE47*$AF$17</f>
        <v>435.33155801597439</v>
      </c>
      <c r="AH47" s="35"/>
      <c r="AI47" s="35">
        <f ca="1">AE47+AG47</f>
        <v>3348.704292430572</v>
      </c>
      <c r="AJ47" s="35"/>
      <c r="AK47" s="73">
        <f ca="1">AI47*$AJ$17</f>
        <v>1004.6112877291715</v>
      </c>
      <c r="AL47" s="35"/>
      <c r="AM47" s="73">
        <f ca="1">AK47+AI47</f>
        <v>4353.3155801597431</v>
      </c>
      <c r="AN47" s="33"/>
      <c r="AO47" s="32"/>
      <c r="AP47" s="36"/>
      <c r="AQ47" s="37"/>
      <c r="AR47" s="37"/>
      <c r="AS47" s="36"/>
      <c r="AT47" s="32"/>
      <c r="AU47" s="36"/>
      <c r="AV47" s="36"/>
      <c r="AW47" s="36"/>
      <c r="AX47" s="36"/>
      <c r="AY47" s="36"/>
      <c r="AZ47" s="36"/>
      <c r="BA47" s="36"/>
      <c r="BB47" s="36">
        <v>2</v>
      </c>
      <c r="BC47" s="38">
        <f>BB47*D12/10/1000</f>
        <v>3</v>
      </c>
      <c r="BD47" s="113">
        <v>12.5</v>
      </c>
      <c r="BE47" s="36">
        <f>BC47*BD47*1000</f>
        <v>37500</v>
      </c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>
        <f t="shared" ca="1" si="67"/>
        <v>41853.315580159746</v>
      </c>
      <c r="BV47" s="36">
        <f t="shared" ca="1" si="68"/>
        <v>418.53315580159745</v>
      </c>
      <c r="BW47" s="38">
        <f t="shared" si="69"/>
        <v>0.105</v>
      </c>
      <c r="BX47" s="38"/>
      <c r="BY47" s="39"/>
    </row>
    <row r="48" spans="1:77" ht="22.5" x14ac:dyDescent="0.2">
      <c r="A48" s="20">
        <v>5</v>
      </c>
      <c r="B48" s="27" t="s">
        <v>82</v>
      </c>
      <c r="C48" s="66"/>
      <c r="D48" s="463" t="s">
        <v>120</v>
      </c>
      <c r="E48" s="464"/>
      <c r="F48" s="28" t="s">
        <v>125</v>
      </c>
      <c r="G48" s="66">
        <f>D10*D9*2</f>
        <v>1000</v>
      </c>
      <c r="H48" s="173">
        <v>42597</v>
      </c>
      <c r="I48" s="172">
        <f>I47</f>
        <v>42600</v>
      </c>
      <c r="J48" s="185">
        <f t="shared" si="55"/>
        <v>3</v>
      </c>
      <c r="K48" s="170">
        <f>G48/J48</f>
        <v>333.33333333333331</v>
      </c>
      <c r="L48" s="33">
        <f t="shared" si="56"/>
        <v>3</v>
      </c>
      <c r="M48" s="34"/>
      <c r="N48" s="34">
        <v>1</v>
      </c>
      <c r="O48" s="35">
        <f t="shared" si="57"/>
        <v>0</v>
      </c>
      <c r="P48" s="35">
        <f t="shared" si="58"/>
        <v>21</v>
      </c>
      <c r="Q48" s="34"/>
      <c r="R48" s="33"/>
      <c r="S48" s="34">
        <v>2</v>
      </c>
      <c r="T48" s="83">
        <f ca="1">IF(AND(N48&gt;0,P48&gt;0),SUMIF('Исходные данные'!$C$13:$J$29,S48,'Исходные данные'!$C$33:$J$39),IF(N48=0,0,IF(S48=0,"РОТ")))</f>
        <v>105.700598073999</v>
      </c>
      <c r="U48" s="130">
        <f>O48*R48*'Исходные данные'!$C$37%</f>
        <v>0</v>
      </c>
      <c r="V48" s="130">
        <f ca="1">P48*T48*'Исходные данные'!$C$38%</f>
        <v>0</v>
      </c>
      <c r="W48" s="130">
        <f t="shared" si="59"/>
        <v>0</v>
      </c>
      <c r="X48" s="131">
        <f t="shared" ca="1" si="60"/>
        <v>0</v>
      </c>
      <c r="Y48" s="130">
        <f t="shared" si="61"/>
        <v>0</v>
      </c>
      <c r="Z48" s="131">
        <f t="shared" ca="1" si="62"/>
        <v>110.98562797769897</v>
      </c>
      <c r="AA48" s="130">
        <f t="shared" si="63"/>
        <v>0</v>
      </c>
      <c r="AB48" s="131">
        <f t="shared" ca="1" si="64"/>
        <v>0</v>
      </c>
      <c r="AC48" s="129">
        <v>2.5</v>
      </c>
      <c r="AD48" s="130">
        <f t="shared" si="65"/>
        <v>0</v>
      </c>
      <c r="AE48" s="130">
        <f t="shared" ca="1" si="66"/>
        <v>5826.7454688291955</v>
      </c>
      <c r="AF48" s="35"/>
      <c r="AG48" s="73">
        <f ca="1">AE48*$AF$17</f>
        <v>870.66311603194879</v>
      </c>
      <c r="AH48" s="35"/>
      <c r="AI48" s="35">
        <f ca="1">AE48+AG48</f>
        <v>6697.4085848611439</v>
      </c>
      <c r="AJ48" s="35"/>
      <c r="AK48" s="73">
        <f ca="1">AI48*$AJ$17</f>
        <v>2009.222575458343</v>
      </c>
      <c r="AL48" s="35"/>
      <c r="AM48" s="73">
        <f ca="1">AK48+AI48</f>
        <v>8706.6311603194863</v>
      </c>
      <c r="AN48" s="32"/>
      <c r="AO48" s="32"/>
      <c r="AP48" s="36"/>
      <c r="AQ48" s="37"/>
      <c r="AR48" s="37"/>
      <c r="AS48" s="36"/>
      <c r="AT48" s="32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>
        <f>G48*1.13</f>
        <v>1130</v>
      </c>
      <c r="BG48" s="38"/>
      <c r="BH48" s="36">
        <f>BF48*BG48</f>
        <v>0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>
        <f t="shared" ca="1" si="67"/>
        <v>8706.6311603194863</v>
      </c>
      <c r="BV48" s="36">
        <f t="shared" ca="1" si="68"/>
        <v>87.066311603194862</v>
      </c>
      <c r="BW48" s="38">
        <f t="shared" si="69"/>
        <v>0.21</v>
      </c>
      <c r="BX48" s="38"/>
      <c r="BY48" s="39"/>
    </row>
    <row r="49" spans="1:77" ht="22.5" x14ac:dyDescent="0.2">
      <c r="A49" s="20">
        <v>6</v>
      </c>
      <c r="B49" s="27" t="s">
        <v>83</v>
      </c>
      <c r="C49" s="66"/>
      <c r="D49" s="463" t="s">
        <v>120</v>
      </c>
      <c r="E49" s="464"/>
      <c r="F49" s="28" t="s">
        <v>125</v>
      </c>
      <c r="G49" s="66">
        <f>G48</f>
        <v>1000</v>
      </c>
      <c r="H49" s="173">
        <v>42597</v>
      </c>
      <c r="I49" s="172">
        <f>I48</f>
        <v>42600</v>
      </c>
      <c r="J49" s="185">
        <f t="shared" si="55"/>
        <v>3</v>
      </c>
      <c r="K49" s="170">
        <f>G49/J49</f>
        <v>333.33333333333331</v>
      </c>
      <c r="L49" s="33">
        <f t="shared" si="56"/>
        <v>3</v>
      </c>
      <c r="M49" s="34"/>
      <c r="N49" s="34">
        <v>1</v>
      </c>
      <c r="O49" s="35">
        <f t="shared" si="57"/>
        <v>0</v>
      </c>
      <c r="P49" s="35">
        <f t="shared" si="58"/>
        <v>21</v>
      </c>
      <c r="Q49" s="34"/>
      <c r="R49" s="33"/>
      <c r="S49" s="34">
        <v>2</v>
      </c>
      <c r="T49" s="83">
        <f ca="1">IF(AND(N49&gt;0,P49&gt;0),SUMIF('Исходные данные'!$C$13:$J$29,S49,'Исходные данные'!$C$33:$J$39),IF(N49=0,0,IF(S49=0,"РОТ")))</f>
        <v>105.700598073999</v>
      </c>
      <c r="U49" s="130">
        <f>O49*R49*'Исходные данные'!$C$37%</f>
        <v>0</v>
      </c>
      <c r="V49" s="130">
        <f ca="1">P49*T49*'Исходные данные'!$C$38%</f>
        <v>0</v>
      </c>
      <c r="W49" s="130">
        <f t="shared" si="59"/>
        <v>0</v>
      </c>
      <c r="X49" s="131">
        <f t="shared" ca="1" si="60"/>
        <v>0</v>
      </c>
      <c r="Y49" s="130">
        <f t="shared" si="61"/>
        <v>0</v>
      </c>
      <c r="Z49" s="131">
        <f t="shared" ca="1" si="62"/>
        <v>110.98562797769897</v>
      </c>
      <c r="AA49" s="130">
        <f t="shared" si="63"/>
        <v>0</v>
      </c>
      <c r="AB49" s="131">
        <f t="shared" ca="1" si="64"/>
        <v>0</v>
      </c>
      <c r="AC49" s="129">
        <v>2.5</v>
      </c>
      <c r="AD49" s="130">
        <f t="shared" si="65"/>
        <v>0</v>
      </c>
      <c r="AE49" s="130">
        <f t="shared" ca="1" si="66"/>
        <v>5826.7454688291955</v>
      </c>
      <c r="AF49" s="35"/>
      <c r="AG49" s="73">
        <f ca="1">AE49*$AF$17</f>
        <v>870.66311603194879</v>
      </c>
      <c r="AH49" s="35"/>
      <c r="AI49" s="35">
        <f ca="1">AE49+AG49</f>
        <v>6697.4085848611439</v>
      </c>
      <c r="AJ49" s="35"/>
      <c r="AK49" s="73">
        <f ca="1">AI49*$AJ$17</f>
        <v>2009.222575458343</v>
      </c>
      <c r="AL49" s="35"/>
      <c r="AM49" s="73">
        <f ca="1">AK49+AI49</f>
        <v>8706.6311603194863</v>
      </c>
      <c r="AN49" s="32"/>
      <c r="AO49" s="32"/>
      <c r="AP49" s="36"/>
      <c r="AQ49" s="37"/>
      <c r="AR49" s="37"/>
      <c r="AS49" s="36"/>
      <c r="AT49" s="32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>
        <f t="shared" ca="1" si="67"/>
        <v>8706.6311603194863</v>
      </c>
      <c r="BV49" s="36">
        <f t="shared" ca="1" si="68"/>
        <v>87.066311603194862</v>
      </c>
      <c r="BW49" s="38">
        <f t="shared" si="69"/>
        <v>0.21</v>
      </c>
      <c r="BX49" s="38"/>
      <c r="BY49" s="39"/>
    </row>
    <row r="50" spans="1:77" s="54" customFormat="1" x14ac:dyDescent="0.2">
      <c r="A50" s="52"/>
      <c r="B50" s="53" t="s">
        <v>22</v>
      </c>
      <c r="C50" s="56"/>
      <c r="D50" s="56"/>
      <c r="E50" s="56"/>
      <c r="F50" s="55"/>
      <c r="G50" s="56"/>
      <c r="H50" s="56"/>
      <c r="I50" s="56"/>
      <c r="J50" s="65">
        <f>SUM(J44:J49)</f>
        <v>18</v>
      </c>
      <c r="K50" s="65"/>
      <c r="L50" s="65">
        <f t="shared" ref="L50:BQ50" si="70">SUM(L44:L49)</f>
        <v>31.75</v>
      </c>
      <c r="M50" s="65">
        <f t="shared" si="70"/>
        <v>3</v>
      </c>
      <c r="N50" s="65">
        <f t="shared" si="70"/>
        <v>3</v>
      </c>
      <c r="O50" s="65">
        <f t="shared" si="70"/>
        <v>169.75</v>
      </c>
      <c r="P50" s="65">
        <f t="shared" si="70"/>
        <v>52.5</v>
      </c>
      <c r="Q50" s="65"/>
      <c r="R50" s="65"/>
      <c r="S50" s="65"/>
      <c r="T50" s="65"/>
      <c r="U50" s="65">
        <f t="shared" ca="1" si="70"/>
        <v>0</v>
      </c>
      <c r="V50" s="65">
        <f t="shared" ca="1" si="70"/>
        <v>0</v>
      </c>
      <c r="W50" s="65">
        <f t="shared" ca="1" si="70"/>
        <v>0</v>
      </c>
      <c r="X50" s="65">
        <f t="shared" ca="1" si="70"/>
        <v>0</v>
      </c>
      <c r="Y50" s="65">
        <f t="shared" ca="1" si="70"/>
        <v>3281.1638925494176</v>
      </c>
      <c r="Z50" s="65">
        <f t="shared" ca="1" si="70"/>
        <v>277.4640699442474</v>
      </c>
      <c r="AA50" s="65">
        <f t="shared" ca="1" si="70"/>
        <v>0</v>
      </c>
      <c r="AB50" s="65">
        <f t="shared" ca="1" si="70"/>
        <v>0</v>
      </c>
      <c r="AC50" s="65"/>
      <c r="AD50" s="65">
        <f t="shared" ca="1" si="70"/>
        <v>90232.007045108985</v>
      </c>
      <c r="AE50" s="65">
        <f t="shared" ca="1" si="70"/>
        <v>14566.863672072988</v>
      </c>
      <c r="AF50" s="65">
        <f t="shared" ca="1" si="70"/>
        <v>13482.943581453066</v>
      </c>
      <c r="AG50" s="65">
        <f t="shared" ca="1" si="70"/>
        <v>2176.657790079872</v>
      </c>
      <c r="AH50" s="65">
        <f t="shared" ca="1" si="70"/>
        <v>103714.95062656206</v>
      </c>
      <c r="AI50" s="65">
        <f t="shared" ca="1" si="70"/>
        <v>16743.521462152861</v>
      </c>
      <c r="AJ50" s="65">
        <f t="shared" ca="1" si="70"/>
        <v>31114.485187968618</v>
      </c>
      <c r="AK50" s="65">
        <f t="shared" ca="1" si="70"/>
        <v>5023.0564386458573</v>
      </c>
      <c r="AL50" s="65">
        <f t="shared" ca="1" si="70"/>
        <v>134829.43581453068</v>
      </c>
      <c r="AM50" s="65">
        <f t="shared" ca="1" si="70"/>
        <v>21766.577900798715</v>
      </c>
      <c r="AN50" s="65"/>
      <c r="AO50" s="65"/>
      <c r="AP50" s="65">
        <f t="shared" si="70"/>
        <v>293.858</v>
      </c>
      <c r="AQ50" s="65"/>
      <c r="AR50" s="65"/>
      <c r="AS50" s="65" t="e">
        <f t="shared" si="70"/>
        <v>#REF!</v>
      </c>
      <c r="AT50" s="65"/>
      <c r="AU50" s="65">
        <f t="shared" si="70"/>
        <v>0</v>
      </c>
      <c r="AV50" s="65"/>
      <c r="AW50" s="65">
        <f t="shared" si="70"/>
        <v>0</v>
      </c>
      <c r="AX50" s="65"/>
      <c r="AY50" s="65">
        <f t="shared" si="70"/>
        <v>0</v>
      </c>
      <c r="AZ50" s="65"/>
      <c r="BA50" s="65">
        <f t="shared" si="70"/>
        <v>0</v>
      </c>
      <c r="BB50" s="65"/>
      <c r="BC50" s="65">
        <f t="shared" si="70"/>
        <v>3</v>
      </c>
      <c r="BD50" s="65"/>
      <c r="BE50" s="65">
        <f t="shared" si="70"/>
        <v>37500</v>
      </c>
      <c r="BF50" s="65">
        <f>SUM(BF44:BF49)</f>
        <v>1130</v>
      </c>
      <c r="BG50" s="65"/>
      <c r="BH50" s="65">
        <f>SUM(BH44:BH49)</f>
        <v>0</v>
      </c>
      <c r="BI50" s="65"/>
      <c r="BJ50" s="65">
        <f t="shared" si="70"/>
        <v>4091.0099129469272</v>
      </c>
      <c r="BK50" s="65"/>
      <c r="BL50" s="65">
        <f t="shared" si="70"/>
        <v>1896.8611096491229</v>
      </c>
      <c r="BM50" s="65">
        <f t="shared" si="70"/>
        <v>173995.65000000002</v>
      </c>
      <c r="BN50" s="65"/>
      <c r="BO50" s="65">
        <f t="shared" si="70"/>
        <v>11342.82</v>
      </c>
      <c r="BP50" s="65"/>
      <c r="BQ50" s="65">
        <f t="shared" si="70"/>
        <v>1776.4124999999999</v>
      </c>
      <c r="BR50" s="65"/>
      <c r="BS50" s="65">
        <f t="shared" ref="BS50:BY50" si="71">SUM(BS44:BS49)</f>
        <v>572.963886</v>
      </c>
      <c r="BT50" s="65">
        <f t="shared" si="71"/>
        <v>151460.90225000001</v>
      </c>
      <c r="BU50" s="65" t="e">
        <f t="shared" ca="1" si="71"/>
        <v>#REF!</v>
      </c>
      <c r="BV50" s="65"/>
      <c r="BW50" s="65"/>
      <c r="BX50" s="65"/>
      <c r="BY50" s="65">
        <f t="shared" si="71"/>
        <v>129.97499999999999</v>
      </c>
    </row>
    <row r="51" spans="1:77" s="51" customFormat="1" x14ac:dyDescent="0.2">
      <c r="A51" s="48"/>
      <c r="B51" s="58" t="s">
        <v>30</v>
      </c>
      <c r="C51" s="50"/>
      <c r="D51" s="50"/>
      <c r="E51" s="50"/>
      <c r="F51" s="49"/>
      <c r="G51" s="50"/>
      <c r="H51" s="50"/>
      <c r="I51" s="50"/>
      <c r="J51" s="78">
        <f>J34+J42+J50</f>
        <v>93</v>
      </c>
      <c r="K51" s="78"/>
      <c r="L51" s="78">
        <f>L34+L42+L50</f>
        <v>131.10971926083866</v>
      </c>
      <c r="M51" s="78">
        <f>M34+M42+M50</f>
        <v>14</v>
      </c>
      <c r="N51" s="78">
        <f>N34+N42+N50</f>
        <v>13</v>
      </c>
      <c r="O51" s="78">
        <f>O34+O42+O50</f>
        <v>592.2680348258707</v>
      </c>
      <c r="P51" s="78">
        <f>P34+P42+P50</f>
        <v>464.55970149253733</v>
      </c>
      <c r="Q51" s="78"/>
      <c r="R51" s="78"/>
      <c r="S51" s="78"/>
      <c r="T51" s="78"/>
      <c r="U51" s="78">
        <f t="shared" ref="U51:AM51" ca="1" si="72">U34+U42+U50</f>
        <v>0</v>
      </c>
      <c r="V51" s="78">
        <f t="shared" ca="1" si="72"/>
        <v>0</v>
      </c>
      <c r="W51" s="78">
        <f t="shared" ca="1" si="72"/>
        <v>0</v>
      </c>
      <c r="X51" s="78">
        <f t="shared" ca="1" si="72"/>
        <v>0</v>
      </c>
      <c r="Y51" s="78">
        <f t="shared" ca="1" si="72"/>
        <v>10504.501497651127</v>
      </c>
      <c r="Z51" s="78">
        <f t="shared" ca="1" si="72"/>
        <v>2680.2949169761937</v>
      </c>
      <c r="AA51" s="78">
        <f t="shared" ca="1" si="72"/>
        <v>0</v>
      </c>
      <c r="AB51" s="78">
        <f t="shared" ca="1" si="72"/>
        <v>0</v>
      </c>
      <c r="AC51" s="78"/>
      <c r="AD51" s="78">
        <f t="shared" ca="1" si="72"/>
        <v>361896.11090157431</v>
      </c>
      <c r="AE51" s="78">
        <f t="shared" ca="1" si="72"/>
        <v>173780.90228772763</v>
      </c>
      <c r="AF51" s="78">
        <f t="shared" ca="1" si="72"/>
        <v>54076.430364603053</v>
      </c>
      <c r="AG51" s="78">
        <f t="shared" ca="1" si="72"/>
        <v>25967.261261384585</v>
      </c>
      <c r="AH51" s="78">
        <f t="shared" ca="1" si="72"/>
        <v>415972.54126617737</v>
      </c>
      <c r="AI51" s="78">
        <f t="shared" ca="1" si="72"/>
        <v>199748.16354911219</v>
      </c>
      <c r="AJ51" s="78">
        <f t="shared" ca="1" si="72"/>
        <v>124791.7623798532</v>
      </c>
      <c r="AK51" s="78">
        <f t="shared" ca="1" si="72"/>
        <v>59924.44906473365</v>
      </c>
      <c r="AL51" s="78">
        <f t="shared" ca="1" si="72"/>
        <v>540764.3036460306</v>
      </c>
      <c r="AM51" s="78">
        <f t="shared" ca="1" si="72"/>
        <v>259672.61261384585</v>
      </c>
      <c r="AN51" s="78"/>
      <c r="AO51" s="78"/>
      <c r="AP51" s="78">
        <f>AP34+AP42+AP50</f>
        <v>441.234512</v>
      </c>
      <c r="AQ51" s="78"/>
      <c r="AR51" s="78"/>
      <c r="AS51" s="78" t="e">
        <f>AS34+AS42+AS50</f>
        <v>#REF!</v>
      </c>
      <c r="AT51" s="78"/>
      <c r="AU51" s="78">
        <f>AU34+AU42+AU50</f>
        <v>3</v>
      </c>
      <c r="AV51" s="78"/>
      <c r="AW51" s="78">
        <f>AW34+AW42+AW50</f>
        <v>60000</v>
      </c>
      <c r="AX51" s="78"/>
      <c r="AY51" s="78">
        <f>AY34+AY42+AY50</f>
        <v>50</v>
      </c>
      <c r="AZ51" s="78"/>
      <c r="BA51" s="78" t="e">
        <f>BA34+BA42+BA50</f>
        <v>#REF!</v>
      </c>
      <c r="BB51" s="78"/>
      <c r="BC51" s="78">
        <f>BC34+BC42+BC50</f>
        <v>3</v>
      </c>
      <c r="BD51" s="78"/>
      <c r="BE51" s="78">
        <f>BE34+BE42+BE50</f>
        <v>37500</v>
      </c>
      <c r="BF51" s="78">
        <f>BF34+BF42+BF50</f>
        <v>1130</v>
      </c>
      <c r="BG51" s="78"/>
      <c r="BH51" s="78">
        <f>BH34+BH42+BH50</f>
        <v>0</v>
      </c>
      <c r="BI51" s="78"/>
      <c r="BJ51" s="78">
        <f>BJ34+BJ42+BJ50</f>
        <v>9752.7630524502019</v>
      </c>
      <c r="BK51" s="78"/>
      <c r="BL51" s="78">
        <f>BL34+BL42+BL50</f>
        <v>7148.427569779552</v>
      </c>
      <c r="BM51" s="78">
        <f>BM34+BM42+BM50</f>
        <v>173995.65000000002</v>
      </c>
      <c r="BN51" s="78"/>
      <c r="BO51" s="78">
        <f>BO34+BO42+BO50</f>
        <v>51673.087707889128</v>
      </c>
      <c r="BP51" s="78"/>
      <c r="BQ51" s="78">
        <f>BQ34+BQ42+BQ50</f>
        <v>6661.4392484008531</v>
      </c>
      <c r="BR51" s="78"/>
      <c r="BS51" s="78">
        <f>BS34+BS42+BS50</f>
        <v>2441.0515529679105</v>
      </c>
      <c r="BT51" s="78">
        <f>BT34+BT42+BT50</f>
        <v>516876.29372920399</v>
      </c>
      <c r="BU51" s="78" t="e">
        <f ca="1">BU34+BU42+BU50</f>
        <v>#REF!</v>
      </c>
      <c r="BV51" s="78"/>
      <c r="BW51" s="78"/>
      <c r="BX51" s="78"/>
      <c r="BY51" s="78">
        <f>BY34+BY42+BY50</f>
        <v>558.67563965884858</v>
      </c>
    </row>
  </sheetData>
  <mergeCells count="128">
    <mergeCell ref="A15:A19"/>
    <mergeCell ref="B15:E16"/>
    <mergeCell ref="F15:F19"/>
    <mergeCell ref="G15:G19"/>
    <mergeCell ref="H15:I16"/>
    <mergeCell ref="J15:J19"/>
    <mergeCell ref="B17:B19"/>
    <mergeCell ref="C17:E17"/>
    <mergeCell ref="H17:H19"/>
    <mergeCell ref="I17:I19"/>
    <mergeCell ref="C18:C19"/>
    <mergeCell ref="D18:D19"/>
    <mergeCell ref="E18:E19"/>
    <mergeCell ref="Q15:T16"/>
    <mergeCell ref="U15:V16"/>
    <mergeCell ref="M17:M19"/>
    <mergeCell ref="N17:N19"/>
    <mergeCell ref="O17:P17"/>
    <mergeCell ref="Q17:R17"/>
    <mergeCell ref="S17:T17"/>
    <mergeCell ref="U17:U19"/>
    <mergeCell ref="V17:V19"/>
    <mergeCell ref="R18:R19"/>
    <mergeCell ref="O15:P16"/>
    <mergeCell ref="O18:O19"/>
    <mergeCell ref="P18:P19"/>
    <mergeCell ref="Q18:Q19"/>
    <mergeCell ref="W15:X16"/>
    <mergeCell ref="Y15:Z16"/>
    <mergeCell ref="AA15:AB16"/>
    <mergeCell ref="AC15:AE16"/>
    <mergeCell ref="AF15:AG16"/>
    <mergeCell ref="AH15:AI16"/>
    <mergeCell ref="AJ15:AK16"/>
    <mergeCell ref="AL15:AM16"/>
    <mergeCell ref="AN15:AS16"/>
    <mergeCell ref="AT15:AW16"/>
    <mergeCell ref="AX15:BA16"/>
    <mergeCell ref="BB15:BE16"/>
    <mergeCell ref="BF15:BH16"/>
    <mergeCell ref="BI15:BM16"/>
    <mergeCell ref="BN15:BT16"/>
    <mergeCell ref="BU15:BV16"/>
    <mergeCell ref="BW15:BW19"/>
    <mergeCell ref="BX15:BY16"/>
    <mergeCell ref="BK17:BL17"/>
    <mergeCell ref="BM17:BM19"/>
    <mergeCell ref="BN17:BO17"/>
    <mergeCell ref="BP17:BQ17"/>
    <mergeCell ref="BX17:BX19"/>
    <mergeCell ref="BY17:BY19"/>
    <mergeCell ref="BR18:BR19"/>
    <mergeCell ref="BS18:BS19"/>
    <mergeCell ref="BD17:BD19"/>
    <mergeCell ref="BE17:BE19"/>
    <mergeCell ref="BF17:BF19"/>
    <mergeCell ref="BG17:BG19"/>
    <mergeCell ref="BH17:BH19"/>
    <mergeCell ref="BI17:BJ17"/>
    <mergeCell ref="BR17:BS17"/>
    <mergeCell ref="W17:X17"/>
    <mergeCell ref="AA17:AB17"/>
    <mergeCell ref="AC17:AC19"/>
    <mergeCell ref="Z18:Z19"/>
    <mergeCell ref="AA18:AA19"/>
    <mergeCell ref="AB18:AB19"/>
    <mergeCell ref="Y18:Y19"/>
    <mergeCell ref="AD17:AD19"/>
    <mergeCell ref="AE17:AE19"/>
    <mergeCell ref="AF17:AG17"/>
    <mergeCell ref="AH17:AH19"/>
    <mergeCell ref="AI17:AI19"/>
    <mergeCell ref="AJ17:AK17"/>
    <mergeCell ref="AF18:AF19"/>
    <mergeCell ref="AG18:AG19"/>
    <mergeCell ref="AJ18:AJ19"/>
    <mergeCell ref="AK18:AK19"/>
    <mergeCell ref="AL17:AL19"/>
    <mergeCell ref="BT17:BT19"/>
    <mergeCell ref="BU17:BU19"/>
    <mergeCell ref="BV17:BV19"/>
    <mergeCell ref="BI18:BI19"/>
    <mergeCell ref="BJ18:BJ19"/>
    <mergeCell ref="AX17:AX19"/>
    <mergeCell ref="AY17:AY19"/>
    <mergeCell ref="AZ17:AZ19"/>
    <mergeCell ref="BK18:BK19"/>
    <mergeCell ref="BA17:BA19"/>
    <mergeCell ref="BB17:BB19"/>
    <mergeCell ref="BC17:BC19"/>
    <mergeCell ref="K15:K19"/>
    <mergeCell ref="L15:L19"/>
    <mergeCell ref="M15:N16"/>
    <mergeCell ref="BL18:BL19"/>
    <mergeCell ref="BN18:BN19"/>
    <mergeCell ref="BO18:BO19"/>
    <mergeCell ref="BP18:BP19"/>
    <mergeCell ref="BQ18:BQ19"/>
    <mergeCell ref="B20:E20"/>
    <mergeCell ref="S18:S19"/>
    <mergeCell ref="T18:T19"/>
    <mergeCell ref="W18:W19"/>
    <mergeCell ref="X18:X19"/>
    <mergeCell ref="AM17:AM19"/>
    <mergeCell ref="AN17:AN19"/>
    <mergeCell ref="AO17:AO19"/>
    <mergeCell ref="AP17:AP19"/>
    <mergeCell ref="AQ17:AQ19"/>
    <mergeCell ref="AR17:AR19"/>
    <mergeCell ref="AS17:AS19"/>
    <mergeCell ref="AT17:AT19"/>
    <mergeCell ref="AU17:AU19"/>
    <mergeCell ref="AV17:AV19"/>
    <mergeCell ref="AW17:AW19"/>
    <mergeCell ref="B21:E21"/>
    <mergeCell ref="D26:E26"/>
    <mergeCell ref="D28:E28"/>
    <mergeCell ref="D29:E29"/>
    <mergeCell ref="D31:E31"/>
    <mergeCell ref="D47:E47"/>
    <mergeCell ref="D48:E48"/>
    <mergeCell ref="D49:E49"/>
    <mergeCell ref="B35:E35"/>
    <mergeCell ref="D36:E36"/>
    <mergeCell ref="D38:E38"/>
    <mergeCell ref="D40:E40"/>
    <mergeCell ref="B43:E43"/>
    <mergeCell ref="D46:E46"/>
  </mergeCells>
  <conditionalFormatting sqref="AO47:AS49 AN48:AN49 AR26:AS26 AO26:AP26 AO28:AP29 AR28:AS29 AP27 AS27 AR31:AS31 AO31:AP31 AP30 AS30 AP32:AP33 AS32:AS33 AN35:AS35 T45:T46 AS25 AS22:BY24 G21:BY21 G50:BY51 R47:R49 G34:G35 G42:G43 K35 R35 O35:P35 K34:BY34 T33 S45:S49 U45:AM49 T25 S25:S33 T35:AE35 U25:AM33 AP22:AP25 Q22:Q33 L22:N33 S22:AM24 AS45:AS46 AT25:BY33 AP44:AP46 S44:AM44 AS44:BQ44 AT45:BQ49 BR44:BY49 L35:N41 Q35:Q41 S35:S41 U36:AE41 AF35:AM41 AP36:AP41 AS36:AS41 K42:BY43 AT35:BY41 Q44:Q49 L44:N49 H22:J49">
    <cfRule type="cellIs" dxfId="123" priority="47" stopIfTrue="1" operator="greaterThan">
      <formula>0</formula>
    </cfRule>
  </conditionalFormatting>
  <conditionalFormatting sqref="AN36:AN41 K22:K33 AN22:AN33 AN44:AN47 K36:K41 K44:K49">
    <cfRule type="cellIs" dxfId="122" priority="46" stopIfTrue="1" operator="greaterThan">
      <formula>0</formula>
    </cfRule>
  </conditionalFormatting>
  <conditionalFormatting sqref="E22:E25 E32:E33 E27 E30 E37:E41 E44:E45">
    <cfRule type="cellIs" dxfId="121" priority="45" stopIfTrue="1" operator="equal">
      <formula>0</formula>
    </cfRule>
  </conditionalFormatting>
  <conditionalFormatting sqref="O22:P33 O44:P49 O36:P41">
    <cfRule type="cellIs" dxfId="120" priority="44" stopIfTrue="1" operator="greaterThan">
      <formula>0</formula>
    </cfRule>
  </conditionalFormatting>
  <conditionalFormatting sqref="E32">
    <cfRule type="cellIs" dxfId="119" priority="43" stopIfTrue="1" operator="equal">
      <formula>0</formula>
    </cfRule>
  </conditionalFormatting>
  <conditionalFormatting sqref="E44">
    <cfRule type="cellIs" dxfId="118" priority="42" stopIfTrue="1" operator="equal">
      <formula>0</formula>
    </cfRule>
  </conditionalFormatting>
  <conditionalFormatting sqref="E44">
    <cfRule type="cellIs" dxfId="117" priority="41" stopIfTrue="1" operator="equal">
      <formula>0</formula>
    </cfRule>
  </conditionalFormatting>
  <conditionalFormatting sqref="E32">
    <cfRule type="cellIs" dxfId="116" priority="40" stopIfTrue="1" operator="equal">
      <formula>0</formula>
    </cfRule>
  </conditionalFormatting>
  <conditionalFormatting sqref="E44">
    <cfRule type="cellIs" dxfId="115" priority="39" stopIfTrue="1" operator="equal">
      <formula>0</formula>
    </cfRule>
  </conditionalFormatting>
  <conditionalFormatting sqref="E44">
    <cfRule type="cellIs" dxfId="114" priority="38" stopIfTrue="1" operator="equal">
      <formula>0</formula>
    </cfRule>
  </conditionalFormatting>
  <conditionalFormatting sqref="E44">
    <cfRule type="cellIs" dxfId="113" priority="37" stopIfTrue="1" operator="equal">
      <formula>0</formula>
    </cfRule>
  </conditionalFormatting>
  <conditionalFormatting sqref="E39">
    <cfRule type="cellIs" dxfId="112" priority="36" stopIfTrue="1" operator="equal">
      <formula>0</formula>
    </cfRule>
  </conditionalFormatting>
  <conditionalFormatting sqref="J36:J41">
    <cfRule type="cellIs" dxfId="111" priority="35" stopIfTrue="1" operator="greaterThan">
      <formula>0</formula>
    </cfRule>
  </conditionalFormatting>
  <conditionalFormatting sqref="L36:L39">
    <cfRule type="cellIs" dxfId="110" priority="34" stopIfTrue="1" operator="greaterThan">
      <formula>0</formula>
    </cfRule>
  </conditionalFormatting>
  <conditionalFormatting sqref="H38:I39">
    <cfRule type="cellIs" dxfId="109" priority="33" stopIfTrue="1" operator="greaterThan">
      <formula>0</formula>
    </cfRule>
  </conditionalFormatting>
  <conditionalFormatting sqref="L40:L41">
    <cfRule type="cellIs" dxfId="108" priority="32" stopIfTrue="1" operator="greaterThan">
      <formula>0</formula>
    </cfRule>
  </conditionalFormatting>
  <conditionalFormatting sqref="E41">
    <cfRule type="cellIs" dxfId="107" priority="31" stopIfTrue="1" operator="equal">
      <formula>0</formula>
    </cfRule>
  </conditionalFormatting>
  <conditionalFormatting sqref="H40:I41">
    <cfRule type="cellIs" dxfId="106" priority="30" stopIfTrue="1" operator="greaterThan">
      <formula>0</formula>
    </cfRule>
  </conditionalFormatting>
  <conditionalFormatting sqref="K36:K41">
    <cfRule type="cellIs" dxfId="105" priority="29" stopIfTrue="1" operator="greaterThan">
      <formula>0</formula>
    </cfRule>
  </conditionalFormatting>
  <conditionalFormatting sqref="H36:I37">
    <cfRule type="cellIs" dxfId="104" priority="28" stopIfTrue="1" operator="greaterThan">
      <formula>0</formula>
    </cfRule>
  </conditionalFormatting>
  <conditionalFormatting sqref="H22:I32">
    <cfRule type="cellIs" dxfId="103" priority="27" stopIfTrue="1" operator="greaterThan">
      <formula>0</formula>
    </cfRule>
  </conditionalFormatting>
  <conditionalFormatting sqref="E25">
    <cfRule type="cellIs" dxfId="102" priority="26" stopIfTrue="1" operator="equal">
      <formula>0</formula>
    </cfRule>
  </conditionalFormatting>
  <conditionalFormatting sqref="K32">
    <cfRule type="cellIs" dxfId="101" priority="25" stopIfTrue="1" operator="greaterThan">
      <formula>0</formula>
    </cfRule>
  </conditionalFormatting>
  <conditionalFormatting sqref="AT32">
    <cfRule type="cellIs" dxfId="100" priority="24" stopIfTrue="1" operator="greaterThan">
      <formula>0</formula>
    </cfRule>
  </conditionalFormatting>
  <conditionalFormatting sqref="K22">
    <cfRule type="cellIs" dxfId="99" priority="23" stopIfTrue="1" operator="greaterThan">
      <formula>0</formula>
    </cfRule>
  </conditionalFormatting>
  <conditionalFormatting sqref="K23:K24">
    <cfRule type="cellIs" dxfId="98" priority="22" stopIfTrue="1" operator="greaterThan">
      <formula>0</formula>
    </cfRule>
  </conditionalFormatting>
  <conditionalFormatting sqref="J22">
    <cfRule type="cellIs" dxfId="97" priority="21" stopIfTrue="1" operator="greaterThan">
      <formula>0</formula>
    </cfRule>
  </conditionalFormatting>
  <conditionalFormatting sqref="J23:J24">
    <cfRule type="cellIs" dxfId="96" priority="20" stopIfTrue="1" operator="greaterThan">
      <formula>0</formula>
    </cfRule>
  </conditionalFormatting>
  <conditionalFormatting sqref="J32">
    <cfRule type="cellIs" dxfId="95" priority="19" stopIfTrue="1" operator="greaterThan">
      <formula>0</formula>
    </cfRule>
  </conditionalFormatting>
  <conditionalFormatting sqref="H44:I49">
    <cfRule type="cellIs" dxfId="94" priority="18" stopIfTrue="1" operator="greaterThan">
      <formula>0</formula>
    </cfRule>
  </conditionalFormatting>
  <conditionalFormatting sqref="K44">
    <cfRule type="cellIs" dxfId="93" priority="17" stopIfTrue="1" operator="greaterThan">
      <formula>0</formula>
    </cfRule>
  </conditionalFormatting>
  <conditionalFormatting sqref="K45">
    <cfRule type="cellIs" dxfId="92" priority="16" stopIfTrue="1" operator="greaterThan">
      <formula>0</formula>
    </cfRule>
  </conditionalFormatting>
  <conditionalFormatting sqref="K46">
    <cfRule type="cellIs" dxfId="91" priority="15" stopIfTrue="1" operator="greaterThan">
      <formula>0</formula>
    </cfRule>
  </conditionalFormatting>
  <conditionalFormatting sqref="J44:J49">
    <cfRule type="cellIs" dxfId="90" priority="14" stopIfTrue="1" operator="greaterThan">
      <formula>0</formula>
    </cfRule>
  </conditionalFormatting>
  <conditionalFormatting sqref="K48:K49">
    <cfRule type="cellIs" dxfId="89" priority="13" stopIfTrue="1" operator="greaterThan">
      <formula>0</formula>
    </cfRule>
  </conditionalFormatting>
  <conditionalFormatting sqref="K23:K31">
    <cfRule type="cellIs" dxfId="88" priority="12" stopIfTrue="1" operator="greaterThan">
      <formula>0</formula>
    </cfRule>
  </conditionalFormatting>
  <conditionalFormatting sqref="J22:J32">
    <cfRule type="cellIs" dxfId="87" priority="11" stopIfTrue="1" operator="greaterThan">
      <formula>0</formula>
    </cfRule>
  </conditionalFormatting>
  <conditionalFormatting sqref="AN36:AN41">
    <cfRule type="cellIs" dxfId="86" priority="10" stopIfTrue="1" operator="greaterThan">
      <formula>0</formula>
    </cfRule>
  </conditionalFormatting>
  <conditionalFormatting sqref="AN22:AN32">
    <cfRule type="cellIs" dxfId="85" priority="9" stopIfTrue="1" operator="greaterThan">
      <formula>0</formula>
    </cfRule>
  </conditionalFormatting>
  <conditionalFormatting sqref="AN44">
    <cfRule type="cellIs" dxfId="84" priority="8" stopIfTrue="1" operator="greaterThan">
      <formula>0</formula>
    </cfRule>
  </conditionalFormatting>
  <conditionalFormatting sqref="AN46">
    <cfRule type="cellIs" dxfId="83" priority="7" stopIfTrue="1" operator="greaterThan">
      <formula>0</formula>
    </cfRule>
  </conditionalFormatting>
  <conditionalFormatting sqref="BD47">
    <cfRule type="cellIs" dxfId="82" priority="6" stopIfTrue="1" operator="greaterThan">
      <formula>0</formula>
    </cfRule>
  </conditionalFormatting>
  <conditionalFormatting sqref="AV32">
    <cfRule type="cellIs" dxfId="81" priority="5" stopIfTrue="1" operator="greaterThan">
      <formula>0</formula>
    </cfRule>
  </conditionalFormatting>
  <conditionalFormatting sqref="K47">
    <cfRule type="cellIs" dxfId="80" priority="4" stopIfTrue="1" operator="greaterThan">
      <formula>0</formula>
    </cfRule>
  </conditionalFormatting>
  <conditionalFormatting sqref="H32:I32">
    <cfRule type="cellIs" dxfId="79" priority="3" stopIfTrue="1" operator="greaterThan">
      <formula>0</formula>
    </cfRule>
  </conditionalFormatting>
  <conditionalFormatting sqref="AT32">
    <cfRule type="cellIs" dxfId="78" priority="2" stopIfTrue="1" operator="greaterThan">
      <formula>0</formula>
    </cfRule>
  </conditionalFormatting>
  <conditionalFormatting sqref="AV32">
    <cfRule type="cellIs" dxfId="77" priority="1" stopIfTrue="1" operator="greaterThan">
      <formula>0</formula>
    </cfRule>
  </conditionalFormatting>
  <dataValidations count="1">
    <dataValidation type="list" allowBlank="1" showInputMessage="1" showErrorMessage="1" sqref="AQ47:AR49">
      <formula1>#REF!</formula1>
    </dataValidation>
  </dataValidations>
  <pageMargins left="0.19685039370078741" right="0.19685039370078741" top="0.39370078740157483" bottom="0.27559055118110237" header="0.19685039370078741" footer="0.15748031496062992"/>
  <pageSetup paperSize="9" scale="54" fitToWidth="5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Z50"/>
  <sheetViews>
    <sheetView topLeftCell="A25" workbookViewId="0">
      <selection activeCell="A50" sqref="A50:I50"/>
    </sheetView>
  </sheetViews>
  <sheetFormatPr defaultColWidth="9.140625"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359</v>
      </c>
      <c r="B1" s="46"/>
      <c r="C1" s="46"/>
      <c r="D1" s="1" t="s">
        <v>506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58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сп кукур'!B4</f>
        <v>Культура: Кукуруза на силос (с поливом)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3"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3">
        <f>'силос сп кукур'!I6</f>
        <v>150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373</v>
      </c>
      <c r="B8" s="77">
        <f>B6*B7</f>
        <v>15000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374</v>
      </c>
      <c r="B9" s="122">
        <f>B8*0.75</f>
        <v>11250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 t="s">
        <v>436</v>
      </c>
      <c r="B11" s="86" t="s">
        <v>30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'силос сп кукур'!AL51+'силос сп кукур'!AM51</f>
        <v>800436.91625987645</v>
      </c>
      <c r="C12" s="91">
        <f t="shared" ref="C12:C32" ca="1" si="0">B12/$B$6</f>
        <v>8004.3691625987649</v>
      </c>
      <c r="D12" s="110" t="e">
        <f t="shared" ref="D12:D31" ca="1" si="1">B12/$B$32%</f>
        <v>#REF!</v>
      </c>
    </row>
    <row r="13" spans="1:78" s="92" customFormat="1" x14ac:dyDescent="0.2">
      <c r="A13" s="93" t="s">
        <v>353</v>
      </c>
      <c r="B13" s="91">
        <f>'силос сп кукур'!AW51</f>
        <v>60000</v>
      </c>
      <c r="C13" s="91">
        <f t="shared" si="0"/>
        <v>600</v>
      </c>
      <c r="D13" s="110" t="e">
        <f t="shared" ca="1" si="1"/>
        <v>#REF!</v>
      </c>
    </row>
    <row r="14" spans="1:78" s="92" customFormat="1" x14ac:dyDescent="0.2">
      <c r="A14" s="93" t="s">
        <v>354</v>
      </c>
      <c r="B14" s="91" t="e">
        <f>'силос сп кукур'!BA51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378</v>
      </c>
      <c r="B15" s="91">
        <f>'силос сп кукур'!BE51</f>
        <v>37500</v>
      </c>
      <c r="C15" s="91">
        <f t="shared" si="0"/>
        <v>375</v>
      </c>
      <c r="D15" s="110" t="e">
        <f t="shared" ca="1" si="1"/>
        <v>#REF!</v>
      </c>
    </row>
    <row r="16" spans="1:78" s="92" customFormat="1" x14ac:dyDescent="0.2">
      <c r="A16" s="93" t="s">
        <v>355</v>
      </c>
      <c r="B16" s="91" t="e">
        <f>B17+B21+B24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337</v>
      </c>
      <c r="B17" s="95">
        <f>SUM(B18:B20)</f>
        <v>190896.84062222979</v>
      </c>
      <c r="C17" s="95">
        <f t="shared" si="0"/>
        <v>1908.968406222298</v>
      </c>
      <c r="D17" s="111" t="e">
        <f t="shared" ca="1" si="1"/>
        <v>#REF!</v>
      </c>
    </row>
    <row r="18" spans="1:4" x14ac:dyDescent="0.2">
      <c r="A18" s="107" t="s">
        <v>344</v>
      </c>
      <c r="B18" s="95">
        <f>'силос сп кукур'!BJ51</f>
        <v>9752.7630524502019</v>
      </c>
      <c r="C18" s="95">
        <f t="shared" si="0"/>
        <v>97.527630524502015</v>
      </c>
      <c r="D18" s="111" t="e">
        <f t="shared" ca="1" si="1"/>
        <v>#REF!</v>
      </c>
    </row>
    <row r="19" spans="1:4" x14ac:dyDescent="0.2">
      <c r="A19" s="107" t="s">
        <v>345</v>
      </c>
      <c r="B19" s="95">
        <f>'силос сп кукур'!BL51</f>
        <v>7148.427569779552</v>
      </c>
      <c r="C19" s="95">
        <f t="shared" si="0"/>
        <v>71.484275697795525</v>
      </c>
      <c r="D19" s="111" t="e">
        <f t="shared" ca="1" si="1"/>
        <v>#REF!</v>
      </c>
    </row>
    <row r="20" spans="1:4" x14ac:dyDescent="0.2">
      <c r="A20" s="107" t="s">
        <v>407</v>
      </c>
      <c r="B20" s="95">
        <f>'силос сп кукур'!BM51</f>
        <v>173995.65000000002</v>
      </c>
      <c r="C20" s="95">
        <f t="shared" si="0"/>
        <v>1739.9565000000002</v>
      </c>
      <c r="D20" s="111" t="e">
        <f t="shared" ca="1" si="1"/>
        <v>#REF!</v>
      </c>
    </row>
    <row r="21" spans="1:4" x14ac:dyDescent="0.2">
      <c r="A21" s="94" t="s">
        <v>338</v>
      </c>
      <c r="B21" s="95">
        <f>SUM(B22:B23)</f>
        <v>577651.87223846186</v>
      </c>
      <c r="C21" s="95">
        <f t="shared" si="0"/>
        <v>5776.5187223846187</v>
      </c>
      <c r="D21" s="111" t="e">
        <f t="shared" ca="1" si="1"/>
        <v>#REF!</v>
      </c>
    </row>
    <row r="22" spans="1:4" x14ac:dyDescent="0.2">
      <c r="A22" s="107" t="s">
        <v>344</v>
      </c>
      <c r="B22" s="95">
        <f>'силос сп кукур'!BO51+'силос сп кукур'!BQ51+'силос сп кукур'!BS51</f>
        <v>60775.578509257888</v>
      </c>
      <c r="C22" s="95">
        <f t="shared" si="0"/>
        <v>607.75578509257889</v>
      </c>
      <c r="D22" s="111" t="e">
        <f t="shared" ca="1" si="1"/>
        <v>#REF!</v>
      </c>
    </row>
    <row r="23" spans="1:4" x14ac:dyDescent="0.2">
      <c r="A23" s="107" t="s">
        <v>345</v>
      </c>
      <c r="B23" s="95">
        <f>'силос сп кукур'!BT51</f>
        <v>516876.29372920399</v>
      </c>
      <c r="C23" s="95">
        <f t="shared" si="0"/>
        <v>5168.7629372920401</v>
      </c>
      <c r="D23" s="111" t="e">
        <f t="shared" ca="1" si="1"/>
        <v>#REF!</v>
      </c>
    </row>
    <row r="24" spans="1:4" x14ac:dyDescent="0.2">
      <c r="A24" s="94" t="s">
        <v>336</v>
      </c>
      <c r="B24" s="112" t="e">
        <f>'силос сп кукур'!AS51</f>
        <v>#REF!</v>
      </c>
      <c r="C24" s="95" t="e">
        <f t="shared" si="0"/>
        <v>#REF!</v>
      </c>
      <c r="D24" s="111" t="e">
        <f t="shared" ca="1" si="1"/>
        <v>#REF!</v>
      </c>
    </row>
    <row r="25" spans="1:4" s="92" customFormat="1" x14ac:dyDescent="0.2">
      <c r="A25" s="93" t="s">
        <v>346</v>
      </c>
      <c r="B25" s="91">
        <f>SUM(B26:B29)</f>
        <v>24294.234655294953</v>
      </c>
      <c r="C25" s="91">
        <f t="shared" si="0"/>
        <v>242.94234655294952</v>
      </c>
      <c r="D25" s="110" t="e">
        <f t="shared" ca="1" si="1"/>
        <v>#REF!</v>
      </c>
    </row>
    <row r="26" spans="1:4" x14ac:dyDescent="0.2">
      <c r="A26" s="107" t="s">
        <v>360</v>
      </c>
      <c r="B26" s="95">
        <f>B6*15.12</f>
        <v>1512</v>
      </c>
      <c r="C26" s="95">
        <f t="shared" si="0"/>
        <v>15.12</v>
      </c>
      <c r="D26" s="111" t="e">
        <f t="shared" ca="1" si="1"/>
        <v>#REF!</v>
      </c>
    </row>
    <row r="27" spans="1:4" x14ac:dyDescent="0.2">
      <c r="A27" s="107" t="s">
        <v>363</v>
      </c>
      <c r="B27" s="95">
        <f>12*100/250*('силос сп кукур'!L37+'силос сп кукур'!L46)+12*80/250*('силос сп кукур'!L22+'силос сп кукур'!L23+'силос сп кукур'!L24+'силос сп кукур'!L25+'силос сп кукур'!L27+'силос сп кукур'!L30+'силос сп кукур'!L32+'силос сп кукур'!L33+'силос сп кукур'!L44+'силос сп кукур'!L45)</f>
        <v>252.90132196162045</v>
      </c>
      <c r="C27" s="95">
        <f t="shared" si="0"/>
        <v>2.5290132196162047</v>
      </c>
      <c r="D27" s="111" t="e">
        <f t="shared" ca="1" si="1"/>
        <v>#REF!</v>
      </c>
    </row>
    <row r="28" spans="1:4" x14ac:dyDescent="0.2">
      <c r="A28" s="107" t="s">
        <v>367</v>
      </c>
      <c r="B28" s="95">
        <f>'силос сп кукур'!BH51</f>
        <v>0</v>
      </c>
      <c r="C28" s="95">
        <f t="shared" si="0"/>
        <v>0</v>
      </c>
      <c r="D28" s="111" t="e">
        <f t="shared" ca="1" si="1"/>
        <v>#REF!</v>
      </c>
    </row>
    <row r="29" spans="1:4" x14ac:dyDescent="0.2">
      <c r="A29" s="107" t="s">
        <v>365</v>
      </c>
      <c r="B29" s="95">
        <f>(B6*100*4/1000*33794/15)*25%</f>
        <v>22529.333333333332</v>
      </c>
      <c r="C29" s="95">
        <f t="shared" si="0"/>
        <v>225.29333333333332</v>
      </c>
      <c r="D29" s="111" t="e">
        <f t="shared" ca="1" si="1"/>
        <v>#REF!</v>
      </c>
    </row>
    <row r="30" spans="1:4" s="92" customFormat="1" x14ac:dyDescent="0.2">
      <c r="A30" s="93" t="s">
        <v>347</v>
      </c>
      <c r="B30" s="91" t="e">
        <f ca="1">B12+B13+B14+B16+B25+B15</f>
        <v>#REF!</v>
      </c>
      <c r="C30" s="91" t="e">
        <f t="shared" ca="1" si="0"/>
        <v>#REF!</v>
      </c>
      <c r="D30" s="110" t="e">
        <f t="shared" ca="1" si="1"/>
        <v>#REF!</v>
      </c>
    </row>
    <row r="31" spans="1:4" s="92" customFormat="1" x14ac:dyDescent="0.2">
      <c r="A31" s="93" t="s">
        <v>348</v>
      </c>
      <c r="B31" s="91" t="e">
        <f ca="1">B30*17.7%</f>
        <v>#REF!</v>
      </c>
      <c r="C31" s="91" t="e">
        <f t="shared" ca="1" si="0"/>
        <v>#REF!</v>
      </c>
      <c r="D31" s="110" t="e">
        <f t="shared" ca="1" si="1"/>
        <v>#REF!</v>
      </c>
    </row>
    <row r="32" spans="1:4" s="92" customFormat="1" x14ac:dyDescent="0.2">
      <c r="A32" s="93" t="s">
        <v>349</v>
      </c>
      <c r="B32" s="91" t="e">
        <f ca="1">B30+B31</f>
        <v>#REF!</v>
      </c>
      <c r="C32" s="91" t="e">
        <f t="shared" ca="1" si="0"/>
        <v>#REF!</v>
      </c>
      <c r="D32" s="110" t="e">
        <f ca="1">D30+D31</f>
        <v>#REF!</v>
      </c>
    </row>
    <row r="33" spans="1:9" x14ac:dyDescent="0.2">
      <c r="A33" s="94" t="s">
        <v>350</v>
      </c>
      <c r="B33" s="95" t="e">
        <f ca="1">B32/B6</f>
        <v>#REF!</v>
      </c>
      <c r="C33" s="95"/>
      <c r="D33" s="95"/>
    </row>
    <row r="34" spans="1:9" x14ac:dyDescent="0.2">
      <c r="A34" s="94" t="s">
        <v>371</v>
      </c>
      <c r="B34" s="95" t="e">
        <f ca="1">B32/(B8)</f>
        <v>#REF!</v>
      </c>
      <c r="C34" s="95"/>
      <c r="D34" s="95"/>
    </row>
    <row r="35" spans="1:9" x14ac:dyDescent="0.2">
      <c r="A35" s="141" t="s">
        <v>379</v>
      </c>
      <c r="B35" s="140" t="e">
        <f ca="1">B32/(B9)</f>
        <v>#REF!</v>
      </c>
      <c r="C35" s="139"/>
      <c r="D35" s="139"/>
    </row>
    <row r="36" spans="1:9" x14ac:dyDescent="0.2">
      <c r="A36" s="94" t="s">
        <v>351</v>
      </c>
      <c r="B36" s="95">
        <f>'силос сп кукур'!O51+'силос сп кукур'!P51</f>
        <v>1056.8277363184079</v>
      </c>
      <c r="C36" s="95"/>
      <c r="D36" s="95"/>
    </row>
    <row r="37" spans="1:9" x14ac:dyDescent="0.2">
      <c r="A37" s="107" t="s">
        <v>339</v>
      </c>
      <c r="B37" s="95">
        <f>B36/B6</f>
        <v>10.568277363184079</v>
      </c>
      <c r="C37" s="95"/>
      <c r="D37" s="95"/>
    </row>
    <row r="38" spans="1:9" x14ac:dyDescent="0.2">
      <c r="A38" s="107" t="s">
        <v>340</v>
      </c>
      <c r="B38" s="111">
        <f>B36/B8</f>
        <v>7.0455182421227197E-2</v>
      </c>
      <c r="C38" s="95"/>
      <c r="D38" s="95"/>
    </row>
    <row r="39" spans="1:9" x14ac:dyDescent="0.2">
      <c r="A39" s="94" t="s">
        <v>358</v>
      </c>
      <c r="B39" s="95">
        <f ca="1">('силос сп кукур'!AH51+'силос сп кукур'!AI51)/B36</f>
        <v>582.61217382525365</v>
      </c>
      <c r="C39" s="95"/>
      <c r="D39" s="95"/>
    </row>
    <row r="40" spans="1:9" x14ac:dyDescent="0.2">
      <c r="A40" s="108" t="s">
        <v>341</v>
      </c>
      <c r="B40" s="95">
        <f ca="1">'силос сп кукур'!AH51/'силос сп кукур'!O51</f>
        <v>702.33832793031797</v>
      </c>
      <c r="C40" s="95"/>
      <c r="D40" s="95"/>
    </row>
    <row r="41" spans="1:9" x14ac:dyDescent="0.2">
      <c r="A41" s="109" t="s">
        <v>342</v>
      </c>
      <c r="B41" s="95">
        <f ca="1">'силос сп кукур'!AI51/'силос сп кукур'!P51</f>
        <v>429.97307538161687</v>
      </c>
      <c r="C41" s="95"/>
      <c r="D41" s="95"/>
    </row>
    <row r="42" spans="1:9" x14ac:dyDescent="0.2">
      <c r="A42" s="94" t="s">
        <v>352</v>
      </c>
      <c r="B42" s="95">
        <f ca="1">B39*164.5</f>
        <v>95839.702594254224</v>
      </c>
      <c r="C42" s="95"/>
      <c r="D42" s="95"/>
    </row>
    <row r="43" spans="1:9" x14ac:dyDescent="0.2">
      <c r="A43" s="108" t="s">
        <v>341</v>
      </c>
      <c r="B43" s="112">
        <f ca="1">B40*164.5</f>
        <v>115534.65494453731</v>
      </c>
      <c r="C43" s="94"/>
      <c r="D43" s="94"/>
    </row>
    <row r="44" spans="1:9" ht="12.75" customHeight="1" x14ac:dyDescent="0.2">
      <c r="A44" s="109" t="s">
        <v>342</v>
      </c>
      <c r="B44" s="112">
        <f ca="1">B41*164.5</f>
        <v>70730.570900275969</v>
      </c>
      <c r="C44" s="94"/>
      <c r="D44" s="94"/>
    </row>
    <row r="46" spans="1:9" x14ac:dyDescent="0.2">
      <c r="A46" t="s">
        <v>507</v>
      </c>
      <c r="B46"/>
      <c r="C46"/>
      <c r="D46"/>
      <c r="E46"/>
      <c r="F46"/>
      <c r="G46"/>
      <c r="I46" t="s">
        <v>508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509</v>
      </c>
      <c r="B48"/>
      <c r="C48"/>
      <c r="D48"/>
      <c r="E48"/>
      <c r="F48"/>
      <c r="G48"/>
      <c r="I48" t="s">
        <v>510</v>
      </c>
    </row>
    <row r="49" spans="1:9" x14ac:dyDescent="0.2">
      <c r="A49"/>
      <c r="B49"/>
      <c r="C49"/>
      <c r="D49"/>
      <c r="E49"/>
      <c r="F49"/>
      <c r="G49"/>
      <c r="I49"/>
    </row>
    <row r="50" spans="1:9" x14ac:dyDescent="0.2">
      <c r="A50" t="s">
        <v>512</v>
      </c>
      <c r="B50"/>
      <c r="C50"/>
      <c r="D50"/>
      <c r="E50"/>
      <c r="F50"/>
      <c r="G50"/>
      <c r="I50" t="s">
        <v>511</v>
      </c>
    </row>
  </sheetData>
  <pageMargins left="0.75" right="0.75" top="1" bottom="1" header="0.5" footer="0.5"/>
  <pageSetup paperSize="9" scale="6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49"/>
  <sheetViews>
    <sheetView view="pageBreakPreview" zoomScale="80" zoomScaleNormal="100" zoomScaleSheetLayoutView="80" workbookViewId="0">
      <selection activeCell="A3" sqref="A3"/>
    </sheetView>
  </sheetViews>
  <sheetFormatPr defaultColWidth="9.140625"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/>
      <c r="B1" s="46"/>
      <c r="C1" s="46"/>
      <c r="F1" s="2"/>
      <c r="H1" s="196"/>
      <c r="S1" s="197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ht="34.5" customHeight="1" x14ac:dyDescent="0.2">
      <c r="A2" s="530" t="s">
        <v>637</v>
      </c>
      <c r="B2" s="530"/>
      <c r="C2" s="530"/>
      <c r="D2" s="530"/>
      <c r="F2" s="2"/>
      <c r="H2" s="196"/>
      <c r="S2" s="197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196"/>
      <c r="B3" s="196"/>
      <c r="C3" s="196"/>
      <c r="F3" s="2"/>
      <c r="H3" s="196"/>
      <c r="S3" s="197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бп'!B4</f>
        <v>Культура: Зерновые на силос (без полива)</v>
      </c>
      <c r="B4" s="46"/>
      <c r="C4" s="46"/>
      <c r="F4" s="2"/>
      <c r="H4" s="46"/>
      <c r="N4" s="46"/>
      <c r="S4" s="197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197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256">
        <f>'силос бп'!D6</f>
        <v>100</v>
      </c>
      <c r="F6" s="4"/>
      <c r="M6" s="46"/>
      <c r="R6" s="197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256">
        <f>'силос бп'!I6</f>
        <v>80</v>
      </c>
      <c r="D7" s="2"/>
      <c r="M7" s="46"/>
      <c r="R7" s="197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373</v>
      </c>
      <c r="B8" s="257">
        <f>B6*B7</f>
        <v>8000</v>
      </c>
      <c r="D8" s="2"/>
      <c r="M8" s="46"/>
      <c r="R8" s="197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374</v>
      </c>
      <c r="B9" s="258">
        <f>B8*Нормы!C19</f>
        <v>6800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/>
      <c r="B11" s="198" t="s">
        <v>30</v>
      </c>
      <c r="C11" s="199" t="s">
        <v>339</v>
      </c>
      <c r="D11" s="199" t="s">
        <v>343</v>
      </c>
    </row>
    <row r="12" spans="1:78" s="92" customFormat="1" x14ac:dyDescent="0.2">
      <c r="A12" s="89" t="s">
        <v>356</v>
      </c>
      <c r="B12" s="90">
        <f ca="1">'силос бп'!AL43+'силос бп'!AM43</f>
        <v>1040065.3105034627</v>
      </c>
      <c r="C12" s="91">
        <f t="shared" ref="C12:C30" ca="1" si="0">B12/$B$6</f>
        <v>10400.653105034628</v>
      </c>
      <c r="D12" s="110">
        <f t="shared" ref="D12:D29" ca="1" si="1">B12/$B$30%</f>
        <v>27.486385048495119</v>
      </c>
    </row>
    <row r="13" spans="1:78" s="92" customFormat="1" x14ac:dyDescent="0.2">
      <c r="A13" s="93" t="s">
        <v>353</v>
      </c>
      <c r="B13" s="91">
        <f>'силос бп'!AW43</f>
        <v>420000</v>
      </c>
      <c r="C13" s="91">
        <f t="shared" si="0"/>
        <v>4200</v>
      </c>
      <c r="D13" s="110">
        <f t="shared" ca="1" si="1"/>
        <v>11.099573847703592</v>
      </c>
    </row>
    <row r="14" spans="1:78" s="92" customFormat="1" x14ac:dyDescent="0.2">
      <c r="A14" s="93" t="s">
        <v>354</v>
      </c>
      <c r="B14" s="91">
        <f>'силос бп'!BA43</f>
        <v>337000</v>
      </c>
      <c r="C14" s="91">
        <f t="shared" si="0"/>
        <v>3370</v>
      </c>
      <c r="D14" s="110">
        <f t="shared" ca="1" si="1"/>
        <v>8.9060866349431205</v>
      </c>
    </row>
    <row r="15" spans="1:78" s="92" customFormat="1" x14ac:dyDescent="0.2">
      <c r="A15" s="93" t="s">
        <v>355</v>
      </c>
      <c r="B15" s="91">
        <f>B16+B20+B23</f>
        <v>1401629.7107952263</v>
      </c>
      <c r="C15" s="91">
        <f t="shared" si="0"/>
        <v>14016.297107952263</v>
      </c>
      <c r="D15" s="110">
        <f t="shared" ca="1" si="1"/>
        <v>37.041648766921533</v>
      </c>
    </row>
    <row r="16" spans="1:78" x14ac:dyDescent="0.2">
      <c r="A16" s="94" t="s">
        <v>337</v>
      </c>
      <c r="B16" s="95">
        <f>SUM(B17:B19)</f>
        <v>159820.10295264429</v>
      </c>
      <c r="C16" s="95">
        <f t="shared" si="0"/>
        <v>1598.2010295264429</v>
      </c>
      <c r="D16" s="111">
        <f t="shared" ca="1" si="1"/>
        <v>4.2236548454058722</v>
      </c>
    </row>
    <row r="17" spans="1:4" x14ac:dyDescent="0.2">
      <c r="A17" s="107" t="s">
        <v>344</v>
      </c>
      <c r="B17" s="95">
        <f>'силос бп'!BJ43</f>
        <v>64411.329384339333</v>
      </c>
      <c r="C17" s="95">
        <f t="shared" si="0"/>
        <v>644.11329384339331</v>
      </c>
      <c r="D17" s="111">
        <f t="shared" ca="1" si="1"/>
        <v>1.7022340645957972</v>
      </c>
    </row>
    <row r="18" spans="1:4" x14ac:dyDescent="0.2">
      <c r="A18" s="107" t="s">
        <v>345</v>
      </c>
      <c r="B18" s="95">
        <f>'силос бп'!BL43</f>
        <v>95408.77356830494</v>
      </c>
      <c r="C18" s="95">
        <f t="shared" si="0"/>
        <v>954.08773568304935</v>
      </c>
      <c r="D18" s="111">
        <f t="shared" ca="1" si="1"/>
        <v>2.5214207808100744</v>
      </c>
    </row>
    <row r="19" spans="1:4" x14ac:dyDescent="0.2">
      <c r="A19" s="107" t="s">
        <v>407</v>
      </c>
      <c r="B19" s="95">
        <f>'силос бп'!BM43</f>
        <v>0</v>
      </c>
      <c r="C19" s="95">
        <f t="shared" si="0"/>
        <v>0</v>
      </c>
      <c r="D19" s="111">
        <f t="shared" ca="1" si="1"/>
        <v>0</v>
      </c>
    </row>
    <row r="20" spans="1:4" x14ac:dyDescent="0.2">
      <c r="A20" s="94" t="s">
        <v>338</v>
      </c>
      <c r="B20" s="95">
        <f>SUM(B21:B22)</f>
        <v>160753.34962131357</v>
      </c>
      <c r="C20" s="95">
        <f t="shared" si="0"/>
        <v>1607.5334962131355</v>
      </c>
      <c r="D20" s="111">
        <f t="shared" ca="1" si="1"/>
        <v>4.2483182747321049</v>
      </c>
    </row>
    <row r="21" spans="1:4" x14ac:dyDescent="0.2">
      <c r="A21" s="107" t="s">
        <v>344</v>
      </c>
      <c r="B21" s="95">
        <f>'силос бп'!BO43+'силос бп'!BQ43+'силос бп'!BS43</f>
        <v>87009.575661842799</v>
      </c>
      <c r="C21" s="95">
        <f t="shared" si="0"/>
        <v>870.09575661842803</v>
      </c>
      <c r="D21" s="111">
        <f t="shared" ca="1" si="1"/>
        <v>2.2994505012285176</v>
      </c>
    </row>
    <row r="22" spans="1:4" x14ac:dyDescent="0.2">
      <c r="A22" s="107" t="s">
        <v>345</v>
      </c>
      <c r="B22" s="95">
        <f>'силос бп'!BT43</f>
        <v>73743.773959470782</v>
      </c>
      <c r="C22" s="95">
        <f t="shared" si="0"/>
        <v>737.43773959470786</v>
      </c>
      <c r="D22" s="111">
        <f t="shared" ca="1" si="1"/>
        <v>1.9488677735035882</v>
      </c>
    </row>
    <row r="23" spans="1:4" x14ac:dyDescent="0.2">
      <c r="A23" s="94" t="s">
        <v>336</v>
      </c>
      <c r="B23" s="112">
        <f>'силос бп'!AS43</f>
        <v>1081056.2582212684</v>
      </c>
      <c r="C23" s="95">
        <f t="shared" si="0"/>
        <v>10810.562582212684</v>
      </c>
      <c r="D23" s="111">
        <f t="shared" ca="1" si="1"/>
        <v>28.569675646783555</v>
      </c>
    </row>
    <row r="24" spans="1:4" s="92" customFormat="1" x14ac:dyDescent="0.2">
      <c r="A24" s="93" t="s">
        <v>346</v>
      </c>
      <c r="B24" s="91">
        <f>SUM(B25:B27)</f>
        <v>310058.66666666663</v>
      </c>
      <c r="C24" s="91">
        <f t="shared" si="0"/>
        <v>3100.5866666666661</v>
      </c>
      <c r="D24" s="110">
        <f t="shared" ca="1" si="1"/>
        <v>8.1940930185409009</v>
      </c>
    </row>
    <row r="25" spans="1:4" x14ac:dyDescent="0.2">
      <c r="A25" s="107" t="s">
        <v>367</v>
      </c>
      <c r="B25" s="95">
        <f>'силос сп'!BH51</f>
        <v>43391.999999999993</v>
      </c>
      <c r="C25" s="95">
        <f t="shared" si="0"/>
        <v>433.9199999999999</v>
      </c>
      <c r="D25" s="111">
        <f t="shared" ca="1" si="1"/>
        <v>1.1467445438084625</v>
      </c>
    </row>
    <row r="26" spans="1:4" x14ac:dyDescent="0.2">
      <c r="A26" s="107" t="s">
        <v>365</v>
      </c>
      <c r="B26" s="95">
        <f>(B6*100*4/1000*100000/15)*25%</f>
        <v>66666.666666666672</v>
      </c>
      <c r="C26" s="95">
        <f t="shared" si="0"/>
        <v>666.66666666666674</v>
      </c>
      <c r="D26" s="111">
        <f t="shared" ca="1" si="1"/>
        <v>1.7618371186831101</v>
      </c>
    </row>
    <row r="27" spans="1:4" s="92" customFormat="1" x14ac:dyDescent="0.2">
      <c r="A27" s="107" t="s">
        <v>633</v>
      </c>
      <c r="B27" s="95">
        <f>'силос бп'!BE43</f>
        <v>200000</v>
      </c>
      <c r="C27" s="95">
        <f>B27/$B$6</f>
        <v>2000</v>
      </c>
      <c r="D27" s="111">
        <f t="shared" ca="1" si="1"/>
        <v>5.2855113560493292</v>
      </c>
    </row>
    <row r="28" spans="1:4" s="92" customFormat="1" x14ac:dyDescent="0.2">
      <c r="A28" s="93" t="s">
        <v>347</v>
      </c>
      <c r="B28" s="91">
        <f ca="1">B12+B13+B14+B15+B24</f>
        <v>3508753.6879653553</v>
      </c>
      <c r="C28" s="91">
        <f t="shared" ca="1" si="0"/>
        <v>35087.536879653555</v>
      </c>
      <c r="D28" s="110">
        <f t="shared" ca="1" si="1"/>
        <v>92.727787316604264</v>
      </c>
    </row>
    <row r="29" spans="1:4" s="92" customFormat="1" x14ac:dyDescent="0.2">
      <c r="A29" s="93" t="s">
        <v>348</v>
      </c>
      <c r="B29" s="91">
        <f ca="1">(B28-B13-B14)*10%</f>
        <v>275175.36879653553</v>
      </c>
      <c r="C29" s="91">
        <f t="shared" ca="1" si="0"/>
        <v>2751.7536879653553</v>
      </c>
      <c r="D29" s="110">
        <f t="shared" ca="1" si="1"/>
        <v>7.2722126833957548</v>
      </c>
    </row>
    <row r="30" spans="1:4" s="92" customFormat="1" x14ac:dyDescent="0.2">
      <c r="A30" s="93" t="s">
        <v>349</v>
      </c>
      <c r="B30" s="91">
        <f ca="1">B28+B29</f>
        <v>3783929.0567618906</v>
      </c>
      <c r="C30" s="91">
        <f t="shared" ca="1" si="0"/>
        <v>37839.290567618904</v>
      </c>
      <c r="D30" s="110">
        <f ca="1">D28+D29</f>
        <v>100.00000000000001</v>
      </c>
    </row>
    <row r="31" spans="1:4" x14ac:dyDescent="0.2">
      <c r="A31" s="94" t="s">
        <v>350</v>
      </c>
      <c r="B31" s="95">
        <f ca="1">B30/B6</f>
        <v>37839.290567618904</v>
      </c>
      <c r="C31" s="95"/>
      <c r="D31" s="95"/>
    </row>
    <row r="32" spans="1:4" x14ac:dyDescent="0.2">
      <c r="A32" s="94" t="s">
        <v>371</v>
      </c>
      <c r="B32" s="95">
        <f ca="1">B30/(B8)</f>
        <v>472.99113209523631</v>
      </c>
      <c r="C32" s="95"/>
      <c r="D32" s="95"/>
    </row>
    <row r="33" spans="1:14" x14ac:dyDescent="0.2">
      <c r="A33" s="141" t="s">
        <v>379</v>
      </c>
      <c r="B33" s="140">
        <f ca="1">B30/(B9)</f>
        <v>556.46015540616042</v>
      </c>
      <c r="C33" s="139"/>
      <c r="D33" s="139"/>
    </row>
    <row r="34" spans="1:14" x14ac:dyDescent="0.2">
      <c r="A34" s="94" t="s">
        <v>351</v>
      </c>
      <c r="B34" s="95">
        <f>'силос бп'!O43+'силос бп'!P43</f>
        <v>1738.7194022975204</v>
      </c>
      <c r="C34" s="95"/>
      <c r="D34" s="95"/>
    </row>
    <row r="35" spans="1:14" x14ac:dyDescent="0.2">
      <c r="A35" s="107" t="s">
        <v>339</v>
      </c>
      <c r="B35" s="95">
        <f>B34/B6</f>
        <v>17.387194022975205</v>
      </c>
      <c r="C35" s="95"/>
      <c r="D35" s="95"/>
    </row>
    <row r="36" spans="1:14" x14ac:dyDescent="0.2">
      <c r="A36" s="107" t="s">
        <v>340</v>
      </c>
      <c r="B36" s="111">
        <f>B34/B8</f>
        <v>0.21733992528719007</v>
      </c>
      <c r="C36" s="95"/>
      <c r="D36" s="95"/>
    </row>
    <row r="37" spans="1:14" x14ac:dyDescent="0.2">
      <c r="A37" s="94" t="s">
        <v>358</v>
      </c>
      <c r="B37" s="95">
        <f ca="1">('силос бп'!AH43+'силос бп'!AI43)/B34</f>
        <v>457.67324357177438</v>
      </c>
      <c r="C37" s="95"/>
      <c r="D37" s="95"/>
    </row>
    <row r="38" spans="1:14" x14ac:dyDescent="0.2">
      <c r="A38" s="108" t="s">
        <v>341</v>
      </c>
      <c r="B38" s="95">
        <f ca="1">'силос бп'!AH43/'силос бп'!O43</f>
        <v>590.10696171578263</v>
      </c>
      <c r="C38" s="95"/>
      <c r="D38" s="95"/>
    </row>
    <row r="39" spans="1:14" x14ac:dyDescent="0.2">
      <c r="A39" s="109" t="s">
        <v>342</v>
      </c>
      <c r="B39" s="95">
        <f ca="1">'силос бп'!AI43/'силос бп'!P43</f>
        <v>363.50264445244932</v>
      </c>
      <c r="C39" s="95"/>
      <c r="D39" s="95"/>
    </row>
    <row r="40" spans="1:14" ht="12.75" customHeight="1" x14ac:dyDescent="0.2">
      <c r="A40" s="94" t="s">
        <v>352</v>
      </c>
      <c r="B40" s="95">
        <f ca="1">B37*'Исходные данные'!$B$6</f>
        <v>75249.109130592566</v>
      </c>
      <c r="C40" s="95"/>
      <c r="D40" s="95"/>
    </row>
    <row r="41" spans="1:14" x14ac:dyDescent="0.2">
      <c r="A41" s="108" t="s">
        <v>341</v>
      </c>
      <c r="B41" s="95">
        <f ca="1">B38*'Исходные данные'!$B$6</f>
        <v>97023.419622103262</v>
      </c>
      <c r="C41" s="94"/>
      <c r="D41" s="94"/>
    </row>
    <row r="42" spans="1:14" x14ac:dyDescent="0.2">
      <c r="A42" s="109" t="s">
        <v>342</v>
      </c>
      <c r="B42" s="95">
        <f ca="1">B39*'Исходные данные'!$B$6</f>
        <v>59765.893125390205</v>
      </c>
      <c r="C42" s="94"/>
      <c r="D42" s="94"/>
    </row>
    <row r="45" spans="1:14" x14ac:dyDescent="0.2">
      <c r="A45"/>
      <c r="B45"/>
      <c r="C45"/>
      <c r="D45"/>
      <c r="E45"/>
      <c r="F45"/>
      <c r="G45"/>
      <c r="I45"/>
      <c r="J45"/>
      <c r="K45"/>
      <c r="L45"/>
      <c r="M45"/>
      <c r="N45"/>
    </row>
    <row r="46" spans="1:14" x14ac:dyDescent="0.2">
      <c r="A46"/>
      <c r="B46"/>
      <c r="C46"/>
      <c r="D46"/>
      <c r="E46"/>
      <c r="F46"/>
      <c r="G46"/>
      <c r="I46"/>
      <c r="J46"/>
      <c r="K46"/>
      <c r="L46"/>
      <c r="M46"/>
      <c r="N46"/>
    </row>
    <row r="47" spans="1:14" x14ac:dyDescent="0.2">
      <c r="A47"/>
      <c r="B47"/>
      <c r="C47"/>
      <c r="D47"/>
      <c r="E47"/>
      <c r="F47"/>
      <c r="G47"/>
      <c r="I47"/>
      <c r="J47"/>
      <c r="K47"/>
      <c r="L47"/>
      <c r="M47"/>
      <c r="N47"/>
    </row>
    <row r="48" spans="1:14" x14ac:dyDescent="0.2">
      <c r="A48"/>
      <c r="B48"/>
      <c r="C48"/>
      <c r="D48"/>
      <c r="E48"/>
      <c r="F48"/>
      <c r="G48"/>
      <c r="I48"/>
      <c r="J48"/>
      <c r="K48"/>
      <c r="L48"/>
      <c r="M48"/>
      <c r="N48"/>
    </row>
    <row r="49" spans="1:14" x14ac:dyDescent="0.2">
      <c r="A49"/>
      <c r="B49"/>
      <c r="C49"/>
      <c r="D49"/>
      <c r="E49"/>
      <c r="F49"/>
      <c r="G49"/>
      <c r="I49"/>
      <c r="J49"/>
      <c r="K49"/>
      <c r="L49"/>
      <c r="M49"/>
      <c r="N49"/>
    </row>
  </sheetData>
  <mergeCells count="1">
    <mergeCell ref="A2:D2"/>
  </mergeCells>
  <pageMargins left="0.7" right="0.7" top="0.75" bottom="0.75" header="0.3" footer="0.3"/>
  <pageSetup paperSize="9" orientation="portrait" verticalDpi="0" r:id="rId1"/>
  <headerFooter>
    <oddFooter>&amp;LОтдел СЭР села ЯНИИСХ</oddFooter>
  </headerFooter>
  <ignoredErrors>
    <ignoredError sqref="C3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55"/>
  <sheetViews>
    <sheetView view="pageBreakPreview" zoomScale="90" zoomScaleNormal="80" zoomScaleSheetLayoutView="90" workbookViewId="0">
      <pane xSplit="5" ySplit="21" topLeftCell="AO22" activePane="bottomRight" state="frozen"/>
      <selection pane="topRight" activeCell="F1" sqref="F1"/>
      <selection pane="bottomLeft" activeCell="A22" sqref="A22"/>
      <selection pane="bottomRight" activeCell="AN15" sqref="AN15:AS16"/>
    </sheetView>
  </sheetViews>
  <sheetFormatPr defaultColWidth="9.140625" defaultRowHeight="11.25" x14ac:dyDescent="0.2"/>
  <cols>
    <col min="1" max="1" width="3.85546875" style="15" customWidth="1"/>
    <col min="2" max="2" width="23" style="13" customWidth="1"/>
    <col min="3" max="3" width="4.5703125" style="13" customWidth="1"/>
    <col min="4" max="4" width="8.85546875" style="13" customWidth="1"/>
    <col min="5" max="5" width="9.7109375" style="13" customWidth="1"/>
    <col min="6" max="6" width="6.85546875" style="15" customWidth="1"/>
    <col min="7" max="7" width="6.28515625" style="13" customWidth="1"/>
    <col min="8" max="8" width="7.28515625" style="13" customWidth="1"/>
    <col min="9" max="9" width="8" style="13" customWidth="1"/>
    <col min="10" max="10" width="5.42578125" style="13" customWidth="1"/>
    <col min="11" max="11" width="7.28515625" style="13" customWidth="1"/>
    <col min="12" max="12" width="6.140625" style="13" customWidth="1"/>
    <col min="13" max="13" width="6.5703125" style="13" customWidth="1"/>
    <col min="14" max="14" width="7" style="13" customWidth="1"/>
    <col min="15" max="15" width="8.28515625" style="13" customWidth="1"/>
    <col min="16" max="16" width="7.8554687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5703125" style="13" customWidth="1"/>
    <col min="24" max="27" width="8.28515625" style="13" customWidth="1"/>
    <col min="28" max="29" width="7.28515625" style="13" customWidth="1"/>
    <col min="30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52" width="7.42578125" style="16" customWidth="1"/>
    <col min="53" max="53" width="9.28515625" style="16" customWidth="1"/>
    <col min="54" max="72" width="7.42578125" style="16" customWidth="1"/>
    <col min="73" max="73" width="9" style="16" customWidth="1"/>
    <col min="74" max="75" width="7.42578125" style="16" customWidth="1"/>
    <col min="76" max="76" width="9" style="17" customWidth="1"/>
    <col min="77" max="16384" width="9.140625" style="13"/>
  </cols>
  <sheetData>
    <row r="1" spans="1:77" s="7" customFormat="1" ht="15.75" x14ac:dyDescent="0.2">
      <c r="B1" s="47" t="s">
        <v>638</v>
      </c>
      <c r="E1" s="8"/>
      <c r="G1" s="6"/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/>
    </row>
    <row r="2" spans="1:77" s="7" customFormat="1" ht="15.75" x14ac:dyDescent="0.2">
      <c r="B2" s="47" t="s">
        <v>549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</row>
    <row r="3" spans="1:77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1"/>
    </row>
    <row r="4" spans="1:77" s="1" customFormat="1" ht="12.75" customHeight="1" x14ac:dyDescent="0.2">
      <c r="B4" s="46" t="s">
        <v>504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1:77" s="1" customFormat="1" ht="12.75" customHeight="1" x14ac:dyDescent="0.2">
      <c r="B5" s="177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1:77" s="1" customFormat="1" ht="12.75" customHeight="1" x14ac:dyDescent="0.2">
      <c r="B6" s="46" t="s">
        <v>366</v>
      </c>
      <c r="D6" s="1">
        <v>100</v>
      </c>
      <c r="E6" s="2"/>
      <c r="F6" s="1" t="s">
        <v>362</v>
      </c>
      <c r="G6" s="46"/>
      <c r="I6" s="252">
        <f>Нормы!C23</f>
        <v>150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1:77" s="1" customFormat="1" ht="12.75" customHeight="1" x14ac:dyDescent="0.2">
      <c r="B7" s="46" t="s">
        <v>386</v>
      </c>
      <c r="E7" s="2"/>
      <c r="G7" s="46"/>
      <c r="L7" s="46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1:77" ht="12.75" customHeight="1" x14ac:dyDescent="0.2">
      <c r="B8" s="125" t="s">
        <v>387</v>
      </c>
      <c r="D8" s="13">
        <v>3</v>
      </c>
      <c r="E8" s="14"/>
      <c r="F8" s="13"/>
      <c r="G8" s="45"/>
      <c r="L8" s="45"/>
      <c r="Q8" s="15"/>
      <c r="AQ8" s="16"/>
      <c r="AR8" s="16"/>
    </row>
    <row r="9" spans="1:77" ht="12.75" customHeight="1" x14ac:dyDescent="0.2">
      <c r="B9" s="125" t="s">
        <v>388</v>
      </c>
      <c r="D9" s="13">
        <v>10</v>
      </c>
      <c r="E9" s="14"/>
      <c r="F9" s="13"/>
      <c r="G9" s="45"/>
      <c r="L9" s="45"/>
      <c r="Q9" s="15"/>
      <c r="AQ9" s="16"/>
      <c r="AR9" s="16"/>
    </row>
    <row r="10" spans="1:77" ht="12.75" customHeight="1" x14ac:dyDescent="0.2">
      <c r="B10" s="125" t="s">
        <v>389</v>
      </c>
      <c r="D10" s="13">
        <v>20</v>
      </c>
      <c r="E10" s="14"/>
      <c r="F10" s="13"/>
      <c r="G10" s="45"/>
      <c r="L10" s="45"/>
      <c r="Q10" s="15"/>
      <c r="AQ10" s="16"/>
      <c r="AR10" s="16"/>
    </row>
    <row r="11" spans="1:77" ht="12.75" customHeight="1" x14ac:dyDescent="0.2">
      <c r="B11" s="125" t="s">
        <v>390</v>
      </c>
      <c r="D11" s="259">
        <f>D8*D9*D10</f>
        <v>600</v>
      </c>
      <c r="E11" s="14"/>
      <c r="F11" s="13"/>
      <c r="G11" s="45"/>
      <c r="L11" s="45"/>
      <c r="Q11" s="15"/>
      <c r="AQ11" s="16"/>
      <c r="AR11" s="16"/>
    </row>
    <row r="12" spans="1:77" ht="12.75" customHeight="1" x14ac:dyDescent="0.2">
      <c r="B12" s="45" t="s">
        <v>373</v>
      </c>
      <c r="D12" s="259">
        <f>D6*I6</f>
        <v>15000</v>
      </c>
      <c r="E12" s="14"/>
      <c r="F12" s="7"/>
      <c r="G12" s="100"/>
      <c r="H12" s="102"/>
      <c r="I12" s="102"/>
      <c r="K12" s="7"/>
      <c r="L12" s="7"/>
      <c r="N12" s="7"/>
      <c r="Q12" s="15"/>
      <c r="AQ12" s="16"/>
      <c r="AR12" s="16"/>
    </row>
    <row r="13" spans="1:77" ht="12.75" customHeight="1" x14ac:dyDescent="0.2">
      <c r="B13" s="45" t="s">
        <v>374</v>
      </c>
      <c r="C13" s="102"/>
      <c r="D13" s="259">
        <f>D12*Нормы!C19</f>
        <v>12750</v>
      </c>
      <c r="E13" s="101"/>
      <c r="F13" s="1"/>
      <c r="G13" s="100"/>
      <c r="H13" s="102"/>
      <c r="I13" s="102"/>
      <c r="K13" s="7"/>
      <c r="L13" s="7"/>
      <c r="N13" s="7"/>
      <c r="Q13" s="15"/>
      <c r="AQ13" s="16"/>
      <c r="AR13" s="16"/>
      <c r="BP13" s="16">
        <f>BO22+BQ22+BS22</f>
        <v>17720.012246857143</v>
      </c>
    </row>
    <row r="14" spans="1:77" ht="12.75" customHeight="1" x14ac:dyDescent="0.2">
      <c r="A14" s="45"/>
      <c r="B14" s="102"/>
      <c r="D14" s="101"/>
      <c r="E14" s="1"/>
      <c r="F14" s="100"/>
      <c r="G14" s="102"/>
      <c r="H14" s="102"/>
      <c r="K14" s="7"/>
      <c r="L14" s="7"/>
      <c r="N14" s="7"/>
      <c r="Q14" s="15"/>
      <c r="AQ14" s="16"/>
      <c r="AR14" s="16"/>
    </row>
    <row r="15" spans="1:77" s="6" customFormat="1" ht="39.75" customHeight="1" x14ac:dyDescent="0.2">
      <c r="A15" s="472" t="s">
        <v>56</v>
      </c>
      <c r="B15" s="473" t="s">
        <v>52</v>
      </c>
      <c r="C15" s="473"/>
      <c r="D15" s="473"/>
      <c r="E15" s="473"/>
      <c r="F15" s="472" t="s">
        <v>16</v>
      </c>
      <c r="G15" s="472" t="s">
        <v>35</v>
      </c>
      <c r="H15" s="473" t="s">
        <v>31</v>
      </c>
      <c r="I15" s="473"/>
      <c r="J15" s="472" t="s">
        <v>34</v>
      </c>
      <c r="K15" s="472" t="s">
        <v>40</v>
      </c>
      <c r="L15" s="472" t="s">
        <v>39</v>
      </c>
      <c r="M15" s="473" t="s">
        <v>36</v>
      </c>
      <c r="N15" s="473"/>
      <c r="O15" s="473" t="s">
        <v>320</v>
      </c>
      <c r="P15" s="473"/>
      <c r="Q15" s="473" t="s">
        <v>319</v>
      </c>
      <c r="R15" s="473"/>
      <c r="S15" s="473"/>
      <c r="T15" s="473"/>
      <c r="U15" s="473" t="s">
        <v>321</v>
      </c>
      <c r="V15" s="473"/>
      <c r="W15" s="473" t="s">
        <v>322</v>
      </c>
      <c r="X15" s="473"/>
      <c r="Y15" s="473" t="s">
        <v>323</v>
      </c>
      <c r="Z15" s="473"/>
      <c r="AA15" s="473" t="s">
        <v>324</v>
      </c>
      <c r="AB15" s="473"/>
      <c r="AC15" s="481" t="s">
        <v>435</v>
      </c>
      <c r="AD15" s="482"/>
      <c r="AE15" s="483"/>
      <c r="AF15" s="473" t="s">
        <v>166</v>
      </c>
      <c r="AG15" s="473"/>
      <c r="AH15" s="473" t="s">
        <v>325</v>
      </c>
      <c r="AI15" s="473"/>
      <c r="AJ15" s="473" t="s">
        <v>326</v>
      </c>
      <c r="AK15" s="473"/>
      <c r="AL15" s="473" t="s">
        <v>327</v>
      </c>
      <c r="AM15" s="473"/>
      <c r="AN15" s="473" t="s">
        <v>14</v>
      </c>
      <c r="AO15" s="473"/>
      <c r="AP15" s="473"/>
      <c r="AQ15" s="473"/>
      <c r="AR15" s="473"/>
      <c r="AS15" s="473"/>
      <c r="AT15" s="473" t="s">
        <v>189</v>
      </c>
      <c r="AU15" s="473"/>
      <c r="AV15" s="473"/>
      <c r="AW15" s="473"/>
      <c r="AX15" s="473" t="s">
        <v>334</v>
      </c>
      <c r="AY15" s="473"/>
      <c r="AZ15" s="473"/>
      <c r="BA15" s="473"/>
      <c r="BB15" s="473" t="s">
        <v>376</v>
      </c>
      <c r="BC15" s="473"/>
      <c r="BD15" s="473"/>
      <c r="BE15" s="473"/>
      <c r="BF15" s="473" t="s">
        <v>391</v>
      </c>
      <c r="BG15" s="473"/>
      <c r="BH15" s="473"/>
      <c r="BI15" s="481" t="s">
        <v>406</v>
      </c>
      <c r="BJ15" s="482"/>
      <c r="BK15" s="482"/>
      <c r="BL15" s="482"/>
      <c r="BM15" s="483"/>
      <c r="BN15" s="473" t="s">
        <v>317</v>
      </c>
      <c r="BO15" s="473"/>
      <c r="BP15" s="473"/>
      <c r="BQ15" s="473"/>
      <c r="BR15" s="473"/>
      <c r="BS15" s="473"/>
      <c r="BT15" s="473"/>
      <c r="BU15" s="473" t="s">
        <v>49</v>
      </c>
      <c r="BV15" s="473"/>
      <c r="BW15" s="473" t="s">
        <v>331</v>
      </c>
      <c r="BX15" s="488" t="s">
        <v>59</v>
      </c>
      <c r="BY15" s="488"/>
    </row>
    <row r="16" spans="1:77" s="6" customFormat="1" ht="40.5" customHeight="1" x14ac:dyDescent="0.2">
      <c r="A16" s="472"/>
      <c r="B16" s="473"/>
      <c r="C16" s="473"/>
      <c r="D16" s="473"/>
      <c r="E16" s="473"/>
      <c r="F16" s="472"/>
      <c r="G16" s="472"/>
      <c r="H16" s="473"/>
      <c r="I16" s="473"/>
      <c r="J16" s="472"/>
      <c r="K16" s="472"/>
      <c r="L16" s="472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84"/>
      <c r="AD16" s="485"/>
      <c r="AE16" s="486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84"/>
      <c r="BJ16" s="485"/>
      <c r="BK16" s="485"/>
      <c r="BL16" s="485"/>
      <c r="BM16" s="486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88"/>
      <c r="BY16" s="488"/>
    </row>
    <row r="17" spans="1:77" s="6" customFormat="1" ht="45.75" customHeight="1" x14ac:dyDescent="0.2">
      <c r="A17" s="472"/>
      <c r="B17" s="473" t="s">
        <v>13</v>
      </c>
      <c r="C17" s="473" t="s">
        <v>41</v>
      </c>
      <c r="D17" s="473"/>
      <c r="E17" s="473"/>
      <c r="F17" s="472"/>
      <c r="G17" s="472"/>
      <c r="H17" s="472" t="s">
        <v>32</v>
      </c>
      <c r="I17" s="472" t="s">
        <v>33</v>
      </c>
      <c r="J17" s="472"/>
      <c r="K17" s="472"/>
      <c r="L17" s="472"/>
      <c r="M17" s="472" t="s">
        <v>37</v>
      </c>
      <c r="N17" s="472" t="s">
        <v>38</v>
      </c>
      <c r="O17" s="531">
        <f>'Исходные данные'!B10</f>
        <v>7.9878542510121457</v>
      </c>
      <c r="P17" s="532"/>
      <c r="Q17" s="473" t="s">
        <v>37</v>
      </c>
      <c r="R17" s="473"/>
      <c r="S17" s="473" t="s">
        <v>38</v>
      </c>
      <c r="T17" s="473"/>
      <c r="U17" s="472" t="s">
        <v>17</v>
      </c>
      <c r="V17" s="472" t="s">
        <v>18</v>
      </c>
      <c r="W17" s="489"/>
      <c r="X17" s="489"/>
      <c r="Y17" s="74">
        <v>0.1</v>
      </c>
      <c r="Z17" s="74">
        <v>0.05</v>
      </c>
      <c r="AA17" s="495"/>
      <c r="AB17" s="495"/>
      <c r="AC17" s="491" t="s">
        <v>19</v>
      </c>
      <c r="AD17" s="491" t="s">
        <v>17</v>
      </c>
      <c r="AE17" s="491" t="s">
        <v>18</v>
      </c>
      <c r="AF17" s="495">
        <f ca="1">(((((AD51/O51)*'Исходные данные'!B6)/29.25*(52/12)))/((AD51/O51)*'Исходные данные'!B6))</f>
        <v>0.14814814814814814</v>
      </c>
      <c r="AG17" s="495"/>
      <c r="AH17" s="472" t="s">
        <v>17</v>
      </c>
      <c r="AI17" s="472" t="s">
        <v>18</v>
      </c>
      <c r="AJ17" s="495">
        <v>0.307</v>
      </c>
      <c r="AK17" s="495"/>
      <c r="AL17" s="472" t="s">
        <v>17</v>
      </c>
      <c r="AM17" s="472" t="s">
        <v>18</v>
      </c>
      <c r="AN17" s="472" t="s">
        <v>333</v>
      </c>
      <c r="AO17" s="472" t="s">
        <v>43</v>
      </c>
      <c r="AP17" s="487" t="s">
        <v>50</v>
      </c>
      <c r="AQ17" s="487" t="s">
        <v>44</v>
      </c>
      <c r="AR17" s="487" t="s">
        <v>328</v>
      </c>
      <c r="AS17" s="487" t="s">
        <v>329</v>
      </c>
      <c r="AT17" s="472" t="s">
        <v>217</v>
      </c>
      <c r="AU17" s="487" t="s">
        <v>190</v>
      </c>
      <c r="AV17" s="487" t="s">
        <v>330</v>
      </c>
      <c r="AW17" s="487" t="s">
        <v>329</v>
      </c>
      <c r="AX17" s="472" t="s">
        <v>217</v>
      </c>
      <c r="AY17" s="487" t="s">
        <v>190</v>
      </c>
      <c r="AZ17" s="487" t="s">
        <v>330</v>
      </c>
      <c r="BA17" s="487" t="s">
        <v>329</v>
      </c>
      <c r="BB17" s="472" t="s">
        <v>377</v>
      </c>
      <c r="BC17" s="487" t="s">
        <v>190</v>
      </c>
      <c r="BD17" s="487" t="s">
        <v>330</v>
      </c>
      <c r="BE17" s="487" t="s">
        <v>329</v>
      </c>
      <c r="BF17" s="487" t="s">
        <v>392</v>
      </c>
      <c r="BG17" s="487" t="s">
        <v>330</v>
      </c>
      <c r="BH17" s="487" t="s">
        <v>329</v>
      </c>
      <c r="BI17" s="488" t="s">
        <v>46</v>
      </c>
      <c r="BJ17" s="488"/>
      <c r="BK17" s="488" t="s">
        <v>47</v>
      </c>
      <c r="BL17" s="488"/>
      <c r="BM17" s="517" t="s">
        <v>408</v>
      </c>
      <c r="BN17" s="488" t="s">
        <v>312</v>
      </c>
      <c r="BO17" s="488"/>
      <c r="BP17" s="488" t="s">
        <v>313</v>
      </c>
      <c r="BQ17" s="488"/>
      <c r="BR17" s="488" t="s">
        <v>314</v>
      </c>
      <c r="BS17" s="488"/>
      <c r="BT17" s="472" t="s">
        <v>315</v>
      </c>
      <c r="BU17" s="487" t="s">
        <v>316</v>
      </c>
      <c r="BV17" s="487" t="s">
        <v>332</v>
      </c>
      <c r="BW17" s="473"/>
      <c r="BX17" s="487" t="s">
        <v>51</v>
      </c>
      <c r="BY17" s="487" t="s">
        <v>15</v>
      </c>
    </row>
    <row r="18" spans="1:77" s="6" customFormat="1" ht="48" customHeight="1" x14ac:dyDescent="0.2">
      <c r="A18" s="472"/>
      <c r="B18" s="473"/>
      <c r="C18" s="472" t="s">
        <v>42</v>
      </c>
      <c r="D18" s="472" t="s">
        <v>54</v>
      </c>
      <c r="E18" s="472" t="s">
        <v>53</v>
      </c>
      <c r="F18" s="472"/>
      <c r="G18" s="472"/>
      <c r="H18" s="472"/>
      <c r="I18" s="472"/>
      <c r="J18" s="472"/>
      <c r="K18" s="472"/>
      <c r="L18" s="472"/>
      <c r="M18" s="472"/>
      <c r="N18" s="472"/>
      <c r="O18" s="472" t="s">
        <v>37</v>
      </c>
      <c r="P18" s="472" t="s">
        <v>38</v>
      </c>
      <c r="Q18" s="474" t="s">
        <v>20</v>
      </c>
      <c r="R18" s="472" t="s">
        <v>21</v>
      </c>
      <c r="S18" s="474" t="s">
        <v>20</v>
      </c>
      <c r="T18" s="472" t="s">
        <v>21</v>
      </c>
      <c r="U18" s="472"/>
      <c r="V18" s="472"/>
      <c r="W18" s="472" t="s">
        <v>17</v>
      </c>
      <c r="X18" s="472" t="s">
        <v>18</v>
      </c>
      <c r="Y18" s="472" t="s">
        <v>175</v>
      </c>
      <c r="Z18" s="472" t="s">
        <v>176</v>
      </c>
      <c r="AA18" s="472" t="s">
        <v>17</v>
      </c>
      <c r="AB18" s="472" t="s">
        <v>18</v>
      </c>
      <c r="AC18" s="492"/>
      <c r="AD18" s="492"/>
      <c r="AE18" s="492"/>
      <c r="AF18" s="472" t="s">
        <v>17</v>
      </c>
      <c r="AG18" s="472" t="s">
        <v>18</v>
      </c>
      <c r="AH18" s="472"/>
      <c r="AI18" s="472"/>
      <c r="AJ18" s="472" t="s">
        <v>17</v>
      </c>
      <c r="AK18" s="472" t="s">
        <v>18</v>
      </c>
      <c r="AL18" s="472"/>
      <c r="AM18" s="472"/>
      <c r="AN18" s="472"/>
      <c r="AO18" s="472"/>
      <c r="AP18" s="487"/>
      <c r="AQ18" s="487"/>
      <c r="AR18" s="487"/>
      <c r="AS18" s="487"/>
      <c r="AT18" s="472"/>
      <c r="AU18" s="487"/>
      <c r="AV18" s="487"/>
      <c r="AW18" s="487"/>
      <c r="AX18" s="472"/>
      <c r="AY18" s="487"/>
      <c r="AZ18" s="487"/>
      <c r="BA18" s="487"/>
      <c r="BB18" s="472"/>
      <c r="BC18" s="487"/>
      <c r="BD18" s="487"/>
      <c r="BE18" s="487"/>
      <c r="BF18" s="487"/>
      <c r="BG18" s="487"/>
      <c r="BH18" s="487"/>
      <c r="BI18" s="517" t="s">
        <v>556</v>
      </c>
      <c r="BJ18" s="517" t="s">
        <v>318</v>
      </c>
      <c r="BK18" s="517" t="s">
        <v>556</v>
      </c>
      <c r="BL18" s="517" t="s">
        <v>318</v>
      </c>
      <c r="BM18" s="529"/>
      <c r="BN18" s="487" t="s">
        <v>311</v>
      </c>
      <c r="BO18" s="487" t="s">
        <v>318</v>
      </c>
      <c r="BP18" s="487" t="s">
        <v>311</v>
      </c>
      <c r="BQ18" s="487" t="s">
        <v>318</v>
      </c>
      <c r="BR18" s="487" t="s">
        <v>311</v>
      </c>
      <c r="BS18" s="487" t="s">
        <v>318</v>
      </c>
      <c r="BT18" s="472"/>
      <c r="BU18" s="487"/>
      <c r="BV18" s="487"/>
      <c r="BW18" s="473"/>
      <c r="BX18" s="487"/>
      <c r="BY18" s="487"/>
    </row>
    <row r="19" spans="1:77" s="6" customFormat="1" ht="76.5" customHeight="1" x14ac:dyDescent="0.2">
      <c r="A19" s="472"/>
      <c r="B19" s="473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4"/>
      <c r="R19" s="472"/>
      <c r="S19" s="474"/>
      <c r="T19" s="472"/>
      <c r="U19" s="472"/>
      <c r="V19" s="472"/>
      <c r="W19" s="472"/>
      <c r="X19" s="472"/>
      <c r="Y19" s="472"/>
      <c r="Z19" s="472"/>
      <c r="AA19" s="472"/>
      <c r="AB19" s="472"/>
      <c r="AC19" s="493"/>
      <c r="AD19" s="493"/>
      <c r="AE19" s="493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87"/>
      <c r="AQ19" s="487"/>
      <c r="AR19" s="487"/>
      <c r="AS19" s="487"/>
      <c r="AT19" s="472"/>
      <c r="AU19" s="487"/>
      <c r="AV19" s="487"/>
      <c r="AW19" s="487"/>
      <c r="AX19" s="472"/>
      <c r="AY19" s="487"/>
      <c r="AZ19" s="487"/>
      <c r="BA19" s="487"/>
      <c r="BB19" s="472"/>
      <c r="BC19" s="487"/>
      <c r="BD19" s="487"/>
      <c r="BE19" s="487"/>
      <c r="BF19" s="487"/>
      <c r="BG19" s="487"/>
      <c r="BH19" s="487"/>
      <c r="BI19" s="518"/>
      <c r="BJ19" s="518"/>
      <c r="BK19" s="518"/>
      <c r="BL19" s="518"/>
      <c r="BM19" s="518"/>
      <c r="BN19" s="487"/>
      <c r="BO19" s="487"/>
      <c r="BP19" s="487"/>
      <c r="BQ19" s="487"/>
      <c r="BR19" s="487"/>
      <c r="BS19" s="487"/>
      <c r="BT19" s="472"/>
      <c r="BU19" s="487"/>
      <c r="BV19" s="487"/>
      <c r="BW19" s="473"/>
      <c r="BX19" s="487"/>
      <c r="BY19" s="487"/>
    </row>
    <row r="20" spans="1:77" x14ac:dyDescent="0.2">
      <c r="A20" s="20">
        <f>COLUMN(A20)</f>
        <v>1</v>
      </c>
      <c r="B20" s="494">
        <f>COLUMN(B20)</f>
        <v>2</v>
      </c>
      <c r="C20" s="494"/>
      <c r="D20" s="494"/>
      <c r="E20" s="494"/>
      <c r="F20" s="20">
        <v>3</v>
      </c>
      <c r="G20" s="20">
        <f t="shared" ref="G20:BR20" si="0">F20+1</f>
        <v>4</v>
      </c>
      <c r="H20" s="20">
        <f t="shared" si="0"/>
        <v>5</v>
      </c>
      <c r="I20" s="20">
        <f t="shared" si="0"/>
        <v>6</v>
      </c>
      <c r="J20" s="20">
        <f t="shared" si="0"/>
        <v>7</v>
      </c>
      <c r="K20" s="20">
        <f t="shared" si="0"/>
        <v>8</v>
      </c>
      <c r="L20" s="20">
        <f t="shared" si="0"/>
        <v>9</v>
      </c>
      <c r="M20" s="20">
        <f t="shared" si="0"/>
        <v>10</v>
      </c>
      <c r="N20" s="20">
        <f t="shared" si="0"/>
        <v>11</v>
      </c>
      <c r="O20" s="20">
        <f t="shared" si="0"/>
        <v>12</v>
      </c>
      <c r="P20" s="20">
        <f t="shared" si="0"/>
        <v>13</v>
      </c>
      <c r="Q20" s="20">
        <f t="shared" si="0"/>
        <v>14</v>
      </c>
      <c r="R20" s="20">
        <f t="shared" si="0"/>
        <v>15</v>
      </c>
      <c r="S20" s="20">
        <f t="shared" si="0"/>
        <v>16</v>
      </c>
      <c r="T20" s="20">
        <f t="shared" si="0"/>
        <v>17</v>
      </c>
      <c r="U20" s="20">
        <f t="shared" si="0"/>
        <v>18</v>
      </c>
      <c r="V20" s="20">
        <f t="shared" si="0"/>
        <v>19</v>
      </c>
      <c r="W20" s="20">
        <f t="shared" si="0"/>
        <v>20</v>
      </c>
      <c r="X20" s="20">
        <f t="shared" si="0"/>
        <v>21</v>
      </c>
      <c r="Y20" s="20">
        <f t="shared" si="0"/>
        <v>22</v>
      </c>
      <c r="Z20" s="20">
        <f t="shared" si="0"/>
        <v>23</v>
      </c>
      <c r="AA20" s="20">
        <f t="shared" si="0"/>
        <v>24</v>
      </c>
      <c r="AB20" s="20">
        <f t="shared" si="0"/>
        <v>25</v>
      </c>
      <c r="AC20" s="20">
        <f t="shared" si="0"/>
        <v>26</v>
      </c>
      <c r="AD20" s="20">
        <f t="shared" si="0"/>
        <v>27</v>
      </c>
      <c r="AE20" s="20">
        <f t="shared" si="0"/>
        <v>28</v>
      </c>
      <c r="AF20" s="20">
        <f t="shared" si="0"/>
        <v>29</v>
      </c>
      <c r="AG20" s="20">
        <f t="shared" si="0"/>
        <v>30</v>
      </c>
      <c r="AH20" s="20">
        <f t="shared" si="0"/>
        <v>31</v>
      </c>
      <c r="AI20" s="20">
        <f t="shared" si="0"/>
        <v>32</v>
      </c>
      <c r="AJ20" s="20">
        <f t="shared" si="0"/>
        <v>33</v>
      </c>
      <c r="AK20" s="20">
        <f t="shared" si="0"/>
        <v>34</v>
      </c>
      <c r="AL20" s="20">
        <f t="shared" si="0"/>
        <v>35</v>
      </c>
      <c r="AM20" s="20">
        <f t="shared" si="0"/>
        <v>36</v>
      </c>
      <c r="AN20" s="20">
        <f t="shared" si="0"/>
        <v>37</v>
      </c>
      <c r="AO20" s="20">
        <f t="shared" si="0"/>
        <v>38</v>
      </c>
      <c r="AP20" s="20">
        <f t="shared" si="0"/>
        <v>39</v>
      </c>
      <c r="AQ20" s="20">
        <f t="shared" si="0"/>
        <v>40</v>
      </c>
      <c r="AR20" s="20">
        <f t="shared" si="0"/>
        <v>41</v>
      </c>
      <c r="AS20" s="20">
        <f t="shared" si="0"/>
        <v>42</v>
      </c>
      <c r="AT20" s="20">
        <f t="shared" si="0"/>
        <v>43</v>
      </c>
      <c r="AU20" s="20">
        <f t="shared" si="0"/>
        <v>44</v>
      </c>
      <c r="AV20" s="20">
        <f t="shared" si="0"/>
        <v>45</v>
      </c>
      <c r="AW20" s="20">
        <f t="shared" si="0"/>
        <v>46</v>
      </c>
      <c r="AX20" s="20">
        <f t="shared" si="0"/>
        <v>47</v>
      </c>
      <c r="AY20" s="20">
        <f t="shared" si="0"/>
        <v>48</v>
      </c>
      <c r="AZ20" s="20">
        <f t="shared" si="0"/>
        <v>49</v>
      </c>
      <c r="BA20" s="20">
        <f t="shared" si="0"/>
        <v>50</v>
      </c>
      <c r="BB20" s="20">
        <f t="shared" si="0"/>
        <v>51</v>
      </c>
      <c r="BC20" s="20">
        <f t="shared" si="0"/>
        <v>52</v>
      </c>
      <c r="BD20" s="20">
        <f t="shared" si="0"/>
        <v>53</v>
      </c>
      <c r="BE20" s="20">
        <f t="shared" si="0"/>
        <v>54</v>
      </c>
      <c r="BF20" s="20">
        <f t="shared" si="0"/>
        <v>55</v>
      </c>
      <c r="BG20" s="20">
        <f t="shared" si="0"/>
        <v>56</v>
      </c>
      <c r="BH20" s="20">
        <f t="shared" si="0"/>
        <v>57</v>
      </c>
      <c r="BI20" s="20">
        <f t="shared" si="0"/>
        <v>58</v>
      </c>
      <c r="BJ20" s="20">
        <f t="shared" si="0"/>
        <v>59</v>
      </c>
      <c r="BK20" s="20">
        <f t="shared" si="0"/>
        <v>60</v>
      </c>
      <c r="BL20" s="20">
        <f t="shared" si="0"/>
        <v>61</v>
      </c>
      <c r="BM20" s="20">
        <f t="shared" si="0"/>
        <v>62</v>
      </c>
      <c r="BN20" s="20">
        <f t="shared" si="0"/>
        <v>63</v>
      </c>
      <c r="BO20" s="20">
        <f t="shared" si="0"/>
        <v>64</v>
      </c>
      <c r="BP20" s="20">
        <f t="shared" si="0"/>
        <v>65</v>
      </c>
      <c r="BQ20" s="20">
        <f t="shared" si="0"/>
        <v>66</v>
      </c>
      <c r="BR20" s="20">
        <f t="shared" si="0"/>
        <v>67</v>
      </c>
      <c r="BS20" s="20">
        <f t="shared" ref="BS20:BY20" si="1">BR20+1</f>
        <v>68</v>
      </c>
      <c r="BT20" s="20">
        <f t="shared" si="1"/>
        <v>69</v>
      </c>
      <c r="BU20" s="20">
        <f t="shared" si="1"/>
        <v>70</v>
      </c>
      <c r="BV20" s="20">
        <f t="shared" si="1"/>
        <v>71</v>
      </c>
      <c r="BW20" s="20">
        <f t="shared" si="1"/>
        <v>72</v>
      </c>
      <c r="BX20" s="20">
        <f t="shared" si="1"/>
        <v>73</v>
      </c>
      <c r="BY20" s="20">
        <f t="shared" si="1"/>
        <v>74</v>
      </c>
    </row>
    <row r="21" spans="1:77" s="7" customFormat="1" ht="12.75" customHeight="1" x14ac:dyDescent="0.2">
      <c r="A21" s="21"/>
      <c r="B21" s="462" t="s">
        <v>57</v>
      </c>
      <c r="C21" s="462"/>
      <c r="D21" s="462"/>
      <c r="E21" s="46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5"/>
      <c r="AQ21" s="26"/>
      <c r="AR21" s="26"/>
      <c r="AS21" s="25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3"/>
    </row>
    <row r="22" spans="1:77" ht="22.5" x14ac:dyDescent="0.2">
      <c r="A22" s="20">
        <v>1</v>
      </c>
      <c r="B22" s="27" t="s">
        <v>420</v>
      </c>
      <c r="C22" s="66">
        <v>2</v>
      </c>
      <c r="D22" s="30" t="s">
        <v>186</v>
      </c>
      <c r="E22" s="31" t="s">
        <v>115</v>
      </c>
      <c r="F22" s="28" t="s">
        <v>108</v>
      </c>
      <c r="G22" s="29">
        <f>D6</f>
        <v>100</v>
      </c>
      <c r="H22" s="174">
        <v>42628</v>
      </c>
      <c r="I22" s="174">
        <v>42633</v>
      </c>
      <c r="J22" s="179">
        <f>I22-H22</f>
        <v>5</v>
      </c>
      <c r="K22" s="176">
        <f>8*1.26</f>
        <v>10.08</v>
      </c>
      <c r="L22" s="33">
        <f>G22/K22</f>
        <v>9.9206349206349209</v>
      </c>
      <c r="M22" s="34">
        <f>L22/J22</f>
        <v>1.9841269841269842</v>
      </c>
      <c r="N22" s="34"/>
      <c r="O22" s="35">
        <f>IF(M22=0,0,L22*$O$17)</f>
        <v>79.2445858235332</v>
      </c>
      <c r="P22" s="35">
        <f>IF(N22=0,0,L22*$O$17)</f>
        <v>0</v>
      </c>
      <c r="Q22" s="34">
        <v>6</v>
      </c>
      <c r="R22" s="83">
        <f ca="1">IF(AND(O22&gt;0,Q22&gt;0),SUMIF('Исходные данные'!$C$13:H24,Q22,'Исходные данные'!$C$25:$H$25),IF(O22=0,0,IF(Q22=0,"РОТ")))</f>
        <v>254.86686264571719</v>
      </c>
      <c r="S22" s="34"/>
      <c r="T22" s="33"/>
      <c r="U22" s="130">
        <f ca="1">O22*R22*'Исходные данные'!$C$37%</f>
        <v>0</v>
      </c>
      <c r="V22" s="130">
        <f>P22*T22*'Исходные данные'!$C$38%</f>
        <v>0</v>
      </c>
      <c r="W22" s="130">
        <f ca="1">O22*R22*$W$17</f>
        <v>0</v>
      </c>
      <c r="X22" s="254">
        <f>P22*T22*$W$17</f>
        <v>0</v>
      </c>
      <c r="Y22" s="130">
        <f ca="1">(O22*R22+U22+W22)*$Y$17</f>
        <v>2019.6818970503184</v>
      </c>
      <c r="Z22" s="254">
        <f>(P22*T22+V22+X22)*$Z$17</f>
        <v>0</v>
      </c>
      <c r="AA22" s="130">
        <f ca="1">(O22*R22+U22)*$AA$17</f>
        <v>0</v>
      </c>
      <c r="AB22" s="254">
        <f>(P22*T22+V22)*$AA$17</f>
        <v>0</v>
      </c>
      <c r="AC22" s="260">
        <v>2.5</v>
      </c>
      <c r="AD22" s="130">
        <f ca="1">(O22*R22+U22+W22+Y22+AA22)*AC22</f>
        <v>55541.252168883759</v>
      </c>
      <c r="AE22" s="130">
        <f>(P22*T22+V22+X22+Z22+AB22)*AC22</f>
        <v>0</v>
      </c>
      <c r="AF22" s="35">
        <f ca="1">AD22*$AF$17</f>
        <v>8228.3336546494447</v>
      </c>
      <c r="AG22" s="114"/>
      <c r="AH22" s="35">
        <f t="shared" ref="AH22:AI32" ca="1" si="2">AD22+AF22</f>
        <v>63769.585823533205</v>
      </c>
      <c r="AI22" s="35">
        <f t="shared" si="2"/>
        <v>0</v>
      </c>
      <c r="AJ22" s="35">
        <f t="shared" ref="AJ22:AK32" ca="1" si="3">AH22*$AJ$17</f>
        <v>19577.262847824695</v>
      </c>
      <c r="AK22" s="114">
        <f t="shared" si="3"/>
        <v>0</v>
      </c>
      <c r="AL22" s="35">
        <f ca="1">AH22+AJ22</f>
        <v>83346.848671357904</v>
      </c>
      <c r="AM22" s="114">
        <f>AK22+AI22</f>
        <v>0</v>
      </c>
      <c r="AN22" s="176">
        <v>9.5238095238095237</v>
      </c>
      <c r="AO22" s="33">
        <f>'Исходные данные'!$C$53</f>
        <v>0.84</v>
      </c>
      <c r="AP22" s="79">
        <f>(G22*AN22)*AO22/100</f>
        <v>8</v>
      </c>
      <c r="AQ22" s="33" t="s">
        <v>156</v>
      </c>
      <c r="AR22" s="83">
        <f>'Исходные данные'!$E$77</f>
        <v>9695.221463414633</v>
      </c>
      <c r="AS22" s="36">
        <f>AP22*AR22</f>
        <v>77561.771707317064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f>аморт!$G$11</f>
        <v>181.91312849162011</v>
      </c>
      <c r="BJ22" s="36">
        <f>BI22*L22*$O$17</f>
        <v>14415.630523181613</v>
      </c>
      <c r="BK22" s="36">
        <f>аморт!$G$72</f>
        <v>16.941761627906978</v>
      </c>
      <c r="BL22" s="36">
        <f>BK22*L22*$O$17</f>
        <v>1342.542883324516</v>
      </c>
      <c r="BM22" s="36"/>
      <c r="BN22" s="38">
        <f>'Исходные данные'!$B$82</f>
        <v>99.992314269119987</v>
      </c>
      <c r="BO22" s="36">
        <f>BN22*BY22</f>
        <v>14879.808670999999</v>
      </c>
      <c r="BP22" s="38">
        <f>'Исходные данные'!$B$87</f>
        <v>8.0425991068799991</v>
      </c>
      <c r="BQ22" s="36">
        <f>BP22*BY22</f>
        <v>1196.8153432857143</v>
      </c>
      <c r="BR22" s="38">
        <f>'Исходные данные'!$B$92</f>
        <v>11.043568922879997</v>
      </c>
      <c r="BS22" s="36">
        <f>BR22*BY22</f>
        <v>1643.3882325714283</v>
      </c>
      <c r="BT22" s="36">
        <f>аморт!$C$72*10%/аморт!$F$72*L22*O17</f>
        <v>1074.0343066596126</v>
      </c>
      <c r="BU22" s="36">
        <f ca="1">AL22+AM22+AS22+AW22+BA22+BE22+BH22+BJ22+BL22+BM22+BO22+BQ22+BS22+BT22</f>
        <v>195460.84033869786</v>
      </c>
      <c r="BV22" s="36">
        <f ca="1">BU22/$D$6</f>
        <v>1954.6084033869786</v>
      </c>
      <c r="BW22" s="38">
        <f>(O22+P22)/$D$6</f>
        <v>0.79244585823533198</v>
      </c>
      <c r="BX22" s="38">
        <f>'Исходные данные'!$B$108</f>
        <v>15</v>
      </c>
      <c r="BY22" s="255">
        <f>BX22*L22</f>
        <v>148.80952380952382</v>
      </c>
    </row>
    <row r="23" spans="1:77" x14ac:dyDescent="0.2">
      <c r="A23" s="20">
        <f>A22+1</f>
        <v>2</v>
      </c>
      <c r="B23" s="27" t="s">
        <v>428</v>
      </c>
      <c r="C23" s="66">
        <v>1</v>
      </c>
      <c r="D23" s="30" t="s">
        <v>186</v>
      </c>
      <c r="E23" s="31" t="s">
        <v>432</v>
      </c>
      <c r="F23" s="28" t="s">
        <v>108</v>
      </c>
      <c r="G23" s="29">
        <f>G22</f>
        <v>100</v>
      </c>
      <c r="H23" s="174">
        <v>42510</v>
      </c>
      <c r="I23" s="174">
        <v>42515</v>
      </c>
      <c r="J23" s="179">
        <f t="shared" ref="J23:J31" si="4">I23-H23</f>
        <v>5</v>
      </c>
      <c r="K23" s="176">
        <f>8*3.6</f>
        <v>28.8</v>
      </c>
      <c r="L23" s="33">
        <f>G23/K23</f>
        <v>3.4722222222222223</v>
      </c>
      <c r="M23" s="34">
        <f t="shared" ref="M23:M27" si="5">L23/J23</f>
        <v>0.69444444444444442</v>
      </c>
      <c r="N23" s="34"/>
      <c r="O23" s="35">
        <f>IF(M23=0,0,L23*$O$17)</f>
        <v>27.735605038236617</v>
      </c>
      <c r="P23" s="35">
        <f>IF(N23=0,0,L23*$O$17)</f>
        <v>0</v>
      </c>
      <c r="Q23" s="34">
        <v>5</v>
      </c>
      <c r="R23" s="83">
        <f ca="1">IF(AND(O23&gt;0,Q23&gt;0),SUMIF('Исходные данные'!$C$13:H25,Q23,'Исходные данные'!$C$25:$H$25),IF(O23=0,0,IF(Q23=0,"РОТ")))</f>
        <v>219.30404460212878</v>
      </c>
      <c r="S23" s="34"/>
      <c r="T23" s="33"/>
      <c r="U23" s="130">
        <f ca="1">O23*R23*'Исходные данные'!$C$37%</f>
        <v>0</v>
      </c>
      <c r="V23" s="130">
        <f>P23*T23*'Исходные данные'!$C$38%</f>
        <v>0</v>
      </c>
      <c r="W23" s="130">
        <f ca="1">O23*R23*$W$17</f>
        <v>0</v>
      </c>
      <c r="X23" s="254">
        <f>P23*T23*$W$17</f>
        <v>0</v>
      </c>
      <c r="Y23" s="130">
        <f ca="1">(O23*R23+U23+W23)*$Y$17</f>
        <v>608.25303643724715</v>
      </c>
      <c r="Z23" s="254">
        <f>(P23*T23+V23+X23)*$Z$17</f>
        <v>0</v>
      </c>
      <c r="AA23" s="130">
        <f ca="1">(O23*R23+U23)*$AA$17</f>
        <v>0</v>
      </c>
      <c r="AB23" s="254">
        <f>(P23*T23+V23)*$AA$17</f>
        <v>0</v>
      </c>
      <c r="AC23" s="260">
        <v>2.5</v>
      </c>
      <c r="AD23" s="130">
        <f ca="1">(O23*R23+U23+W23+Y23+AA23)*AC23</f>
        <v>16726.958502024296</v>
      </c>
      <c r="AE23" s="130">
        <f>(P23*T23+V23+X23+Z23+AB23)*AC23</f>
        <v>0</v>
      </c>
      <c r="AF23" s="35">
        <f ca="1">AD23*$AF$17</f>
        <v>2478.0679262258213</v>
      </c>
      <c r="AG23" s="114"/>
      <c r="AH23" s="35">
        <f t="shared" ca="1" si="2"/>
        <v>19205.026428250116</v>
      </c>
      <c r="AI23" s="35">
        <f t="shared" si="2"/>
        <v>0</v>
      </c>
      <c r="AJ23" s="35">
        <f t="shared" ca="1" si="3"/>
        <v>5895.9431134727856</v>
      </c>
      <c r="AK23" s="114">
        <f t="shared" si="3"/>
        <v>0</v>
      </c>
      <c r="AL23" s="35">
        <f ca="1">AH23+AJ23</f>
        <v>25100.969541722901</v>
      </c>
      <c r="AM23" s="114">
        <f>AK23+AI23</f>
        <v>0</v>
      </c>
      <c r="AN23" s="176">
        <v>9.5238095238095237</v>
      </c>
      <c r="AO23" s="33">
        <f>'Исходные данные'!$C$53</f>
        <v>0.84</v>
      </c>
      <c r="AP23" s="79">
        <f>(G23*AN23)*AO23/100</f>
        <v>8</v>
      </c>
      <c r="AQ23" s="33" t="s">
        <v>156</v>
      </c>
      <c r="AR23" s="83">
        <f>'Исходные данные'!$E$77</f>
        <v>9695.221463414633</v>
      </c>
      <c r="AS23" s="36">
        <f>AP23*AR23</f>
        <v>77561.771707317064</v>
      </c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f>аморт!$G$11</f>
        <v>181.91312849162011</v>
      </c>
      <c r="BJ23" s="36">
        <f t="shared" ref="BJ23:BJ32" si="6">BI23*L23*$O$17</f>
        <v>5045.4706831135636</v>
      </c>
      <c r="BK23" s="36">
        <f>аморт!G35</f>
        <v>631.57894736842104</v>
      </c>
      <c r="BL23" s="36">
        <f t="shared" ref="BL23:BL32" si="7">BK23*L23*$O$17</f>
        <v>17517.224234675756</v>
      </c>
      <c r="BM23" s="36"/>
      <c r="BN23" s="38">
        <f>'Исходные данные'!$B$82</f>
        <v>99.992314269119987</v>
      </c>
      <c r="BO23" s="36">
        <f>BN23*BY23</f>
        <v>5207.9330348499998</v>
      </c>
      <c r="BP23" s="38">
        <f>'Исходные данные'!$B$87</f>
        <v>8.0425991068799991</v>
      </c>
      <c r="BQ23" s="36">
        <f>BP23*BY23</f>
        <v>418.88537014999997</v>
      </c>
      <c r="BR23" s="38">
        <f>'Исходные данные'!$B$92</f>
        <v>11.043568922879997</v>
      </c>
      <c r="BS23" s="36">
        <f>BR23*BY23</f>
        <v>575.18588139999986</v>
      </c>
      <c r="BT23" s="36">
        <f>аморт!$C$35*10%/аморт!$F$35*L23*O17</f>
        <v>8758.6121173378779</v>
      </c>
      <c r="BU23" s="36">
        <f ca="1">AL23+AM23+AS23+AW23+BA23+BE23+BH23+BJ23+BL23+BM23+BO23+BQ23+BS23+BT23</f>
        <v>140186.05257056718</v>
      </c>
      <c r="BV23" s="36">
        <f ca="1">BU23/$D$6</f>
        <v>1401.8605257056718</v>
      </c>
      <c r="BW23" s="38">
        <f>(O23+P23)/$D$6</f>
        <v>0.27735605038236616</v>
      </c>
      <c r="BX23" s="38">
        <f>'Исходные данные'!$B$108</f>
        <v>15</v>
      </c>
      <c r="BY23" s="255">
        <f>BX23*L23</f>
        <v>52.083333333333336</v>
      </c>
    </row>
    <row r="24" spans="1:77" x14ac:dyDescent="0.2">
      <c r="A24" s="20">
        <f>A23+1</f>
        <v>3</v>
      </c>
      <c r="B24" s="27" t="s">
        <v>429</v>
      </c>
      <c r="C24" s="66">
        <v>1</v>
      </c>
      <c r="D24" s="30" t="s">
        <v>186</v>
      </c>
      <c r="E24" s="31" t="s">
        <v>425</v>
      </c>
      <c r="F24" s="28" t="s">
        <v>108</v>
      </c>
      <c r="G24" s="29">
        <f>D6</f>
        <v>100</v>
      </c>
      <c r="H24" s="174">
        <v>42515</v>
      </c>
      <c r="I24" s="174">
        <v>42522</v>
      </c>
      <c r="J24" s="179">
        <f t="shared" si="4"/>
        <v>7</v>
      </c>
      <c r="K24" s="176">
        <f>8*4</f>
        <v>32</v>
      </c>
      <c r="L24" s="33">
        <f>G24/K24</f>
        <v>3.125</v>
      </c>
      <c r="M24" s="34">
        <f t="shared" si="5"/>
        <v>0.44642857142857145</v>
      </c>
      <c r="N24" s="34"/>
      <c r="O24" s="35">
        <f>IF(M24=0,0,L24*$O$17)</f>
        <v>24.962044534412957</v>
      </c>
      <c r="P24" s="35">
        <f>IF(N24=0,0,L24*$O$17)</f>
        <v>0</v>
      </c>
      <c r="Q24" s="34">
        <v>6</v>
      </c>
      <c r="R24" s="83">
        <f ca="1">IF(AND(O24&gt;0,Q24&gt;0),SUMIF('Исходные данные'!$C$13:H26,Q24,'Исходные данные'!$C$25:$H$25),IF(O24=0,0,IF(Q24=0,"РОТ")))</f>
        <v>254.86686264571719</v>
      </c>
      <c r="S24" s="34"/>
      <c r="T24" s="33"/>
      <c r="U24" s="130">
        <f ca="1">O24*R24*'Исходные данные'!$C$37%</f>
        <v>0</v>
      </c>
      <c r="V24" s="130">
        <f>P24*T24*'Исходные данные'!$C$38%</f>
        <v>0</v>
      </c>
      <c r="W24" s="130">
        <f ca="1">O24*R24*$W$17</f>
        <v>0</v>
      </c>
      <c r="X24" s="254">
        <f>P24*T24*$W$17</f>
        <v>0</v>
      </c>
      <c r="Y24" s="130">
        <f ca="1">(O24*R24+U24+W24)*$Y$17</f>
        <v>636.19979757085036</v>
      </c>
      <c r="Z24" s="254">
        <f>(P24*T24+V24+X24)*$Z$17</f>
        <v>0</v>
      </c>
      <c r="AA24" s="130">
        <f ca="1">(O24*R24+U24)*$AA$17</f>
        <v>0</v>
      </c>
      <c r="AB24" s="254">
        <f>(P24*T24+V24)*$AA$17</f>
        <v>0</v>
      </c>
      <c r="AC24" s="260">
        <v>2.5</v>
      </c>
      <c r="AD24" s="130">
        <f ca="1">(O24*R24+U24+W24+Y24+AA24)*AC24</f>
        <v>17495.494433198382</v>
      </c>
      <c r="AE24" s="130">
        <f>(P24*T24+V24+X24+Z24+AB24)*AC24</f>
        <v>0</v>
      </c>
      <c r="AF24" s="35">
        <f ca="1">AD24*$AF$17</f>
        <v>2591.9251012145751</v>
      </c>
      <c r="AG24" s="114"/>
      <c r="AH24" s="35">
        <f t="shared" ca="1" si="2"/>
        <v>20087.419534412958</v>
      </c>
      <c r="AI24" s="35">
        <f t="shared" si="2"/>
        <v>0</v>
      </c>
      <c r="AJ24" s="35">
        <f t="shared" ca="1" si="3"/>
        <v>6166.837797064778</v>
      </c>
      <c r="AK24" s="114">
        <f t="shared" si="3"/>
        <v>0</v>
      </c>
      <c r="AL24" s="35">
        <f ca="1">AH24+AJ24</f>
        <v>26254.257331477736</v>
      </c>
      <c r="AM24" s="114">
        <f>AK24+AI24</f>
        <v>0</v>
      </c>
      <c r="AN24" s="176">
        <v>9.5238095238095237</v>
      </c>
      <c r="AO24" s="33">
        <f>'Исходные данные'!$C$53</f>
        <v>0.84</v>
      </c>
      <c r="AP24" s="79">
        <f>(G24*AN24)*AO24/100</f>
        <v>8</v>
      </c>
      <c r="AQ24" s="33" t="s">
        <v>155</v>
      </c>
      <c r="AR24" s="83">
        <f>'Исходные данные'!$E$78</f>
        <v>9477.4514285714286</v>
      </c>
      <c r="AS24" s="36">
        <f>AP24*AR24</f>
        <v>75819.611428571428</v>
      </c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>
        <f>аморт!$G$11</f>
        <v>181.91312849162011</v>
      </c>
      <c r="BJ24" s="36">
        <f t="shared" si="6"/>
        <v>4540.9236148022073</v>
      </c>
      <c r="BK24" s="36">
        <f>аморт!G54</f>
        <v>43.453374999999994</v>
      </c>
      <c r="BL24" s="36">
        <f t="shared" si="7"/>
        <v>1084.6850819205465</v>
      </c>
      <c r="BM24" s="36"/>
      <c r="BN24" s="38">
        <f>'Исходные данные'!$B$82</f>
        <v>99.992314269119987</v>
      </c>
      <c r="BO24" s="36">
        <f>BN24*BY24</f>
        <v>4687.1397313649995</v>
      </c>
      <c r="BP24" s="38">
        <f>'Исходные данные'!$B$87</f>
        <v>8.0425991068799991</v>
      </c>
      <c r="BQ24" s="36">
        <f>BP24*BY24</f>
        <v>376.99683313499997</v>
      </c>
      <c r="BR24" s="38">
        <f>'Исходные данные'!$B$92</f>
        <v>11.043568922879997</v>
      </c>
      <c r="BS24" s="36">
        <f>BR24*BY24</f>
        <v>517.66729325999984</v>
      </c>
      <c r="BT24" s="36">
        <f>аморт!$C$54*10%/аморт!$F$54*L24*O17</f>
        <v>867.74806553643737</v>
      </c>
      <c r="BU24" s="36">
        <f ca="1">AL24+AM24+AS24+AW24+BA24+BE24+BH24+BJ24+BL24+BM24+BO24+BQ24+BS24+BT24</f>
        <v>114149.02938006834</v>
      </c>
      <c r="BV24" s="36">
        <f ca="1">BU24/$D$6</f>
        <v>1141.4902938006835</v>
      </c>
      <c r="BW24" s="38">
        <f>(O24+P24)/$D$6</f>
        <v>0.24962044534412958</v>
      </c>
      <c r="BX24" s="38">
        <f>'Исходные данные'!$B$108</f>
        <v>15</v>
      </c>
      <c r="BY24" s="255">
        <f>BX24*L24</f>
        <v>46.875</v>
      </c>
    </row>
    <row r="25" spans="1:77" x14ac:dyDescent="0.2">
      <c r="A25" s="20">
        <f t="shared" ref="A25:A32" si="8">A24+1</f>
        <v>4</v>
      </c>
      <c r="B25" s="27" t="s">
        <v>430</v>
      </c>
      <c r="C25" s="66">
        <v>1</v>
      </c>
      <c r="D25" s="30" t="s">
        <v>107</v>
      </c>
      <c r="E25" s="180" t="s">
        <v>492</v>
      </c>
      <c r="F25" s="28" t="s">
        <v>108</v>
      </c>
      <c r="G25" s="29">
        <f>D6</f>
        <v>100</v>
      </c>
      <c r="H25" s="174">
        <v>42536</v>
      </c>
      <c r="I25" s="174">
        <v>42542</v>
      </c>
      <c r="J25" s="179">
        <f t="shared" si="4"/>
        <v>6</v>
      </c>
      <c r="K25" s="176">
        <f>8*4.2</f>
        <v>33.6</v>
      </c>
      <c r="L25" s="33">
        <f t="shared" ref="L25:L32" si="9">G25/K25</f>
        <v>2.9761904761904763</v>
      </c>
      <c r="M25" s="34">
        <f t="shared" si="5"/>
        <v>0.49603174603174605</v>
      </c>
      <c r="N25" s="34"/>
      <c r="O25" s="35">
        <f>IF(M25=0,0,L25*$O$17)</f>
        <v>23.773375747059958</v>
      </c>
      <c r="P25" s="35">
        <f t="shared" ref="P25:P31" si="10">IF(N25=0,0,L25*$O$17)</f>
        <v>0</v>
      </c>
      <c r="Q25" s="34">
        <v>3</v>
      </c>
      <c r="R25" s="83">
        <f ca="1">IF(AND(O25&gt;0,Q25&gt;0),SUMIF('Исходные данные'!$C$13:H26,Q25,'Исходные данные'!$C$17:$H$17),IF(O25=0,0,IF(Q25=0,"РОТ")))</f>
        <v>138.29984794728838</v>
      </c>
      <c r="S25" s="34"/>
      <c r="T25" s="33"/>
      <c r="U25" s="130">
        <f ca="1">O25*R25*'Исходные данные'!$C$37%</f>
        <v>0</v>
      </c>
      <c r="V25" s="130">
        <f>P25*T25*'Исходные данные'!$C$38%</f>
        <v>0</v>
      </c>
      <c r="W25" s="130">
        <f t="shared" ref="W25:W32" ca="1" si="11">O25*R25*$W$17</f>
        <v>0</v>
      </c>
      <c r="X25" s="254">
        <f t="shared" ref="X25:X32" si="12">P25*T25*$W$17</f>
        <v>0</v>
      </c>
      <c r="Y25" s="130">
        <f t="shared" ref="Y25:Y32" ca="1" si="13">(O25*R25+U25+W25)*$Y$17</f>
        <v>328.78542510121457</v>
      </c>
      <c r="Z25" s="254">
        <f t="shared" ref="Z25:Z32" si="14">(P25*T25+V25+X25)*$Z$17</f>
        <v>0</v>
      </c>
      <c r="AA25" s="130">
        <f t="shared" ref="AA25:AA32" ca="1" si="15">(O25*R25+U25)*$AA$17</f>
        <v>0</v>
      </c>
      <c r="AB25" s="254">
        <f t="shared" ref="AB25:AB32" si="16">(P25*T25+V25)*$AA$17</f>
        <v>0</v>
      </c>
      <c r="AC25" s="260">
        <v>2.5</v>
      </c>
      <c r="AD25" s="130">
        <f t="shared" ref="AD25:AD32" ca="1" si="17">(O25*R25+U25+W25+Y25+AA25)*AC25</f>
        <v>9041.5991902833994</v>
      </c>
      <c r="AE25" s="130">
        <f t="shared" ref="AE25:AE32" si="18">(P25*T25+V25+X25+Z25+AB25)*AC25</f>
        <v>0</v>
      </c>
      <c r="AF25" s="35">
        <f t="shared" ref="AF25:AG32" ca="1" si="19">AD25*$AF$17</f>
        <v>1339.4961763382812</v>
      </c>
      <c r="AG25" s="114"/>
      <c r="AH25" s="35">
        <f t="shared" ca="1" si="2"/>
        <v>10381.095366621681</v>
      </c>
      <c r="AI25" s="35"/>
      <c r="AJ25" s="35">
        <f t="shared" ca="1" si="3"/>
        <v>3186.9962775528561</v>
      </c>
      <c r="AK25" s="114"/>
      <c r="AL25" s="35">
        <f t="shared" ref="AL25:AL32" ca="1" si="20">AH25+AJ25</f>
        <v>13568.091644174538</v>
      </c>
      <c r="AM25" s="114"/>
      <c r="AN25" s="176">
        <v>2.2999999999999998</v>
      </c>
      <c r="AO25" s="33">
        <f>'Исходные данные'!$C$53</f>
        <v>0.84</v>
      </c>
      <c r="AP25" s="79">
        <f>(G25*AN25)*AO25/100</f>
        <v>1.9319999999999995</v>
      </c>
      <c r="AQ25" s="33" t="s">
        <v>155</v>
      </c>
      <c r="AR25" s="83">
        <f>'Исходные данные'!$G$78</f>
        <v>9559.3714285714286</v>
      </c>
      <c r="AS25" s="36">
        <f>AP25*AR25</f>
        <v>18468.705599999994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f>аморт!$G$10</f>
        <v>69.696969696969703</v>
      </c>
      <c r="BJ25" s="36">
        <f t="shared" si="6"/>
        <v>1656.9322490375125</v>
      </c>
      <c r="BK25" s="36">
        <f>аморт!$G$34</f>
        <v>97.41305263157895</v>
      </c>
      <c r="BL25" s="36">
        <f t="shared" si="7"/>
        <v>2315.8371028786542</v>
      </c>
      <c r="BM25" s="36"/>
      <c r="BN25" s="38">
        <f>'Исходные данные'!$E$82</f>
        <v>98.911965135359992</v>
      </c>
      <c r="BO25" s="36">
        <f>BN25*BY25</f>
        <v>1501.3423279474284</v>
      </c>
      <c r="BP25" s="38">
        <f>'Исходные данные'!$E$87</f>
        <v>16.685392176959997</v>
      </c>
      <c r="BQ25" s="36">
        <f>BP25*BY25</f>
        <v>253.26041697171425</v>
      </c>
      <c r="BR25" s="38">
        <f>'Исходные данные'!$E$92</f>
        <v>5.7618620467199984</v>
      </c>
      <c r="BS25" s="36">
        <f>BR25*BY25</f>
        <v>87.456834637714266</v>
      </c>
      <c r="BT25" s="36">
        <f>аморт!C34*10%/аморт!F34*L25*O17</f>
        <v>1157.9185514393271</v>
      </c>
      <c r="BU25" s="36">
        <f t="shared" ref="BU25:BU32" ca="1" si="21">AL25+AM25+AS25+AW25+BA25+BE25+BH25+BJ25+BL25+BM25+BO25+BQ25+BS25+BT25</f>
        <v>39009.544727086883</v>
      </c>
      <c r="BV25" s="36">
        <f t="shared" ref="BV25:BV32" ca="1" si="22">BU25/$D$6</f>
        <v>390.09544727086882</v>
      </c>
      <c r="BW25" s="38">
        <f t="shared" ref="BW25:BW31" si="23">(O25+P25)/$D$6</f>
        <v>0.23773375747059958</v>
      </c>
      <c r="BX25" s="38">
        <f>'Исходные данные'!$B$102</f>
        <v>5.0999999999999996</v>
      </c>
      <c r="BY25" s="255">
        <f>BX25*L25</f>
        <v>15.178571428571429</v>
      </c>
    </row>
    <row r="26" spans="1:77" x14ac:dyDescent="0.2">
      <c r="A26" s="20">
        <f t="shared" si="8"/>
        <v>5</v>
      </c>
      <c r="B26" s="27" t="s">
        <v>23</v>
      </c>
      <c r="C26" s="66">
        <v>1</v>
      </c>
      <c r="D26" s="463" t="s">
        <v>120</v>
      </c>
      <c r="E26" s="464"/>
      <c r="F26" s="28" t="s">
        <v>111</v>
      </c>
      <c r="G26" s="183">
        <f>AU32</f>
        <v>15</v>
      </c>
      <c r="H26" s="174">
        <v>42536</v>
      </c>
      <c r="I26" s="174">
        <v>42542</v>
      </c>
      <c r="J26" s="179">
        <f t="shared" si="4"/>
        <v>6</v>
      </c>
      <c r="K26" s="176">
        <v>3.33</v>
      </c>
      <c r="L26" s="33">
        <f t="shared" si="9"/>
        <v>4.5045045045045047</v>
      </c>
      <c r="M26" s="34">
        <v>0</v>
      </c>
      <c r="N26" s="34">
        <f>L26/J26</f>
        <v>0.75075075075075082</v>
      </c>
      <c r="O26" s="35">
        <f t="shared" ref="O26:O32" si="24">IF(M26=0,0,L26*$O$17)</f>
        <v>0</v>
      </c>
      <c r="P26" s="35">
        <f t="shared" si="10"/>
        <v>35.981325455009667</v>
      </c>
      <c r="Q26" s="34">
        <v>0</v>
      </c>
      <c r="R26" s="83">
        <f>IF(AND(O26&gt;0,Q26&gt;0),SUMIF('Исходные данные'!$C$13:H28,Q26,'Исходные данные'!$C$17:$H$17),IF(O26=0,0,IF(Q26=0,"РОТ")))</f>
        <v>0</v>
      </c>
      <c r="S26" s="34">
        <v>4</v>
      </c>
      <c r="T26" s="83">
        <f ca="1">IF(AND(N26&gt;0,P26&gt;0),SUMIF('Исходные данные'!$C$13:$J$29,S26,'Исходные данные'!$C$33:$J$39),IF(N26=0,0,IF(S26=0,"РОТ")))</f>
        <v>123.48200709579322</v>
      </c>
      <c r="U26" s="130">
        <f>O26*R26*'Исходные данные'!$C$37%</f>
        <v>0</v>
      </c>
      <c r="V26" s="130">
        <f ca="1">P26*T26*'Исходные данные'!$C$38%</f>
        <v>0</v>
      </c>
      <c r="W26" s="130">
        <f t="shared" si="11"/>
        <v>0</v>
      </c>
      <c r="X26" s="254">
        <f t="shared" ca="1" si="12"/>
        <v>0</v>
      </c>
      <c r="Y26" s="130">
        <f t="shared" si="13"/>
        <v>0</v>
      </c>
      <c r="Z26" s="254">
        <f t="shared" ca="1" si="14"/>
        <v>222.15231425757747</v>
      </c>
      <c r="AA26" s="130">
        <f t="shared" si="15"/>
        <v>0</v>
      </c>
      <c r="AB26" s="254">
        <f t="shared" ca="1" si="16"/>
        <v>0</v>
      </c>
      <c r="AC26" s="260">
        <v>2.5</v>
      </c>
      <c r="AD26" s="130">
        <f t="shared" si="17"/>
        <v>0</v>
      </c>
      <c r="AE26" s="130">
        <f t="shared" ca="1" si="18"/>
        <v>11662.996498522816</v>
      </c>
      <c r="AF26" s="35">
        <f t="shared" ca="1" si="19"/>
        <v>0</v>
      </c>
      <c r="AG26" s="114">
        <f t="shared" ca="1" si="19"/>
        <v>1727.8513331144911</v>
      </c>
      <c r="AH26" s="35">
        <f t="shared" ca="1" si="2"/>
        <v>0</v>
      </c>
      <c r="AI26" s="35">
        <f t="shared" ca="1" si="2"/>
        <v>13390.847831637308</v>
      </c>
      <c r="AJ26" s="35">
        <f t="shared" ca="1" si="3"/>
        <v>0</v>
      </c>
      <c r="AK26" s="114">
        <f t="shared" ca="1" si="3"/>
        <v>4110.9902843126538</v>
      </c>
      <c r="AL26" s="35">
        <f t="shared" ca="1" si="20"/>
        <v>0</v>
      </c>
      <c r="AM26" s="114">
        <f t="shared" ref="AM26:AM32" ca="1" si="25">AK26+AI26</f>
        <v>17501.838115949962</v>
      </c>
      <c r="AN26" s="176"/>
      <c r="AO26" s="33"/>
      <c r="AP26" s="79"/>
      <c r="AQ26" s="33"/>
      <c r="AR26" s="32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>
        <f t="shared" si="6"/>
        <v>0</v>
      </c>
      <c r="BK26" s="85"/>
      <c r="BL26" s="36">
        <f t="shared" si="7"/>
        <v>0</v>
      </c>
      <c r="BM26" s="36"/>
      <c r="BN26" s="38"/>
      <c r="BO26" s="36"/>
      <c r="BP26" s="38"/>
      <c r="BQ26" s="36"/>
      <c r="BR26" s="38"/>
      <c r="BS26" s="36"/>
      <c r="BT26" s="36"/>
      <c r="BU26" s="36">
        <f t="shared" ca="1" si="21"/>
        <v>17501.838115949962</v>
      </c>
      <c r="BV26" s="36">
        <f t="shared" ca="1" si="22"/>
        <v>175.01838115949963</v>
      </c>
      <c r="BW26" s="38">
        <f t="shared" si="23"/>
        <v>0.35981325455009666</v>
      </c>
      <c r="BX26" s="38"/>
      <c r="BY26" s="255"/>
    </row>
    <row r="27" spans="1:77" ht="22.5" x14ac:dyDescent="0.2">
      <c r="A27" s="20">
        <f t="shared" si="8"/>
        <v>6</v>
      </c>
      <c r="B27" s="27" t="s">
        <v>24</v>
      </c>
      <c r="C27" s="66">
        <v>1</v>
      </c>
      <c r="D27" s="30" t="s">
        <v>107</v>
      </c>
      <c r="E27" s="31" t="s">
        <v>117</v>
      </c>
      <c r="F27" s="28" t="s">
        <v>111</v>
      </c>
      <c r="G27" s="183">
        <f>G26</f>
        <v>15</v>
      </c>
      <c r="H27" s="174">
        <v>42536</v>
      </c>
      <c r="I27" s="174">
        <v>42542</v>
      </c>
      <c r="J27" s="179">
        <f t="shared" si="4"/>
        <v>6</v>
      </c>
      <c r="K27" s="176">
        <v>3.33</v>
      </c>
      <c r="L27" s="33">
        <f t="shared" si="9"/>
        <v>4.5045045045045047</v>
      </c>
      <c r="M27" s="34">
        <f t="shared" si="5"/>
        <v>0.75075075075075082</v>
      </c>
      <c r="N27" s="34">
        <v>0</v>
      </c>
      <c r="O27" s="35">
        <f t="shared" si="24"/>
        <v>35.981325455009667</v>
      </c>
      <c r="P27" s="35">
        <f t="shared" si="10"/>
        <v>0</v>
      </c>
      <c r="Q27" s="34">
        <v>2</v>
      </c>
      <c r="R27" s="83">
        <f ca="1">IF(AND(O27&gt;0,Q27&gt;0),SUMIF('Исходные данные'!$C$13:H29,Q27,'Исходные данные'!$C$17:$H$17),IF(O27=0,0,IF(Q27=0,"РОТ")))</f>
        <v>128.66557526609228</v>
      </c>
      <c r="S27" s="34">
        <v>0</v>
      </c>
      <c r="T27" s="83">
        <f>IF(AND(N27&gt;0,P27&gt;0),SUMIF('Исходные данные'!$C$13:$J$29,S27,'Исходные данные'!$C$33:$J$39),IF(N27=0,0,IF(S27=0,"РОТ")))</f>
        <v>0</v>
      </c>
      <c r="U27" s="130">
        <f ca="1">O27*R27*'Исходные данные'!$C$37%</f>
        <v>0</v>
      </c>
      <c r="V27" s="130">
        <f>P27*T27*'Исходные данные'!$C$38%</f>
        <v>0</v>
      </c>
      <c r="W27" s="130">
        <f t="shared" ca="1" si="11"/>
        <v>0</v>
      </c>
      <c r="X27" s="254">
        <f t="shared" si="12"/>
        <v>0</v>
      </c>
      <c r="Y27" s="130">
        <f t="shared" ca="1" si="13"/>
        <v>462.95579385053082</v>
      </c>
      <c r="Z27" s="254">
        <f t="shared" si="14"/>
        <v>0</v>
      </c>
      <c r="AA27" s="130">
        <f t="shared" ca="1" si="15"/>
        <v>0</v>
      </c>
      <c r="AB27" s="254">
        <f t="shared" si="16"/>
        <v>0</v>
      </c>
      <c r="AC27" s="260">
        <v>2.5</v>
      </c>
      <c r="AD27" s="130">
        <f t="shared" ca="1" si="17"/>
        <v>12731.284330889595</v>
      </c>
      <c r="AE27" s="130">
        <f t="shared" si="18"/>
        <v>0</v>
      </c>
      <c r="AF27" s="35">
        <f t="shared" ca="1" si="19"/>
        <v>1886.1161971688289</v>
      </c>
      <c r="AG27" s="114">
        <f t="shared" ca="1" si="19"/>
        <v>0</v>
      </c>
      <c r="AH27" s="35">
        <f t="shared" ca="1" si="2"/>
        <v>14617.400528058424</v>
      </c>
      <c r="AI27" s="35">
        <f t="shared" ca="1" si="2"/>
        <v>0</v>
      </c>
      <c r="AJ27" s="35">
        <f t="shared" ca="1" si="3"/>
        <v>4487.5419621139363</v>
      </c>
      <c r="AK27" s="114">
        <f t="shared" ca="1" si="3"/>
        <v>0</v>
      </c>
      <c r="AL27" s="35">
        <f t="shared" ca="1" si="20"/>
        <v>19104.942490172361</v>
      </c>
      <c r="AM27" s="114">
        <f t="shared" ca="1" si="25"/>
        <v>0</v>
      </c>
      <c r="AN27" s="176">
        <v>0.96</v>
      </c>
      <c r="AO27" s="33">
        <f>'Исходные данные'!$C$53</f>
        <v>0.84</v>
      </c>
      <c r="AP27" s="79">
        <f>(G27*AN27)*AO27/100</f>
        <v>0.12095999999999998</v>
      </c>
      <c r="AQ27" s="33" t="s">
        <v>155</v>
      </c>
      <c r="AR27" s="83">
        <f>'Исходные данные'!$G$78</f>
        <v>9559.3714285714286</v>
      </c>
      <c r="AS27" s="36">
        <f>AP27*AR27</f>
        <v>1156.3015679999999</v>
      </c>
      <c r="AT27" s="32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f>аморт!$G$10</f>
        <v>69.696969696969703</v>
      </c>
      <c r="BJ27" s="36">
        <f t="shared" si="6"/>
        <v>2507.7893498946137</v>
      </c>
      <c r="BK27" s="36">
        <f>аморт!$G$25</f>
        <v>12.519247457627118</v>
      </c>
      <c r="BL27" s="36">
        <f t="shared" si="7"/>
        <v>450.45911722468367</v>
      </c>
      <c r="BM27" s="36"/>
      <c r="BN27" s="38">
        <f>'Исходные данные'!$E$82</f>
        <v>98.911965135359992</v>
      </c>
      <c r="BO27" s="36">
        <f>BN27*BY27</f>
        <v>2272.3019017582701</v>
      </c>
      <c r="BP27" s="38">
        <f>'Исходные данные'!$E$87</f>
        <v>16.685392176959997</v>
      </c>
      <c r="BQ27" s="36">
        <f>BP27*BY27</f>
        <v>383.31306352475667</v>
      </c>
      <c r="BR27" s="38">
        <f>'Исходные данные'!$E$92</f>
        <v>5.7618620467199984</v>
      </c>
      <c r="BS27" s="36">
        <f>BR27*BY27</f>
        <v>132.36710107329725</v>
      </c>
      <c r="BT27" s="36">
        <f>аморт!$C$25*10%/аморт!$F$25*L27*O17</f>
        <v>450.45911722468367</v>
      </c>
      <c r="BU27" s="36">
        <f t="shared" ca="1" si="21"/>
        <v>26457.933708872668</v>
      </c>
      <c r="BV27" s="36">
        <f t="shared" ca="1" si="22"/>
        <v>264.57933708872667</v>
      </c>
      <c r="BW27" s="38">
        <f t="shared" si="23"/>
        <v>0.35981325455009666</v>
      </c>
      <c r="BX27" s="38">
        <f>'Исходные данные'!$B$102</f>
        <v>5.0999999999999996</v>
      </c>
      <c r="BY27" s="255">
        <f>BX27*L27</f>
        <v>22.972972972972972</v>
      </c>
    </row>
    <row r="28" spans="1:77" x14ac:dyDescent="0.2">
      <c r="A28" s="20">
        <f t="shared" si="8"/>
        <v>7</v>
      </c>
      <c r="B28" s="27" t="s">
        <v>25</v>
      </c>
      <c r="C28" s="66">
        <v>1</v>
      </c>
      <c r="D28" s="463" t="s">
        <v>120</v>
      </c>
      <c r="E28" s="464"/>
      <c r="F28" s="28" t="s">
        <v>111</v>
      </c>
      <c r="G28" s="183">
        <f>G27</f>
        <v>15</v>
      </c>
      <c r="H28" s="174">
        <v>42536</v>
      </c>
      <c r="I28" s="174">
        <v>42542</v>
      </c>
      <c r="J28" s="179">
        <f t="shared" si="4"/>
        <v>6</v>
      </c>
      <c r="K28" s="176">
        <v>3.33</v>
      </c>
      <c r="L28" s="33">
        <f t="shared" si="9"/>
        <v>4.5045045045045047</v>
      </c>
      <c r="M28" s="34"/>
      <c r="N28" s="34">
        <f t="shared" ref="N28:N29" si="26">L28/J28</f>
        <v>0.75075075075075082</v>
      </c>
      <c r="O28" s="35">
        <f>IF(M28=0,0,L28*$O$17)</f>
        <v>0</v>
      </c>
      <c r="P28" s="35">
        <f>IF(N28=0,0,L28*$O$17)</f>
        <v>35.981325455009667</v>
      </c>
      <c r="Q28" s="34">
        <v>0</v>
      </c>
      <c r="R28" s="83">
        <f>IF(AND(O28&gt;0,Q28&gt;0),SUMIF('Исходные данные'!$C$13:H29,Q28,'Исходные данные'!$C$17:$H$17),IF(O28=0,0,IF(Q28=0,"РОТ")))</f>
        <v>0</v>
      </c>
      <c r="S28" s="34">
        <v>4</v>
      </c>
      <c r="T28" s="83">
        <f ca="1">IF(AND(N28&gt;0,P28&gt;0),SUMIF('Исходные данные'!$C$13:$J$29,S28,'Исходные данные'!$C$33:$J$39),IF(N28=0,0,IF(S28=0,"РОТ")))</f>
        <v>123.48200709579322</v>
      </c>
      <c r="U28" s="130">
        <f>O28*R28*'Исходные данные'!$C$37%</f>
        <v>0</v>
      </c>
      <c r="V28" s="130">
        <f ca="1">P28*T28*'Исходные данные'!$C$38%</f>
        <v>0</v>
      </c>
      <c r="W28" s="130">
        <f t="shared" si="11"/>
        <v>0</v>
      </c>
      <c r="X28" s="254">
        <f t="shared" ca="1" si="12"/>
        <v>0</v>
      </c>
      <c r="Y28" s="130">
        <f t="shared" si="13"/>
        <v>0</v>
      </c>
      <c r="Z28" s="254">
        <f t="shared" ca="1" si="14"/>
        <v>222.15231425757747</v>
      </c>
      <c r="AA28" s="130">
        <f t="shared" si="15"/>
        <v>0</v>
      </c>
      <c r="AB28" s="254">
        <f t="shared" ca="1" si="16"/>
        <v>0</v>
      </c>
      <c r="AC28" s="260">
        <v>2.5</v>
      </c>
      <c r="AD28" s="130">
        <f t="shared" si="17"/>
        <v>0</v>
      </c>
      <c r="AE28" s="130">
        <f t="shared" ca="1" si="18"/>
        <v>11662.996498522816</v>
      </c>
      <c r="AF28" s="35">
        <f t="shared" ca="1" si="19"/>
        <v>0</v>
      </c>
      <c r="AG28" s="114">
        <f t="shared" ca="1" si="19"/>
        <v>1727.8513331144911</v>
      </c>
      <c r="AH28" s="35">
        <f t="shared" ca="1" si="2"/>
        <v>0</v>
      </c>
      <c r="AI28" s="35">
        <f t="shared" ca="1" si="2"/>
        <v>13390.847831637308</v>
      </c>
      <c r="AJ28" s="35">
        <f t="shared" ca="1" si="3"/>
        <v>0</v>
      </c>
      <c r="AK28" s="114">
        <f t="shared" ca="1" si="3"/>
        <v>4110.9902843126538</v>
      </c>
      <c r="AL28" s="35">
        <f t="shared" ca="1" si="20"/>
        <v>0</v>
      </c>
      <c r="AM28" s="114">
        <f t="shared" ca="1" si="25"/>
        <v>17501.838115949962</v>
      </c>
      <c r="AN28" s="176"/>
      <c r="AO28" s="33"/>
      <c r="AP28" s="79"/>
      <c r="AQ28" s="33"/>
      <c r="AR28" s="32"/>
      <c r="AS28" s="36"/>
      <c r="AT28" s="32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>
        <f t="shared" si="6"/>
        <v>0</v>
      </c>
      <c r="BK28" s="36"/>
      <c r="BL28" s="36">
        <f t="shared" si="7"/>
        <v>0</v>
      </c>
      <c r="BM28" s="36"/>
      <c r="BN28" s="38"/>
      <c r="BO28" s="36"/>
      <c r="BP28" s="38"/>
      <c r="BQ28" s="36"/>
      <c r="BR28" s="38"/>
      <c r="BS28" s="36"/>
      <c r="BT28" s="36"/>
      <c r="BU28" s="36">
        <f t="shared" ca="1" si="21"/>
        <v>17501.838115949962</v>
      </c>
      <c r="BV28" s="36">
        <f ca="1">BU28/$D$6</f>
        <v>175.01838115949963</v>
      </c>
      <c r="BW28" s="38">
        <f>(O28+P28)/$D$6</f>
        <v>0.35981325455009666</v>
      </c>
      <c r="BX28" s="38"/>
      <c r="BY28" s="255"/>
    </row>
    <row r="29" spans="1:77" ht="22.5" x14ac:dyDescent="0.2">
      <c r="A29" s="20">
        <f t="shared" si="8"/>
        <v>8</v>
      </c>
      <c r="B29" s="27" t="s">
        <v>26</v>
      </c>
      <c r="C29" s="66">
        <v>1</v>
      </c>
      <c r="D29" s="463" t="s">
        <v>120</v>
      </c>
      <c r="E29" s="464"/>
      <c r="F29" s="28" t="s">
        <v>111</v>
      </c>
      <c r="G29" s="36">
        <f>AY32</f>
        <v>15</v>
      </c>
      <c r="H29" s="174">
        <v>42536</v>
      </c>
      <c r="I29" s="174">
        <v>42542</v>
      </c>
      <c r="J29" s="179">
        <f t="shared" si="4"/>
        <v>6</v>
      </c>
      <c r="K29" s="176">
        <f>G29/6</f>
        <v>2.5</v>
      </c>
      <c r="L29" s="33">
        <f t="shared" si="9"/>
        <v>6</v>
      </c>
      <c r="M29" s="34"/>
      <c r="N29" s="34">
        <f t="shared" si="26"/>
        <v>1</v>
      </c>
      <c r="O29" s="35">
        <f t="shared" si="24"/>
        <v>0</v>
      </c>
      <c r="P29" s="35">
        <f t="shared" si="10"/>
        <v>47.927125506072876</v>
      </c>
      <c r="Q29" s="34">
        <v>0</v>
      </c>
      <c r="R29" s="83">
        <f>IF(AND(O29&gt;0,Q29&gt;0),SUMIF('Исходные данные'!$C$13:H29,Q29,'Исходные данные'!$C$17:$H$17),IF(O29=0,0,IF(Q29=0,"РОТ")))</f>
        <v>0</v>
      </c>
      <c r="S29" s="34">
        <v>4</v>
      </c>
      <c r="T29" s="83">
        <f ca="1">IF(AND(N29&gt;0,P29&gt;0),SUMIF('Исходные данные'!$C$13:$J$29,S29,'Исходные данные'!$C$33:$J$39),IF(N29=0,0,IF(S29=0,"РОТ")))</f>
        <v>123.48200709579322</v>
      </c>
      <c r="U29" s="130">
        <f>O29*R29*'Исходные данные'!$C$37%</f>
        <v>0</v>
      </c>
      <c r="V29" s="130">
        <f ca="1">P29*T29*'Исходные данные'!$C$38%</f>
        <v>0</v>
      </c>
      <c r="W29" s="130">
        <f t="shared" si="11"/>
        <v>0</v>
      </c>
      <c r="X29" s="254">
        <f t="shared" ca="1" si="12"/>
        <v>0</v>
      </c>
      <c r="Y29" s="130">
        <f t="shared" si="13"/>
        <v>0</v>
      </c>
      <c r="Z29" s="254">
        <f t="shared" ca="1" si="14"/>
        <v>295.90688259109317</v>
      </c>
      <c r="AA29" s="130">
        <f t="shared" si="15"/>
        <v>0</v>
      </c>
      <c r="AB29" s="254">
        <f t="shared" ca="1" si="16"/>
        <v>0</v>
      </c>
      <c r="AC29" s="260">
        <v>2.5</v>
      </c>
      <c r="AD29" s="130">
        <f t="shared" si="17"/>
        <v>0</v>
      </c>
      <c r="AE29" s="130">
        <f t="shared" ca="1" si="18"/>
        <v>15535.111336032391</v>
      </c>
      <c r="AF29" s="35">
        <f t="shared" ca="1" si="19"/>
        <v>0</v>
      </c>
      <c r="AG29" s="114">
        <f t="shared" ca="1" si="19"/>
        <v>2301.4979757085021</v>
      </c>
      <c r="AH29" s="35">
        <f t="shared" ca="1" si="2"/>
        <v>0</v>
      </c>
      <c r="AI29" s="35">
        <f t="shared" ca="1" si="2"/>
        <v>17836.609311740893</v>
      </c>
      <c r="AJ29" s="35">
        <f t="shared" ca="1" si="3"/>
        <v>0</v>
      </c>
      <c r="AK29" s="114">
        <f t="shared" ca="1" si="3"/>
        <v>5475.8390587044541</v>
      </c>
      <c r="AL29" s="35">
        <f t="shared" ca="1" si="20"/>
        <v>0</v>
      </c>
      <c r="AM29" s="114">
        <f t="shared" ca="1" si="25"/>
        <v>23312.448370445345</v>
      </c>
      <c r="AN29" s="176"/>
      <c r="AO29" s="33"/>
      <c r="AP29" s="79"/>
      <c r="AQ29" s="33"/>
      <c r="AR29" s="32"/>
      <c r="AS29" s="36"/>
      <c r="AT29" s="32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>
        <f t="shared" si="6"/>
        <v>0</v>
      </c>
      <c r="BK29" s="36"/>
      <c r="BL29" s="36">
        <f t="shared" si="7"/>
        <v>0</v>
      </c>
      <c r="BM29" s="36"/>
      <c r="BN29" s="38"/>
      <c r="BO29" s="36"/>
      <c r="BP29" s="38"/>
      <c r="BQ29" s="36"/>
      <c r="BR29" s="38"/>
      <c r="BS29" s="36"/>
      <c r="BT29" s="36"/>
      <c r="BU29" s="36">
        <f t="shared" ca="1" si="21"/>
        <v>23312.448370445345</v>
      </c>
      <c r="BV29" s="36">
        <f t="shared" ca="1" si="22"/>
        <v>233.12448370445344</v>
      </c>
      <c r="BW29" s="38">
        <f t="shared" si="23"/>
        <v>0.47927125506072876</v>
      </c>
      <c r="BX29" s="38"/>
      <c r="BY29" s="255"/>
    </row>
    <row r="30" spans="1:77" ht="33.75" x14ac:dyDescent="0.2">
      <c r="A30" s="20">
        <f t="shared" si="8"/>
        <v>9</v>
      </c>
      <c r="B30" s="27" t="s">
        <v>77</v>
      </c>
      <c r="C30" s="66">
        <v>1</v>
      </c>
      <c r="D30" s="30" t="s">
        <v>107</v>
      </c>
      <c r="E30" s="31" t="s">
        <v>117</v>
      </c>
      <c r="F30" s="28" t="s">
        <v>111</v>
      </c>
      <c r="G30" s="36">
        <f>G29</f>
        <v>15</v>
      </c>
      <c r="H30" s="174">
        <v>42536</v>
      </c>
      <c r="I30" s="174">
        <v>42542</v>
      </c>
      <c r="J30" s="179">
        <f t="shared" si="4"/>
        <v>6</v>
      </c>
      <c r="K30" s="176">
        <f>50/6</f>
        <v>8.3333333333333339</v>
      </c>
      <c r="L30" s="33">
        <f t="shared" si="9"/>
        <v>1.7999999999999998</v>
      </c>
      <c r="M30" s="34">
        <f t="shared" ref="M30" si="27">L30/J30</f>
        <v>0.3</v>
      </c>
      <c r="N30" s="34">
        <v>0</v>
      </c>
      <c r="O30" s="35">
        <f t="shared" si="24"/>
        <v>14.378137651821861</v>
      </c>
      <c r="P30" s="35">
        <f t="shared" si="10"/>
        <v>0</v>
      </c>
      <c r="Q30" s="34">
        <v>2</v>
      </c>
      <c r="R30" s="83">
        <f ca="1">IF(AND(O30&gt;0,Q30&gt;0),SUMIF('Исходные данные'!$C$13:H30,Q30,'Исходные данные'!$C$17:$H$17),IF(O30=0,0,IF(Q30=0,"РОТ")))</f>
        <v>128.66557526609228</v>
      </c>
      <c r="S30" s="34"/>
      <c r="T30" s="83">
        <f>IF(AND(N30&gt;0,P30&gt;0),SUMIF('Исходные данные'!$C$13:$J$29,S30,'Исходные данные'!$C$33:$J$39),IF(N30=0,0,IF(S30=0,"РОТ")))</f>
        <v>0</v>
      </c>
      <c r="U30" s="130">
        <f ca="1">O30*R30*'Исходные данные'!$C$37%</f>
        <v>0</v>
      </c>
      <c r="V30" s="130">
        <f>P30*T30*'Исходные данные'!$C$38%</f>
        <v>0</v>
      </c>
      <c r="W30" s="130">
        <f t="shared" ca="1" si="11"/>
        <v>0</v>
      </c>
      <c r="X30" s="254">
        <f t="shared" si="12"/>
        <v>0</v>
      </c>
      <c r="Y30" s="130">
        <f t="shared" ca="1" si="13"/>
        <v>184.99713522267211</v>
      </c>
      <c r="Z30" s="254">
        <f t="shared" si="14"/>
        <v>0</v>
      </c>
      <c r="AA30" s="130">
        <f t="shared" ca="1" si="15"/>
        <v>0</v>
      </c>
      <c r="AB30" s="254">
        <f t="shared" si="16"/>
        <v>0</v>
      </c>
      <c r="AC30" s="260">
        <v>2.5</v>
      </c>
      <c r="AD30" s="130">
        <f t="shared" ca="1" si="17"/>
        <v>5087.4212186234827</v>
      </c>
      <c r="AE30" s="130">
        <f t="shared" si="18"/>
        <v>0</v>
      </c>
      <c r="AF30" s="35">
        <f t="shared" ca="1" si="19"/>
        <v>753.69203238866407</v>
      </c>
      <c r="AG30" s="114">
        <f t="shared" ca="1" si="19"/>
        <v>0</v>
      </c>
      <c r="AH30" s="35">
        <f t="shared" ca="1" si="2"/>
        <v>5841.113251012147</v>
      </c>
      <c r="AI30" s="35">
        <f t="shared" ca="1" si="2"/>
        <v>0</v>
      </c>
      <c r="AJ30" s="35">
        <f t="shared" ca="1" si="3"/>
        <v>1793.2217680607291</v>
      </c>
      <c r="AK30" s="114">
        <f t="shared" ca="1" si="3"/>
        <v>0</v>
      </c>
      <c r="AL30" s="35">
        <f t="shared" ca="1" si="20"/>
        <v>7634.3350190728761</v>
      </c>
      <c r="AM30" s="114">
        <f t="shared" ca="1" si="25"/>
        <v>0</v>
      </c>
      <c r="AN30" s="176">
        <v>0.96</v>
      </c>
      <c r="AO30" s="33">
        <f>'Исходные данные'!$C$53</f>
        <v>0.84</v>
      </c>
      <c r="AP30" s="79">
        <f>(G30*AN30)*AO30/100</f>
        <v>0.12095999999999998</v>
      </c>
      <c r="AQ30" s="33" t="s">
        <v>155</v>
      </c>
      <c r="AR30" s="83">
        <f>'Исходные данные'!$G$78</f>
        <v>9559.3714285714286</v>
      </c>
      <c r="AS30" s="36">
        <f>AP30*AR30</f>
        <v>1156.3015679999999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>
        <f>аморт!$G$10</f>
        <v>69.696969696969703</v>
      </c>
      <c r="BJ30" s="36">
        <f t="shared" si="6"/>
        <v>1002.1126242178874</v>
      </c>
      <c r="BK30" s="36">
        <f>аморт!$G$25</f>
        <v>12.519247457627118</v>
      </c>
      <c r="BL30" s="36">
        <f t="shared" si="7"/>
        <v>180.00346324298357</v>
      </c>
      <c r="BM30" s="36"/>
      <c r="BN30" s="38">
        <f>'Исходные данные'!$E$82</f>
        <v>98.911965135359992</v>
      </c>
      <c r="BO30" s="36">
        <f>BN30*BY30</f>
        <v>908.01183994260452</v>
      </c>
      <c r="BP30" s="38">
        <f>'Исходные данные'!$E$87</f>
        <v>16.685392176959997</v>
      </c>
      <c r="BQ30" s="36">
        <f>BP30*BY30</f>
        <v>153.17190018449273</v>
      </c>
      <c r="BR30" s="38">
        <f>'Исходные данные'!$E$92</f>
        <v>5.7618620467199984</v>
      </c>
      <c r="BS30" s="36">
        <f>BR30*BY30</f>
        <v>52.893893588889576</v>
      </c>
      <c r="BT30" s="36">
        <f>аморт!$C$25*10%/аморт!$F$25*L30*O17</f>
        <v>180.00346324298357</v>
      </c>
      <c r="BU30" s="36">
        <f t="shared" ca="1" si="21"/>
        <v>11266.833771492717</v>
      </c>
      <c r="BV30" s="36">
        <f t="shared" ca="1" si="22"/>
        <v>112.66833771492716</v>
      </c>
      <c r="BW30" s="38">
        <f t="shared" si="23"/>
        <v>0.14378137651821862</v>
      </c>
      <c r="BX30" s="38">
        <f>'Исходные данные'!$B$102</f>
        <v>5.0999999999999996</v>
      </c>
      <c r="BY30" s="255">
        <f>BX30*L30</f>
        <v>9.1799999999999979</v>
      </c>
    </row>
    <row r="31" spans="1:77" ht="22.5" x14ac:dyDescent="0.2">
      <c r="A31" s="20">
        <f t="shared" si="8"/>
        <v>10</v>
      </c>
      <c r="B31" s="27" t="s">
        <v>27</v>
      </c>
      <c r="C31" s="66">
        <v>1</v>
      </c>
      <c r="D31" s="463" t="s">
        <v>120</v>
      </c>
      <c r="E31" s="464"/>
      <c r="F31" s="28" t="s">
        <v>111</v>
      </c>
      <c r="G31" s="36">
        <f>G30</f>
        <v>15</v>
      </c>
      <c r="H31" s="174">
        <v>42536</v>
      </c>
      <c r="I31" s="174">
        <v>42542</v>
      </c>
      <c r="J31" s="179">
        <f t="shared" si="4"/>
        <v>6</v>
      </c>
      <c r="K31" s="176">
        <f>G31/6</f>
        <v>2.5</v>
      </c>
      <c r="L31" s="33">
        <f t="shared" si="9"/>
        <v>6</v>
      </c>
      <c r="M31" s="34"/>
      <c r="N31" s="34">
        <f>L31/J31</f>
        <v>1</v>
      </c>
      <c r="O31" s="35">
        <f>IF(M31=0,0,L31*$O$17)</f>
        <v>0</v>
      </c>
      <c r="P31" s="35">
        <f t="shared" si="10"/>
        <v>47.927125506072876</v>
      </c>
      <c r="Q31" s="34"/>
      <c r="R31" s="83">
        <f>IF(AND(O31&gt;0,Q31&gt;0),SUMIF('Исходные данные'!$C$13:H31,Q31,'Исходные данные'!$C$17:$H$17),IF(O31=0,0,IF(Q31=0,"РОТ")))</f>
        <v>0</v>
      </c>
      <c r="S31" s="34">
        <v>4</v>
      </c>
      <c r="T31" s="83">
        <f ca="1">IF(AND(N31&gt;0,P31&gt;0),SUMIF('Исходные данные'!$C$13:$J$29,S31,'Исходные данные'!$C$33:$J$39),IF(N31=0,0,IF(S31=0,"РОТ")))</f>
        <v>123.48200709579322</v>
      </c>
      <c r="U31" s="130">
        <f>O31*R31*'Исходные данные'!$C$37%</f>
        <v>0</v>
      </c>
      <c r="V31" s="130">
        <f ca="1">P31*T31*'Исходные данные'!$C$38%</f>
        <v>0</v>
      </c>
      <c r="W31" s="130">
        <f t="shared" si="11"/>
        <v>0</v>
      </c>
      <c r="X31" s="254">
        <f t="shared" ca="1" si="12"/>
        <v>0</v>
      </c>
      <c r="Y31" s="130">
        <f t="shared" si="13"/>
        <v>0</v>
      </c>
      <c r="Z31" s="254">
        <f t="shared" ca="1" si="14"/>
        <v>295.90688259109317</v>
      </c>
      <c r="AA31" s="130">
        <f t="shared" si="15"/>
        <v>0</v>
      </c>
      <c r="AB31" s="254">
        <f t="shared" ca="1" si="16"/>
        <v>0</v>
      </c>
      <c r="AC31" s="260">
        <v>2.5</v>
      </c>
      <c r="AD31" s="130">
        <f t="shared" si="17"/>
        <v>0</v>
      </c>
      <c r="AE31" s="130">
        <f t="shared" ca="1" si="18"/>
        <v>15535.111336032391</v>
      </c>
      <c r="AF31" s="35">
        <f t="shared" ca="1" si="19"/>
        <v>0</v>
      </c>
      <c r="AG31" s="114">
        <f t="shared" ca="1" si="19"/>
        <v>2301.4979757085021</v>
      </c>
      <c r="AH31" s="35">
        <f t="shared" ca="1" si="2"/>
        <v>0</v>
      </c>
      <c r="AI31" s="35">
        <f t="shared" ca="1" si="2"/>
        <v>17836.609311740893</v>
      </c>
      <c r="AJ31" s="35">
        <f t="shared" ca="1" si="3"/>
        <v>0</v>
      </c>
      <c r="AK31" s="114">
        <f t="shared" ca="1" si="3"/>
        <v>5475.8390587044541</v>
      </c>
      <c r="AL31" s="35">
        <f t="shared" ca="1" si="20"/>
        <v>0</v>
      </c>
      <c r="AM31" s="114">
        <f t="shared" ca="1" si="25"/>
        <v>23312.448370445345</v>
      </c>
      <c r="AN31" s="176"/>
      <c r="AO31" s="33"/>
      <c r="AP31" s="79"/>
      <c r="AQ31" s="33"/>
      <c r="AR31" s="32"/>
      <c r="AS31" s="36"/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>
        <f t="shared" si="6"/>
        <v>0</v>
      </c>
      <c r="BK31" s="85"/>
      <c r="BL31" s="36">
        <f t="shared" si="7"/>
        <v>0</v>
      </c>
      <c r="BM31" s="36"/>
      <c r="BN31" s="38"/>
      <c r="BO31" s="36"/>
      <c r="BP31" s="38"/>
      <c r="BQ31" s="36"/>
      <c r="BR31" s="38"/>
      <c r="BS31" s="36"/>
      <c r="BT31" s="36"/>
      <c r="BU31" s="36">
        <f ca="1">AL31+AM31+AS31+AW31+BA31+BE31+BH31+BJ31+BL31+BM31+BO31+BQ31+BS31+BT31</f>
        <v>23312.448370445345</v>
      </c>
      <c r="BV31" s="36">
        <f t="shared" ca="1" si="22"/>
        <v>233.12448370445344</v>
      </c>
      <c r="BW31" s="38">
        <f t="shared" si="23"/>
        <v>0.47927125506072876</v>
      </c>
      <c r="BX31" s="38"/>
      <c r="BY31" s="255"/>
    </row>
    <row r="32" spans="1:77" ht="67.5" x14ac:dyDescent="0.2">
      <c r="A32" s="20">
        <f t="shared" si="8"/>
        <v>11</v>
      </c>
      <c r="B32" s="27" t="s">
        <v>502</v>
      </c>
      <c r="C32" s="66">
        <v>1</v>
      </c>
      <c r="D32" s="30" t="s">
        <v>186</v>
      </c>
      <c r="E32" s="180" t="s">
        <v>493</v>
      </c>
      <c r="F32" s="28" t="s">
        <v>108</v>
      </c>
      <c r="G32" s="29">
        <f>D6</f>
        <v>100</v>
      </c>
      <c r="H32" s="174">
        <f>H25</f>
        <v>42536</v>
      </c>
      <c r="I32" s="174">
        <f>I25</f>
        <v>42542</v>
      </c>
      <c r="J32" s="179">
        <f>I32-H32</f>
        <v>6</v>
      </c>
      <c r="K32" s="176">
        <v>14.4</v>
      </c>
      <c r="L32" s="33">
        <f t="shared" si="9"/>
        <v>6.9444444444444446</v>
      </c>
      <c r="M32" s="34">
        <f t="shared" ref="M32" si="28">L32/J32</f>
        <v>1.1574074074074074</v>
      </c>
      <c r="N32" s="34">
        <v>0</v>
      </c>
      <c r="O32" s="35">
        <f t="shared" si="24"/>
        <v>55.471210076473234</v>
      </c>
      <c r="P32" s="35">
        <f>IF(N32=0,0,L32*$O$17)</f>
        <v>0</v>
      </c>
      <c r="Q32" s="34">
        <v>5</v>
      </c>
      <c r="R32" s="83">
        <f ca="1">IF(AND(O32&gt;0,Q32&gt;0),SUMIF('Исходные данные'!$C$13:H32,Q32,'Исходные данные'!$C$25:$H$25),IF(O32=0,0,IF(Q32=0,"РОТ")))</f>
        <v>219.30404460212878</v>
      </c>
      <c r="S32" s="34"/>
      <c r="T32" s="83">
        <f>IF(AND(N32&gt;0,P32&gt;0),SUMIF('Исходные данные'!$C$13:$J$29,S32,'Исходные данные'!$C$33:$J$39),IF(N32=0,0,IF(S32=0,"РОТ")))</f>
        <v>0</v>
      </c>
      <c r="U32" s="130">
        <f ca="1">O32*R32*'Исходные данные'!$C$37%</f>
        <v>0</v>
      </c>
      <c r="V32" s="130">
        <f>P32*T32*'Исходные данные'!$C$38%</f>
        <v>0</v>
      </c>
      <c r="W32" s="130">
        <f t="shared" ca="1" si="11"/>
        <v>0</v>
      </c>
      <c r="X32" s="254">
        <f t="shared" si="12"/>
        <v>0</v>
      </c>
      <c r="Y32" s="130">
        <f t="shared" ca="1" si="13"/>
        <v>1216.5060728744943</v>
      </c>
      <c r="Z32" s="254">
        <f t="shared" si="14"/>
        <v>0</v>
      </c>
      <c r="AA32" s="130">
        <f t="shared" ca="1" si="15"/>
        <v>0</v>
      </c>
      <c r="AB32" s="254">
        <f t="shared" si="16"/>
        <v>0</v>
      </c>
      <c r="AC32" s="260">
        <v>2.5</v>
      </c>
      <c r="AD32" s="130">
        <f t="shared" ca="1" si="17"/>
        <v>33453.917004048591</v>
      </c>
      <c r="AE32" s="130">
        <f t="shared" si="18"/>
        <v>0</v>
      </c>
      <c r="AF32" s="35">
        <f t="shared" ca="1" si="19"/>
        <v>4956.1358524516427</v>
      </c>
      <c r="AG32" s="114">
        <f t="shared" ca="1" si="19"/>
        <v>0</v>
      </c>
      <c r="AH32" s="35">
        <f t="shared" ca="1" si="2"/>
        <v>38410.052856500231</v>
      </c>
      <c r="AI32" s="35">
        <f t="shared" ca="1" si="2"/>
        <v>0</v>
      </c>
      <c r="AJ32" s="35">
        <f t="shared" ca="1" si="3"/>
        <v>11791.886226945571</v>
      </c>
      <c r="AK32" s="114">
        <f t="shared" ca="1" si="3"/>
        <v>0</v>
      </c>
      <c r="AL32" s="35">
        <f t="shared" ca="1" si="20"/>
        <v>50201.939083445803</v>
      </c>
      <c r="AM32" s="114">
        <f t="shared" ca="1" si="25"/>
        <v>0</v>
      </c>
      <c r="AN32" s="176">
        <v>9</v>
      </c>
      <c r="AO32" s="33">
        <f>'Исходные данные'!$C$53</f>
        <v>0.84</v>
      </c>
      <c r="AP32" s="79">
        <f>(G32*AN32)*AO32/100</f>
        <v>7.56</v>
      </c>
      <c r="AQ32" s="33" t="s">
        <v>155</v>
      </c>
      <c r="AR32" s="83">
        <f>'Исходные данные'!$E$78</f>
        <v>9477.4514285714286</v>
      </c>
      <c r="AS32" s="36">
        <f>AP32*AR32</f>
        <v>71649.532800000001</v>
      </c>
      <c r="AT32" s="171">
        <f>Нормы!C16</f>
        <v>1.5</v>
      </c>
      <c r="AU32" s="36">
        <f>AT32*G32/10</f>
        <v>15</v>
      </c>
      <c r="AV32" s="79">
        <f>Нормы!D16/1000</f>
        <v>28</v>
      </c>
      <c r="AW32" s="36">
        <f>AU32*AV32*1000</f>
        <v>420000</v>
      </c>
      <c r="AX32" s="38">
        <f>Нормы!C17</f>
        <v>1.5</v>
      </c>
      <c r="AY32" s="36">
        <f>AX32*D6/10</f>
        <v>15</v>
      </c>
      <c r="AZ32" s="38">
        <f>Нормы!D17/1000</f>
        <v>33.700000000000003</v>
      </c>
      <c r="BA32" s="36">
        <f>AY32*AZ32*1000</f>
        <v>505500.00000000006</v>
      </c>
      <c r="BB32" s="36"/>
      <c r="BC32" s="36"/>
      <c r="BD32" s="36"/>
      <c r="BE32" s="36"/>
      <c r="BF32" s="36"/>
      <c r="BG32" s="36"/>
      <c r="BH32" s="36"/>
      <c r="BI32" s="36">
        <f>аморт!$G$10</f>
        <v>69.696969696969703</v>
      </c>
      <c r="BJ32" s="36">
        <f t="shared" si="6"/>
        <v>3866.1752477541954</v>
      </c>
      <c r="BK32" s="36">
        <f>аморт!$G$98</f>
        <v>221.25</v>
      </c>
      <c r="BL32" s="36">
        <f t="shared" si="7"/>
        <v>12273.005229419705</v>
      </c>
      <c r="BM32" s="36"/>
      <c r="BN32" s="38">
        <f>'Исходные данные'!$B$82</f>
        <v>99.992314269119987</v>
      </c>
      <c r="BO32" s="36">
        <f>BN32*BY32</f>
        <v>10415.8660697</v>
      </c>
      <c r="BP32" s="38">
        <f>'Исходные данные'!$B$87</f>
        <v>8.0425991068799991</v>
      </c>
      <c r="BQ32" s="36">
        <f>BP32*BY32</f>
        <v>837.77074029999994</v>
      </c>
      <c r="BR32" s="38">
        <f>'Исходные данные'!$B$92</f>
        <v>11.043568922879997</v>
      </c>
      <c r="BS32" s="36">
        <f>BR32*BY32</f>
        <v>1150.3717627999997</v>
      </c>
      <c r="BT32" s="36">
        <f>аморт!$C$98*10%/аморт!$F$98*L32*O17</f>
        <v>12273.005229419705</v>
      </c>
      <c r="BU32" s="36">
        <f t="shared" ca="1" si="21"/>
        <v>1088167.6661628396</v>
      </c>
      <c r="BV32" s="36">
        <f t="shared" ca="1" si="22"/>
        <v>10881.676661628397</v>
      </c>
      <c r="BW32" s="38">
        <f>(O32+P32)/$D$6</f>
        <v>0.55471210076473232</v>
      </c>
      <c r="BX32" s="38">
        <f>'Исходные данные'!$B$108</f>
        <v>15</v>
      </c>
      <c r="BY32" s="255">
        <f>BX32*L32</f>
        <v>104.16666666666667</v>
      </c>
    </row>
    <row r="33" spans="1:77" x14ac:dyDescent="0.2">
      <c r="A33" s="20"/>
      <c r="B33" s="27"/>
      <c r="C33" s="66"/>
      <c r="D33" s="30"/>
      <c r="E33" s="31"/>
      <c r="F33" s="28"/>
      <c r="G33" s="29"/>
      <c r="H33" s="81"/>
      <c r="I33" s="81"/>
      <c r="J33" s="83"/>
      <c r="K33" s="32"/>
      <c r="L33" s="33"/>
      <c r="M33" s="34"/>
      <c r="N33" s="34"/>
      <c r="O33" s="35"/>
      <c r="P33" s="35"/>
      <c r="Q33" s="34"/>
      <c r="R33" s="83"/>
      <c r="S33" s="34"/>
      <c r="T33" s="33"/>
      <c r="U33" s="130"/>
      <c r="V33" s="130"/>
      <c r="W33" s="130"/>
      <c r="X33" s="131"/>
      <c r="Y33" s="130"/>
      <c r="Z33" s="131"/>
      <c r="AA33" s="130"/>
      <c r="AB33" s="131"/>
      <c r="AC33" s="129"/>
      <c r="AD33" s="130"/>
      <c r="AE33" s="130"/>
      <c r="AF33" s="35"/>
      <c r="AG33" s="73"/>
      <c r="AH33" s="35"/>
      <c r="AI33" s="35"/>
      <c r="AJ33" s="35"/>
      <c r="AK33" s="73"/>
      <c r="AL33" s="35"/>
      <c r="AM33" s="73"/>
      <c r="AN33" s="32"/>
      <c r="AO33" s="33"/>
      <c r="AP33" s="79"/>
      <c r="AQ33" s="33"/>
      <c r="AR33" s="83"/>
      <c r="AS33" s="36"/>
      <c r="AT33" s="32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8"/>
      <c r="BO33" s="36"/>
      <c r="BP33" s="38"/>
      <c r="BQ33" s="36"/>
      <c r="BR33" s="38"/>
      <c r="BS33" s="36"/>
      <c r="BT33" s="36"/>
      <c r="BU33" s="36"/>
      <c r="BV33" s="36"/>
      <c r="BW33" s="38"/>
      <c r="BX33" s="38"/>
      <c r="BY33" s="39"/>
    </row>
    <row r="34" spans="1:77" s="54" customFormat="1" x14ac:dyDescent="0.2">
      <c r="A34" s="52"/>
      <c r="B34" s="53" t="s">
        <v>22</v>
      </c>
      <c r="C34" s="53"/>
      <c r="D34" s="53"/>
      <c r="E34" s="53"/>
      <c r="F34" s="55"/>
      <c r="G34" s="56"/>
      <c r="H34" s="56"/>
      <c r="I34" s="56"/>
      <c r="J34" s="57">
        <f>SUM(J22:J33)</f>
        <v>65</v>
      </c>
      <c r="K34" s="57"/>
      <c r="L34" s="57">
        <f>SUM(L22:L33)</f>
        <v>53.752005577005569</v>
      </c>
      <c r="M34" s="57">
        <f>SUM(M22:M33)</f>
        <v>5.8291899041899047</v>
      </c>
      <c r="N34" s="57">
        <f>SUM(N22:N33)</f>
        <v>3.5015015015015019</v>
      </c>
      <c r="O34" s="57">
        <f>SUM(O22:O33)</f>
        <v>261.54628432654755</v>
      </c>
      <c r="P34" s="57">
        <f>SUM(P22:P33)</f>
        <v>167.8169019221651</v>
      </c>
      <c r="Q34" s="65"/>
      <c r="R34" s="65"/>
      <c r="S34" s="65"/>
      <c r="T34" s="65"/>
      <c r="U34" s="57">
        <f t="shared" ref="U34:AM34" ca="1" si="29">SUM(U22:U33)</f>
        <v>0</v>
      </c>
      <c r="V34" s="57">
        <f t="shared" ca="1" si="29"/>
        <v>0</v>
      </c>
      <c r="W34" s="57">
        <f t="shared" ca="1" si="29"/>
        <v>0</v>
      </c>
      <c r="X34" s="57">
        <f t="shared" ca="1" si="29"/>
        <v>0</v>
      </c>
      <c r="Y34" s="57">
        <f t="shared" ca="1" si="29"/>
        <v>5457.3791581073274</v>
      </c>
      <c r="Z34" s="57">
        <f t="shared" ca="1" si="29"/>
        <v>1036.1183936973412</v>
      </c>
      <c r="AA34" s="57">
        <f t="shared" ca="1" si="29"/>
        <v>0</v>
      </c>
      <c r="AB34" s="57">
        <f t="shared" ca="1" si="29"/>
        <v>0</v>
      </c>
      <c r="AC34" s="57"/>
      <c r="AD34" s="57">
        <f t="shared" ca="1" si="29"/>
        <v>150077.92684795152</v>
      </c>
      <c r="AE34" s="57">
        <f t="shared" ca="1" si="29"/>
        <v>54396.215669110417</v>
      </c>
      <c r="AF34" s="57">
        <f t="shared" ca="1" si="29"/>
        <v>22233.766940437257</v>
      </c>
      <c r="AG34" s="57">
        <f t="shared" ca="1" si="29"/>
        <v>8058.6986176459868</v>
      </c>
      <c r="AH34" s="57">
        <f t="shared" ca="1" si="29"/>
        <v>172311.69378838874</v>
      </c>
      <c r="AI34" s="57">
        <f t="shared" ca="1" si="29"/>
        <v>62454.914286756393</v>
      </c>
      <c r="AJ34" s="57">
        <f t="shared" ca="1" si="29"/>
        <v>52899.689993035354</v>
      </c>
      <c r="AK34" s="57">
        <f t="shared" ca="1" si="29"/>
        <v>19173.658686034214</v>
      </c>
      <c r="AL34" s="57">
        <f t="shared" ca="1" si="29"/>
        <v>225211.38378142414</v>
      </c>
      <c r="AM34" s="57">
        <f t="shared" ca="1" si="29"/>
        <v>81628.572972790615</v>
      </c>
      <c r="AN34" s="57"/>
      <c r="AO34" s="57"/>
      <c r="AP34" s="57">
        <f>SUM(AP22:AP33)</f>
        <v>33.733919999999998</v>
      </c>
      <c r="AQ34" s="57"/>
      <c r="AR34" s="57"/>
      <c r="AS34" s="57">
        <f>SUM(AS22:AS33)</f>
        <v>323373.99637920555</v>
      </c>
      <c r="AT34" s="57"/>
      <c r="AU34" s="57">
        <f>SUM(AU22:AU33)</f>
        <v>15</v>
      </c>
      <c r="AV34" s="57"/>
      <c r="AW34" s="57">
        <f>SUM(AW22:AW33)</f>
        <v>420000</v>
      </c>
      <c r="AX34" s="57"/>
      <c r="AY34" s="57">
        <f>SUM(AY22:AY33)</f>
        <v>15</v>
      </c>
      <c r="AZ34" s="57"/>
      <c r="BA34" s="57">
        <f>SUM(BA22:BA33)</f>
        <v>505500.00000000006</v>
      </c>
      <c r="BB34" s="57"/>
      <c r="BC34" s="57">
        <f>SUM(BC22:BC33)</f>
        <v>0</v>
      </c>
      <c r="BD34" s="57"/>
      <c r="BE34" s="57">
        <f>SUM(BE22:BE33)</f>
        <v>0</v>
      </c>
      <c r="BF34" s="57"/>
      <c r="BG34" s="57"/>
      <c r="BH34" s="57"/>
      <c r="BI34" s="57"/>
      <c r="BJ34" s="57">
        <f>SUM(BJ22:BJ33)</f>
        <v>33035.03429200159</v>
      </c>
      <c r="BK34" s="57"/>
      <c r="BL34" s="57">
        <f>SUM(BL22:BL33)</f>
        <v>35163.757112686842</v>
      </c>
      <c r="BM34" s="57"/>
      <c r="BN34" s="57"/>
      <c r="BO34" s="57">
        <f>SUM(BO22:BO33)</f>
        <v>39872.403576563302</v>
      </c>
      <c r="BP34" s="57"/>
      <c r="BQ34" s="57">
        <f>SUM(BQ22:BQ33)</f>
        <v>3620.2136675516776</v>
      </c>
      <c r="BR34" s="57"/>
      <c r="BS34" s="57">
        <f>SUM(BS22:BS33)</f>
        <v>4159.3309993313287</v>
      </c>
      <c r="BT34" s="57">
        <f>SUM(BT22:BT33)</f>
        <v>24761.780850860625</v>
      </c>
      <c r="BU34" s="57">
        <f ca="1">SUM(BU22:BU33)</f>
        <v>1696326.473632416</v>
      </c>
      <c r="BV34" s="57"/>
      <c r="BW34" s="57"/>
      <c r="BX34" s="57"/>
      <c r="BY34" s="57">
        <f>SUM(BY22:BY33)</f>
        <v>399.26606821106827</v>
      </c>
    </row>
    <row r="35" spans="1:77" s="7" customFormat="1" x14ac:dyDescent="0.2">
      <c r="A35" s="21"/>
      <c r="B35" s="462" t="s">
        <v>73</v>
      </c>
      <c r="C35" s="462"/>
      <c r="D35" s="462"/>
      <c r="E35" s="462"/>
      <c r="F35" s="22"/>
      <c r="G35" s="23"/>
      <c r="H35" s="23"/>
      <c r="I35" s="23"/>
      <c r="J35" s="23"/>
      <c r="K35" s="23"/>
      <c r="L35" s="40"/>
      <c r="M35" s="23"/>
      <c r="N35" s="23"/>
      <c r="O35" s="41"/>
      <c r="P35" s="41"/>
      <c r="Q35" s="25"/>
      <c r="R35" s="23"/>
      <c r="S35" s="25"/>
      <c r="T35" s="2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263"/>
      <c r="AO35" s="263"/>
      <c r="AP35" s="42"/>
      <c r="AQ35" s="264"/>
      <c r="AR35" s="264"/>
      <c r="AS35" s="42"/>
      <c r="AT35" s="26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1:77" s="7" customFormat="1" ht="22.5" x14ac:dyDescent="0.2">
      <c r="A36" s="19">
        <v>1</v>
      </c>
      <c r="B36" s="27" t="s">
        <v>74</v>
      </c>
      <c r="C36" s="66">
        <v>1</v>
      </c>
      <c r="D36" s="465" t="s">
        <v>133</v>
      </c>
      <c r="E36" s="466"/>
      <c r="F36" s="217" t="s">
        <v>143</v>
      </c>
      <c r="G36" s="29">
        <f>G37</f>
        <v>60000</v>
      </c>
      <c r="H36" s="178">
        <v>42537</v>
      </c>
      <c r="I36" s="178">
        <v>42542</v>
      </c>
      <c r="J36" s="179">
        <f t="shared" ref="J36:J37" si="30">I36-H36+1</f>
        <v>6</v>
      </c>
      <c r="K36" s="170">
        <v>756</v>
      </c>
      <c r="L36" s="33">
        <f t="shared" ref="L36:L37" si="31">G36/K36</f>
        <v>79.365079365079367</v>
      </c>
      <c r="M36" s="34">
        <f t="shared" ref="M36:M37" si="32">L36/J36</f>
        <v>13.227513227513228</v>
      </c>
      <c r="N36" s="30">
        <v>0</v>
      </c>
      <c r="O36" s="35">
        <f t="shared" ref="O36:O37" si="33">IF(M36=0,0,L36*$O$17)</f>
        <v>633.9566865882656</v>
      </c>
      <c r="P36" s="35">
        <f t="shared" ref="P36:P37" si="34">IF(N36=0,0,L36*$O$17)</f>
        <v>0</v>
      </c>
      <c r="Q36" s="85">
        <v>5</v>
      </c>
      <c r="R36" s="83">
        <f ca="1">IF(AND(O36&gt;0,Q36&gt;0),SUMIF('Исходные данные'!$C$13:H34,Q36,'Исходные данные'!$C$25:$H$25),IF(O36=0,0,IF(Q36=0,"РОТ")))</f>
        <v>219.30404460212878</v>
      </c>
      <c r="S36" s="184">
        <v>5</v>
      </c>
      <c r="T36" s="83">
        <f>IF(AND(N36&gt;0,P36&gt;0),SUMIF('Исходные данные'!$C$13:$J$29,S36,'Исходные данные'!$C$33:$J$39),IF(N36=0,0,IF(S36=0,"РОТ")))</f>
        <v>0</v>
      </c>
      <c r="U36" s="130">
        <f ca="1">O36*R36*'Исходные данные'!$C$37%</f>
        <v>0</v>
      </c>
      <c r="V36" s="130">
        <f>P36*T36*'Исходные данные'!$C$38%</f>
        <v>0</v>
      </c>
      <c r="W36" s="130">
        <f t="shared" ref="W36:W37" ca="1" si="35">O36*R36*$W$17</f>
        <v>0</v>
      </c>
      <c r="X36" s="254">
        <f t="shared" ref="X36:X37" si="36">P36*T36*$W$17</f>
        <v>0</v>
      </c>
      <c r="Y36" s="130">
        <f t="shared" ref="Y36:Y37" ca="1" si="37">(O36*R36+U36+W36)*$Y$17</f>
        <v>13902.926547137078</v>
      </c>
      <c r="Z36" s="254">
        <f t="shared" ref="Z36:Z37" si="38">(P36*T36+V36+X36)*$Z$17</f>
        <v>0</v>
      </c>
      <c r="AA36" s="130">
        <f t="shared" ref="AA36:AA37" ca="1" si="39">(O36*R36+U36)*$AA$17</f>
        <v>0</v>
      </c>
      <c r="AB36" s="254">
        <f t="shared" ref="AB36:AB37" si="40">(P36*T36+V36)*$AA$17</f>
        <v>0</v>
      </c>
      <c r="AC36" s="260">
        <v>2.5</v>
      </c>
      <c r="AD36" s="130">
        <f t="shared" ref="AD36:AD37" ca="1" si="41">(O36*R36+U36+W36+Y36+AA36)*AC36</f>
        <v>382330.48004626966</v>
      </c>
      <c r="AE36" s="130">
        <f t="shared" ref="AE36:AE37" si="42">(P36*T36+V36+X36+Z36+AB36)*AC36</f>
        <v>0</v>
      </c>
      <c r="AF36" s="35">
        <f t="shared" ref="AF36:AG37" ca="1" si="43">AD36*$AF$17</f>
        <v>56641.55259944735</v>
      </c>
      <c r="AG36" s="114">
        <f t="shared" ca="1" si="43"/>
        <v>0</v>
      </c>
      <c r="AH36" s="35">
        <f t="shared" ref="AH36:AI37" ca="1" si="44">AD36+AF36</f>
        <v>438972.03264571703</v>
      </c>
      <c r="AI36" s="35">
        <f t="shared" ca="1" si="44"/>
        <v>0</v>
      </c>
      <c r="AJ36" s="35">
        <f t="shared" ref="AJ36:AK37" ca="1" si="45">AH36*$AJ$17</f>
        <v>134764.41402223511</v>
      </c>
      <c r="AK36" s="114">
        <f t="shared" ca="1" si="45"/>
        <v>0</v>
      </c>
      <c r="AL36" s="35">
        <f t="shared" ref="AL36:AL37" ca="1" si="46">AH36+AJ36</f>
        <v>573736.44666795211</v>
      </c>
      <c r="AM36" s="114">
        <f t="shared" ref="AM36:AM37" ca="1" si="47">AK36+AI36</f>
        <v>0</v>
      </c>
      <c r="AN36" s="265">
        <v>0.185</v>
      </c>
      <c r="AO36" s="33">
        <f>'Исходные данные'!$C$53</f>
        <v>0.84</v>
      </c>
      <c r="AP36" s="79">
        <f t="shared" ref="AP36:AP37" si="48">(G36*AN36)*AO36/100</f>
        <v>93.24</v>
      </c>
      <c r="AQ36" s="33" t="s">
        <v>155</v>
      </c>
      <c r="AR36" s="83">
        <f>'Исходные данные'!$F$78</f>
        <v>9573.3714285714286</v>
      </c>
      <c r="AS36" s="36">
        <f t="shared" ref="AS36:AS37" si="49">AP36*AR36</f>
        <v>892621.152</v>
      </c>
      <c r="AT36" s="263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6">
        <f t="shared" ref="BJ36" si="50">BI36*L36</f>
        <v>0</v>
      </c>
      <c r="BK36" s="36">
        <f>аморт!G90</f>
        <v>29.328248977777776</v>
      </c>
      <c r="BL36" s="36">
        <f t="shared" ref="BL36:BL37" si="51">BK36*L36*$O$17</f>
        <v>18592.839545387684</v>
      </c>
      <c r="BM36" s="36"/>
      <c r="BN36" s="42"/>
      <c r="BO36" s="36">
        <f t="shared" ref="BO36:BO37" si="52">BN36*BY36</f>
        <v>0</v>
      </c>
      <c r="BP36" s="42"/>
      <c r="BQ36" s="36">
        <f t="shared" ref="BQ36:BQ37" si="53">BP36*BY36</f>
        <v>0</v>
      </c>
      <c r="BR36" s="42"/>
      <c r="BS36" s="36">
        <f t="shared" ref="BS36:BS37" si="54">BR36*BY36</f>
        <v>0</v>
      </c>
      <c r="BT36" s="36">
        <f>аморт!$C$90*10%/аморт!$F$90*L36*O17</f>
        <v>16750.305896745664</v>
      </c>
      <c r="BU36" s="36">
        <f t="shared" ref="BU36:BU37" ca="1" si="55">AL36+AM36+AS36+AW36+BA36+BE36+BH36+BJ36+BL36+BM36+BO36+BQ36+BS36+BT36</f>
        <v>1501700.7441100858</v>
      </c>
      <c r="BV36" s="36">
        <f t="shared" ref="BV36:BV37" ca="1" si="56">BU36/$D$6</f>
        <v>15017.007441100857</v>
      </c>
      <c r="BW36" s="38">
        <f t="shared" ref="BW36:BW37" si="57">(O36+P36)/$D$6</f>
        <v>6.3395668658826558</v>
      </c>
      <c r="BX36" s="42"/>
      <c r="BY36" s="255">
        <f t="shared" ref="BY36:BY37" si="58">BX36*L36</f>
        <v>0</v>
      </c>
    </row>
    <row r="37" spans="1:77" s="7" customFormat="1" x14ac:dyDescent="0.2">
      <c r="A37" s="20">
        <f>A36+1</f>
        <v>2</v>
      </c>
      <c r="B37" s="27" t="s">
        <v>75</v>
      </c>
      <c r="C37" s="66">
        <v>1</v>
      </c>
      <c r="D37" s="218" t="s">
        <v>534</v>
      </c>
      <c r="E37" s="212" t="s">
        <v>134</v>
      </c>
      <c r="F37" s="217" t="s">
        <v>143</v>
      </c>
      <c r="G37" s="261">
        <f>Нормы!B27*Нормы!C27*D6</f>
        <v>60000</v>
      </c>
      <c r="H37" s="174">
        <f>H36</f>
        <v>42537</v>
      </c>
      <c r="I37" s="174">
        <f>I36</f>
        <v>42542</v>
      </c>
      <c r="J37" s="179">
        <f t="shared" si="30"/>
        <v>6</v>
      </c>
      <c r="K37" s="262">
        <v>756</v>
      </c>
      <c r="L37" s="33">
        <f t="shared" si="31"/>
        <v>79.365079365079367</v>
      </c>
      <c r="M37" s="34">
        <f t="shared" si="32"/>
        <v>13.227513227513228</v>
      </c>
      <c r="N37" s="34">
        <f>L37/J37</f>
        <v>13.227513227513228</v>
      </c>
      <c r="O37" s="35">
        <f t="shared" si="33"/>
        <v>633.9566865882656</v>
      </c>
      <c r="P37" s="35">
        <f t="shared" si="34"/>
        <v>633.9566865882656</v>
      </c>
      <c r="Q37" s="85">
        <v>5</v>
      </c>
      <c r="R37" s="83">
        <f ca="1">IF(AND(O37&gt;0,Q37&gt;0),SUMIF('Исходные данные'!$C$13:H35,Q37,'Исходные данные'!$C$25:$H$25),IF(O37=0,0,IF(Q37=0,"РОТ")))</f>
        <v>219.30404460212878</v>
      </c>
      <c r="S37" s="184">
        <v>5</v>
      </c>
      <c r="T37" s="83">
        <f ca="1">IF(AND(N37&gt;0,P37&gt;0),SUMIF('Исходные данные'!$C$13:$J$29,S37,'Исходные данные'!$C$33:$J$39),IF(N37=0,0,IF(S37=0,"РОТ")))</f>
        <v>136.32413583375569</v>
      </c>
      <c r="U37" s="130">
        <f ca="1">O37*R37*'Исходные данные'!$C$37%</f>
        <v>0</v>
      </c>
      <c r="V37" s="130">
        <f ca="1">P37*T37*'Исходные данные'!$C$38%</f>
        <v>0</v>
      </c>
      <c r="W37" s="130">
        <f t="shared" ca="1" si="35"/>
        <v>0</v>
      </c>
      <c r="X37" s="254">
        <f t="shared" ca="1" si="36"/>
        <v>0</v>
      </c>
      <c r="Y37" s="130">
        <f t="shared" ca="1" si="37"/>
        <v>13902.926547137078</v>
      </c>
      <c r="Z37" s="254">
        <f t="shared" ca="1" si="38"/>
        <v>4321.1798727588202</v>
      </c>
      <c r="AA37" s="130">
        <f t="shared" ca="1" si="39"/>
        <v>0</v>
      </c>
      <c r="AB37" s="254">
        <f t="shared" ca="1" si="40"/>
        <v>0</v>
      </c>
      <c r="AC37" s="260">
        <v>2.5</v>
      </c>
      <c r="AD37" s="130">
        <f t="shared" ca="1" si="41"/>
        <v>382330.48004626966</v>
      </c>
      <c r="AE37" s="130">
        <f t="shared" ca="1" si="42"/>
        <v>226861.94331983806</v>
      </c>
      <c r="AF37" s="35">
        <f t="shared" ca="1" si="43"/>
        <v>56641.55259944735</v>
      </c>
      <c r="AG37" s="114">
        <f t="shared" ca="1" si="43"/>
        <v>33609.176788124154</v>
      </c>
      <c r="AH37" s="35">
        <f t="shared" ca="1" si="44"/>
        <v>438972.03264571703</v>
      </c>
      <c r="AI37" s="35">
        <f t="shared" ca="1" si="44"/>
        <v>260471.12010796223</v>
      </c>
      <c r="AJ37" s="35">
        <f t="shared" ca="1" si="45"/>
        <v>134764.41402223511</v>
      </c>
      <c r="AK37" s="114">
        <f t="shared" ca="1" si="45"/>
        <v>79964.633873144398</v>
      </c>
      <c r="AL37" s="35">
        <f t="shared" ca="1" si="46"/>
        <v>573736.44666795211</v>
      </c>
      <c r="AM37" s="114">
        <f t="shared" ca="1" si="47"/>
        <v>340435.75398110662</v>
      </c>
      <c r="AN37" s="265">
        <v>0.11619047619047618</v>
      </c>
      <c r="AO37" s="33">
        <f>'Исходные данные'!$C$53</f>
        <v>0.84</v>
      </c>
      <c r="AP37" s="79">
        <f t="shared" si="48"/>
        <v>58.559999999999988</v>
      </c>
      <c r="AQ37" s="33" t="s">
        <v>155</v>
      </c>
      <c r="AR37" s="83">
        <f>'Исходные данные'!$F$78</f>
        <v>9573.3714285714286</v>
      </c>
      <c r="AS37" s="36">
        <f t="shared" si="49"/>
        <v>560616.63085714274</v>
      </c>
      <c r="AT37" s="263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36">
        <f>аморт!G12</f>
        <v>61.781971818181816</v>
      </c>
      <c r="BJ37" s="36">
        <f t="shared" ref="BJ37" si="59">BI37*L37*$O$17</f>
        <v>39167.094144744144</v>
      </c>
      <c r="BK37" s="36">
        <f>аморт!G44</f>
        <v>14.767357037037037</v>
      </c>
      <c r="BL37" s="36">
        <f t="shared" si="51"/>
        <v>9361.8647368659058</v>
      </c>
      <c r="BM37" s="36"/>
      <c r="BN37" s="38">
        <f>'Исходные данные'!$C$82</f>
        <v>101.43277978079999</v>
      </c>
      <c r="BO37" s="36">
        <f t="shared" si="52"/>
        <v>93382.559163276179</v>
      </c>
      <c r="BP37" s="38">
        <f>'Исходные данные'!$C$87</f>
        <v>11.283646508159999</v>
      </c>
      <c r="BQ37" s="36">
        <f t="shared" si="53"/>
        <v>10388.11900751238</v>
      </c>
      <c r="BR37" s="42">
        <f>'Исходные данные'!$C$92</f>
        <v>8.0425991068799991</v>
      </c>
      <c r="BS37" s="36">
        <f t="shared" si="54"/>
        <v>7404.2975904609511</v>
      </c>
      <c r="BT37" s="36">
        <f>аморт!$C$44*10%/аморт!$F$44*L37*O17</f>
        <v>9361.8647368659058</v>
      </c>
      <c r="BU37" s="36">
        <f t="shared" ca="1" si="55"/>
        <v>1643854.630885927</v>
      </c>
      <c r="BV37" s="36">
        <f t="shared" ca="1" si="56"/>
        <v>16438.54630885927</v>
      </c>
      <c r="BW37" s="38">
        <f t="shared" si="57"/>
        <v>12.679133731765312</v>
      </c>
      <c r="BX37" s="38">
        <f>'Исходные данные'!$B$106</f>
        <v>11.6</v>
      </c>
      <c r="BY37" s="255">
        <f t="shared" si="58"/>
        <v>920.6349206349206</v>
      </c>
    </row>
    <row r="38" spans="1:77" s="7" customFormat="1" hidden="1" x14ac:dyDescent="0.2">
      <c r="A38" s="19"/>
      <c r="B38" s="27"/>
      <c r="C38" s="66"/>
      <c r="D38" s="470"/>
      <c r="E38" s="471"/>
      <c r="F38" s="28"/>
      <c r="G38" s="29"/>
      <c r="H38" s="174"/>
      <c r="I38" s="174"/>
      <c r="J38" s="179"/>
      <c r="K38" s="262"/>
      <c r="L38" s="33"/>
      <c r="M38" s="29"/>
      <c r="N38" s="29"/>
      <c r="O38" s="35"/>
      <c r="P38" s="35"/>
      <c r="Q38" s="85"/>
      <c r="R38" s="83"/>
      <c r="S38" s="184"/>
      <c r="T38" s="83"/>
      <c r="U38" s="130"/>
      <c r="V38" s="130"/>
      <c r="W38" s="130"/>
      <c r="X38" s="254"/>
      <c r="Y38" s="130"/>
      <c r="Z38" s="254"/>
      <c r="AA38" s="130"/>
      <c r="AB38" s="254"/>
      <c r="AC38" s="260"/>
      <c r="AD38" s="130"/>
      <c r="AE38" s="130"/>
      <c r="AF38" s="35"/>
      <c r="AG38" s="114"/>
      <c r="AH38" s="35"/>
      <c r="AI38" s="35"/>
      <c r="AJ38" s="35"/>
      <c r="AK38" s="114"/>
      <c r="AL38" s="35"/>
      <c r="AM38" s="114"/>
      <c r="AN38" s="176"/>
      <c r="AO38" s="33"/>
      <c r="AP38" s="79"/>
      <c r="AQ38" s="33"/>
      <c r="AR38" s="83"/>
      <c r="AS38" s="36"/>
      <c r="AT38" s="263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6"/>
      <c r="BK38" s="36"/>
      <c r="BL38" s="36"/>
      <c r="BM38" s="36"/>
      <c r="BN38" s="42"/>
      <c r="BO38" s="36"/>
      <c r="BP38" s="42"/>
      <c r="BQ38" s="36"/>
      <c r="BR38" s="42"/>
      <c r="BS38" s="36"/>
      <c r="BT38" s="36"/>
      <c r="BU38" s="36"/>
      <c r="BV38" s="36"/>
      <c r="BW38" s="38"/>
      <c r="BX38" s="42"/>
      <c r="BY38" s="255"/>
    </row>
    <row r="39" spans="1:77" s="7" customFormat="1" hidden="1" x14ac:dyDescent="0.2">
      <c r="A39" s="20"/>
      <c r="B39" s="27"/>
      <c r="C39" s="66"/>
      <c r="D39" s="30"/>
      <c r="E39" s="180"/>
      <c r="F39" s="28"/>
      <c r="G39" s="29"/>
      <c r="H39" s="174"/>
      <c r="I39" s="174"/>
      <c r="J39" s="179"/>
      <c r="K39" s="262"/>
      <c r="L39" s="33"/>
      <c r="M39" s="29"/>
      <c r="N39" s="29"/>
      <c r="O39" s="35"/>
      <c r="P39" s="35"/>
      <c r="Q39" s="85"/>
      <c r="R39" s="83"/>
      <c r="S39" s="184"/>
      <c r="T39" s="83"/>
      <c r="U39" s="130"/>
      <c r="V39" s="130"/>
      <c r="W39" s="130"/>
      <c r="X39" s="254"/>
      <c r="Y39" s="130"/>
      <c r="Z39" s="254"/>
      <c r="AA39" s="130"/>
      <c r="AB39" s="254"/>
      <c r="AC39" s="260"/>
      <c r="AD39" s="130"/>
      <c r="AE39" s="130"/>
      <c r="AF39" s="35"/>
      <c r="AG39" s="114"/>
      <c r="AH39" s="35"/>
      <c r="AI39" s="35"/>
      <c r="AJ39" s="35"/>
      <c r="AK39" s="114"/>
      <c r="AL39" s="35"/>
      <c r="AM39" s="114"/>
      <c r="AN39" s="176"/>
      <c r="AO39" s="33"/>
      <c r="AP39" s="79"/>
      <c r="AQ39" s="33"/>
      <c r="AR39" s="83"/>
      <c r="AS39" s="36"/>
      <c r="AT39" s="263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36"/>
      <c r="BJ39" s="36"/>
      <c r="BK39" s="36"/>
      <c r="BL39" s="36"/>
      <c r="BM39" s="36"/>
      <c r="BN39" s="38"/>
      <c r="BO39" s="36"/>
      <c r="BP39" s="38"/>
      <c r="BQ39" s="36"/>
      <c r="BR39" s="42"/>
      <c r="BS39" s="36"/>
      <c r="BT39" s="36"/>
      <c r="BU39" s="36"/>
      <c r="BV39" s="36"/>
      <c r="BW39" s="38"/>
      <c r="BX39" s="38"/>
      <c r="BY39" s="255"/>
    </row>
    <row r="40" spans="1:77" s="7" customFormat="1" hidden="1" x14ac:dyDescent="0.2">
      <c r="A40" s="19"/>
      <c r="B40" s="27"/>
      <c r="C40" s="66"/>
      <c r="D40" s="470"/>
      <c r="E40" s="471"/>
      <c r="F40" s="28"/>
      <c r="G40" s="29"/>
      <c r="H40" s="174"/>
      <c r="I40" s="174"/>
      <c r="J40" s="179"/>
      <c r="K40" s="262"/>
      <c r="L40" s="33"/>
      <c r="M40" s="29"/>
      <c r="N40" s="29"/>
      <c r="O40" s="35"/>
      <c r="P40" s="35"/>
      <c r="Q40" s="85"/>
      <c r="R40" s="83"/>
      <c r="S40" s="184"/>
      <c r="T40" s="83"/>
      <c r="U40" s="130"/>
      <c r="V40" s="130"/>
      <c r="W40" s="130"/>
      <c r="X40" s="254"/>
      <c r="Y40" s="130"/>
      <c r="Z40" s="254"/>
      <c r="AA40" s="130"/>
      <c r="AB40" s="254"/>
      <c r="AC40" s="260"/>
      <c r="AD40" s="130"/>
      <c r="AE40" s="130"/>
      <c r="AF40" s="35"/>
      <c r="AG40" s="114"/>
      <c r="AH40" s="35"/>
      <c r="AI40" s="35"/>
      <c r="AJ40" s="35"/>
      <c r="AK40" s="114"/>
      <c r="AL40" s="35"/>
      <c r="AM40" s="114"/>
      <c r="AN40" s="176"/>
      <c r="AO40" s="33"/>
      <c r="AP40" s="79"/>
      <c r="AQ40" s="33"/>
      <c r="AR40" s="83"/>
      <c r="AS40" s="36"/>
      <c r="AT40" s="263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36"/>
      <c r="BK40" s="36"/>
      <c r="BL40" s="36"/>
      <c r="BM40" s="36"/>
      <c r="BN40" s="42"/>
      <c r="BO40" s="36"/>
      <c r="BP40" s="42"/>
      <c r="BQ40" s="36"/>
      <c r="BR40" s="42"/>
      <c r="BS40" s="36"/>
      <c r="BT40" s="36"/>
      <c r="BU40" s="36"/>
      <c r="BV40" s="36"/>
      <c r="BW40" s="38"/>
      <c r="BX40" s="42"/>
      <c r="BY40" s="255"/>
    </row>
    <row r="41" spans="1:77" s="7" customFormat="1" hidden="1" x14ac:dyDescent="0.2">
      <c r="A41" s="20"/>
      <c r="B41" s="27"/>
      <c r="C41" s="66"/>
      <c r="D41" s="30"/>
      <c r="E41" s="180"/>
      <c r="F41" s="28"/>
      <c r="G41" s="29"/>
      <c r="H41" s="174"/>
      <c r="I41" s="174"/>
      <c r="J41" s="179"/>
      <c r="K41" s="262"/>
      <c r="L41" s="33"/>
      <c r="M41" s="29"/>
      <c r="N41" s="29"/>
      <c r="O41" s="35"/>
      <c r="P41" s="35"/>
      <c r="Q41" s="85"/>
      <c r="R41" s="83"/>
      <c r="S41" s="184"/>
      <c r="T41" s="83"/>
      <c r="U41" s="130"/>
      <c r="V41" s="130"/>
      <c r="W41" s="130"/>
      <c r="X41" s="254"/>
      <c r="Y41" s="130"/>
      <c r="Z41" s="254"/>
      <c r="AA41" s="130"/>
      <c r="AB41" s="254"/>
      <c r="AC41" s="260"/>
      <c r="AD41" s="130"/>
      <c r="AE41" s="130"/>
      <c r="AF41" s="35"/>
      <c r="AG41" s="114"/>
      <c r="AH41" s="35"/>
      <c r="AI41" s="35"/>
      <c r="AJ41" s="35"/>
      <c r="AK41" s="114"/>
      <c r="AL41" s="35"/>
      <c r="AM41" s="114"/>
      <c r="AN41" s="176"/>
      <c r="AO41" s="33"/>
      <c r="AP41" s="79"/>
      <c r="AQ41" s="33"/>
      <c r="AR41" s="83"/>
      <c r="AS41" s="36"/>
      <c r="AT41" s="263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36"/>
      <c r="BJ41" s="36"/>
      <c r="BK41" s="36"/>
      <c r="BL41" s="36"/>
      <c r="BM41" s="36"/>
      <c r="BN41" s="38"/>
      <c r="BO41" s="36"/>
      <c r="BP41" s="38"/>
      <c r="BQ41" s="36"/>
      <c r="BR41" s="42"/>
      <c r="BS41" s="36"/>
      <c r="BT41" s="36"/>
      <c r="BU41" s="36"/>
      <c r="BV41" s="36"/>
      <c r="BW41" s="38"/>
      <c r="BX41" s="38"/>
      <c r="BY41" s="255"/>
    </row>
    <row r="42" spans="1:77" s="54" customFormat="1" x14ac:dyDescent="0.2">
      <c r="A42" s="52"/>
      <c r="B42" s="53" t="s">
        <v>22</v>
      </c>
      <c r="C42" s="56"/>
      <c r="D42" s="56"/>
      <c r="E42" s="56"/>
      <c r="F42" s="55"/>
      <c r="G42" s="64"/>
      <c r="H42" s="64"/>
      <c r="I42" s="64"/>
      <c r="J42" s="57">
        <f>SUM(J36:J41)</f>
        <v>12</v>
      </c>
      <c r="K42" s="57"/>
      <c r="L42" s="57">
        <f>SUM(L36:L41)</f>
        <v>158.73015873015873</v>
      </c>
      <c r="M42" s="57">
        <f>SUM(M36:M41)</f>
        <v>26.455026455026456</v>
      </c>
      <c r="N42" s="57">
        <f>SUM(N36:N41)</f>
        <v>13.227513227513228</v>
      </c>
      <c r="O42" s="57">
        <f>SUM(O36:O41)</f>
        <v>1267.9133731765312</v>
      </c>
      <c r="P42" s="57">
        <f>SUM(P36:P41)</f>
        <v>633.9566865882656</v>
      </c>
      <c r="Q42" s="65"/>
      <c r="R42" s="65"/>
      <c r="S42" s="65"/>
      <c r="T42" s="65"/>
      <c r="U42" s="57">
        <f t="shared" ref="U42:AA42" ca="1" si="60">SUM(U36:U41)</f>
        <v>0</v>
      </c>
      <c r="V42" s="57">
        <f t="shared" ca="1" si="60"/>
        <v>0</v>
      </c>
      <c r="W42" s="57">
        <f t="shared" ca="1" si="60"/>
        <v>0</v>
      </c>
      <c r="X42" s="57">
        <f t="shared" ca="1" si="60"/>
        <v>0</v>
      </c>
      <c r="Y42" s="57">
        <f t="shared" ca="1" si="60"/>
        <v>27805.853094274156</v>
      </c>
      <c r="Z42" s="57">
        <f t="shared" ca="1" si="60"/>
        <v>4321.1798727588202</v>
      </c>
      <c r="AA42" s="57">
        <f t="shared" ca="1" si="60"/>
        <v>0</v>
      </c>
      <c r="AB42" s="57">
        <f ca="1">SUM(AB36:AB41)</f>
        <v>0</v>
      </c>
      <c r="AC42" s="57"/>
      <c r="AD42" s="57">
        <f ca="1">SUM(AD36:AD41)</f>
        <v>764660.96009253932</v>
      </c>
      <c r="AE42" s="57">
        <f ca="1">SUM(AE36:AE41)</f>
        <v>226861.94331983806</v>
      </c>
      <c r="AF42" s="57">
        <f ca="1">SUM(AF36:AF41)</f>
        <v>113283.1051988947</v>
      </c>
      <c r="AG42" s="57">
        <f t="shared" ref="AG42:AL42" ca="1" si="61">SUM(AG36:AG41)</f>
        <v>33609.176788124154</v>
      </c>
      <c r="AH42" s="57">
        <f t="shared" ca="1" si="61"/>
        <v>877944.06529143406</v>
      </c>
      <c r="AI42" s="57">
        <f t="shared" ca="1" si="61"/>
        <v>260471.12010796223</v>
      </c>
      <c r="AJ42" s="57">
        <f t="shared" ca="1" si="61"/>
        <v>269528.82804447022</v>
      </c>
      <c r="AK42" s="57">
        <f t="shared" ca="1" si="61"/>
        <v>79964.633873144398</v>
      </c>
      <c r="AL42" s="57">
        <f t="shared" ca="1" si="61"/>
        <v>1147472.8933359042</v>
      </c>
      <c r="AM42" s="57">
        <f ca="1">SUM(AM36:AM41)</f>
        <v>340435.75398110662</v>
      </c>
      <c r="AN42" s="57"/>
      <c r="AO42" s="57"/>
      <c r="AP42" s="57">
        <f>SUM(AP36:AP41)</f>
        <v>151.79999999999998</v>
      </c>
      <c r="AQ42" s="57"/>
      <c r="AR42" s="57"/>
      <c r="AS42" s="57">
        <f>SUM(AS36:AS41)</f>
        <v>1453237.7828571429</v>
      </c>
      <c r="AT42" s="57"/>
      <c r="AU42" s="57">
        <f>SUM(AU36:AU41)</f>
        <v>0</v>
      </c>
      <c r="AV42" s="57"/>
      <c r="AW42" s="57">
        <f>SUM(AW36:AW41)</f>
        <v>0</v>
      </c>
      <c r="AX42" s="57"/>
      <c r="AY42" s="57">
        <f>SUM(AY36:AY41)</f>
        <v>0</v>
      </c>
      <c r="AZ42" s="57">
        <f>SUM(AZ36:AZ41)</f>
        <v>0</v>
      </c>
      <c r="BA42" s="57">
        <f>SUM(BA36:BA41)</f>
        <v>0</v>
      </c>
      <c r="BB42" s="57"/>
      <c r="BC42" s="57">
        <f>SUM(BC36:BC41)</f>
        <v>0</v>
      </c>
      <c r="BD42" s="57"/>
      <c r="BE42" s="57">
        <f>SUM(BE36:BE41)</f>
        <v>0</v>
      </c>
      <c r="BF42" s="57"/>
      <c r="BG42" s="57"/>
      <c r="BH42" s="57"/>
      <c r="BI42" s="57"/>
      <c r="BJ42" s="57">
        <f>SUM(BJ36:BJ41)</f>
        <v>39167.094144744144</v>
      </c>
      <c r="BK42" s="57"/>
      <c r="BL42" s="57">
        <f>SUM(BL36:BL41)</f>
        <v>27954.704282253588</v>
      </c>
      <c r="BM42" s="57"/>
      <c r="BN42" s="57"/>
      <c r="BO42" s="57">
        <f>SUM(BO36:BO41)</f>
        <v>93382.559163276179</v>
      </c>
      <c r="BP42" s="57"/>
      <c r="BQ42" s="57">
        <f>SUM(BQ36:BQ41)</f>
        <v>10388.11900751238</v>
      </c>
      <c r="BR42" s="57"/>
      <c r="BS42" s="57">
        <f>SUM(BS36:BS37)</f>
        <v>7404.2975904609511</v>
      </c>
      <c r="BT42" s="57">
        <f>SUM(BT36:BT41)</f>
        <v>26112.170633611568</v>
      </c>
      <c r="BU42" s="57">
        <f ca="1">SUM(BU36:BU37)</f>
        <v>3145555.374996013</v>
      </c>
      <c r="BV42" s="57"/>
      <c r="BW42" s="57"/>
      <c r="BX42" s="57"/>
      <c r="BY42" s="57">
        <f>SUM(BY36:BY41)</f>
        <v>920.6349206349206</v>
      </c>
    </row>
    <row r="43" spans="1:77" s="7" customFormat="1" ht="12.75" customHeight="1" x14ac:dyDescent="0.2">
      <c r="A43" s="21"/>
      <c r="B43" s="462" t="s">
        <v>84</v>
      </c>
      <c r="C43" s="462"/>
      <c r="D43" s="462"/>
      <c r="E43" s="462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5"/>
      <c r="AQ43" s="26"/>
      <c r="AR43" s="26"/>
      <c r="AS43" s="25"/>
      <c r="AT43" s="23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3"/>
    </row>
    <row r="44" spans="1:77" ht="27.75" customHeight="1" x14ac:dyDescent="0.2">
      <c r="A44" s="19">
        <v>1</v>
      </c>
      <c r="B44" s="27" t="s">
        <v>433</v>
      </c>
      <c r="C44" s="66">
        <v>1</v>
      </c>
      <c r="D44" s="28" t="s">
        <v>107</v>
      </c>
      <c r="E44" s="186" t="s">
        <v>494</v>
      </c>
      <c r="F44" s="28" t="s">
        <v>108</v>
      </c>
      <c r="G44" s="29">
        <v>100</v>
      </c>
      <c r="H44" s="172">
        <v>42597</v>
      </c>
      <c r="I44" s="172">
        <v>42603</v>
      </c>
      <c r="J44" s="185">
        <f t="shared" ref="J44:J49" si="62">I44-H44</f>
        <v>6</v>
      </c>
      <c r="K44" s="262">
        <v>9.6</v>
      </c>
      <c r="L44" s="33">
        <f>G44/K44</f>
        <v>10.416666666666668</v>
      </c>
      <c r="M44" s="34">
        <f t="shared" ref="M44:M45" si="63">L44/J44</f>
        <v>1.7361111111111114</v>
      </c>
      <c r="N44" s="34"/>
      <c r="O44" s="35">
        <f>IF(M44=0,0,L44*$O$17)</f>
        <v>83.206815114709855</v>
      </c>
      <c r="P44" s="35">
        <f t="shared" ref="P44:P49" si="64">IF(N44=0,0,L44*$O$17)</f>
        <v>0</v>
      </c>
      <c r="Q44" s="34">
        <v>5</v>
      </c>
      <c r="R44" s="83">
        <f ca="1">IF(AND(O44&gt;0,Q44&gt;0),SUMIF('Исходные данные'!$C$13:H36,Q44,'Исходные данные'!$C$17:$H$17),IF(O44=0,0,IF(Q44=0,"РОТ")))</f>
        <v>179.78980233147493</v>
      </c>
      <c r="S44" s="34"/>
      <c r="T44" s="33"/>
      <c r="U44" s="130">
        <f ca="1">O44*R44*'Исходные данные'!$C$37%</f>
        <v>0</v>
      </c>
      <c r="V44" s="130">
        <f>P44*T44*'Исходные данные'!$C$38%</f>
        <v>0</v>
      </c>
      <c r="W44" s="130">
        <f t="shared" ref="W44:W49" ca="1" si="65">O44*R44*$W$17</f>
        <v>0</v>
      </c>
      <c r="X44" s="254">
        <f t="shared" ref="X44:X49" si="66">P44*T44*$W$17</f>
        <v>0</v>
      </c>
      <c r="Y44" s="130">
        <f t="shared" ref="Y44:Y49" ca="1" si="67">(O44*R44+U44+W44)*$Y$17</f>
        <v>1495.9736842105267</v>
      </c>
      <c r="Z44" s="254">
        <f t="shared" ref="Z44:Z49" si="68">(P44*T44+V44+X44)*$Z$17</f>
        <v>0</v>
      </c>
      <c r="AA44" s="130">
        <f t="shared" ref="AA44:AA49" ca="1" si="69">(O44*R44+U44)*$AA$17</f>
        <v>0</v>
      </c>
      <c r="AB44" s="254">
        <f t="shared" ref="AB44:AB49" si="70">(P44*T44+V44)*$AA$17</f>
        <v>0</v>
      </c>
      <c r="AC44" s="260">
        <v>2.5</v>
      </c>
      <c r="AD44" s="130">
        <f t="shared" ref="AD44:AD49" ca="1" si="71">(O44*R44+U44+W44+Y44+AA44)*AC44</f>
        <v>41139.276315789481</v>
      </c>
      <c r="AE44" s="130">
        <f t="shared" ref="AE44:AE49" si="72">(P44*T44+V44+X44+Z44+AB44)*AC44</f>
        <v>0</v>
      </c>
      <c r="AF44" s="35">
        <f ca="1">AD44*$AF$17</f>
        <v>6094.7076023391819</v>
      </c>
      <c r="AG44" s="114">
        <f ca="1">AE44*$AF$17</f>
        <v>0</v>
      </c>
      <c r="AH44" s="35">
        <f ca="1">AD44+AF44</f>
        <v>47233.983918128666</v>
      </c>
      <c r="AI44" s="35">
        <f ca="1">AE44+AG44</f>
        <v>0</v>
      </c>
      <c r="AJ44" s="35">
        <f ca="1">AH44*$AJ$17</f>
        <v>14500.8330628655</v>
      </c>
      <c r="AK44" s="114">
        <f ca="1">AI44*$AJ$17</f>
        <v>0</v>
      </c>
      <c r="AL44" s="35">
        <f ca="1">AH44+AJ44</f>
        <v>61734.816980994168</v>
      </c>
      <c r="AM44" s="114">
        <f ca="1">AK44+AI44</f>
        <v>0</v>
      </c>
      <c r="AN44" s="171">
        <v>6</v>
      </c>
      <c r="AO44" s="33">
        <f>'Исходные данные'!$C$53</f>
        <v>0.84</v>
      </c>
      <c r="AP44" s="79">
        <f>(G44*AN44)*AO44/100</f>
        <v>5.04</v>
      </c>
      <c r="AQ44" s="33" t="s">
        <v>155</v>
      </c>
      <c r="AR44" s="83">
        <f>'Исходные данные'!$G$78</f>
        <v>9559.3714285714286</v>
      </c>
      <c r="AS44" s="36">
        <f>AP44*AR44</f>
        <v>48179.232000000004</v>
      </c>
      <c r="AT44" s="32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>аморт!$G$10</f>
        <v>69.696969696969703</v>
      </c>
      <c r="BJ44" s="36">
        <f t="shared" ref="BJ44:BJ46" si="73">BI44*L44*$O$17</f>
        <v>5799.2628716312938</v>
      </c>
      <c r="BK44" s="36">
        <f>аморт!G27</f>
        <v>343.69111111111113</v>
      </c>
      <c r="BL44" s="36">
        <f t="shared" ref="BL44:BL45" si="74">BK44*L44*$O$17</f>
        <v>28597.442738791429</v>
      </c>
      <c r="BM44" s="36"/>
      <c r="BN44" s="38">
        <f>'Исходные данные'!$E$82</f>
        <v>98.911965135359992</v>
      </c>
      <c r="BO44" s="36">
        <f>BN44*BY44</f>
        <v>5254.6981478159996</v>
      </c>
      <c r="BP44" s="38">
        <f>'Исходные данные'!$E$87</f>
        <v>16.685392176959997</v>
      </c>
      <c r="BQ44" s="36">
        <f>BP44*BY44</f>
        <v>886.41145940099989</v>
      </c>
      <c r="BR44" s="38">
        <f>'Исходные данные'!$E$92</f>
        <v>5.7618620467199984</v>
      </c>
      <c r="BS44" s="36">
        <f>BR44*BY44</f>
        <v>306.0989212319999</v>
      </c>
      <c r="BT44" s="36">
        <f>аморт!C27*10%/аморт!F27*L44*O17</f>
        <v>22877.954191033146</v>
      </c>
      <c r="BU44" s="36">
        <f t="shared" ref="BU44:BU49" ca="1" si="75">AL44+AM44+AS44+AW44+BA44+BE44+BH44+BJ44+BL44+BM44+BO44+BQ44+BS44+BT44</f>
        <v>173635.91731089904</v>
      </c>
      <c r="BV44" s="36">
        <f t="shared" ref="BV44:BV49" ca="1" si="76">BU44/$D$6</f>
        <v>1736.3591731089903</v>
      </c>
      <c r="BW44" s="38">
        <f t="shared" ref="BW44:BW49" si="77">(O44+P44)/$D$6</f>
        <v>0.83206815114709853</v>
      </c>
      <c r="BX44" s="38">
        <f>'Исходные данные'!$B$102</f>
        <v>5.0999999999999996</v>
      </c>
      <c r="BY44" s="255">
        <f>BX44*L44</f>
        <v>53.125</v>
      </c>
    </row>
    <row r="45" spans="1:77" ht="24" customHeight="1" x14ac:dyDescent="0.2">
      <c r="A45" s="19">
        <v>2</v>
      </c>
      <c r="B45" s="27" t="s">
        <v>79</v>
      </c>
      <c r="C45" s="66">
        <v>5</v>
      </c>
      <c r="D45" s="19" t="s">
        <v>495</v>
      </c>
      <c r="E45" s="180" t="s">
        <v>117</v>
      </c>
      <c r="F45" s="28" t="s">
        <v>121</v>
      </c>
      <c r="G45" s="29">
        <f>D12/10</f>
        <v>1500</v>
      </c>
      <c r="H45" s="172">
        <v>42597</v>
      </c>
      <c r="I45" s="172">
        <v>42603</v>
      </c>
      <c r="J45" s="185">
        <f>I45-H45</f>
        <v>6</v>
      </c>
      <c r="K45" s="262">
        <v>21.1</v>
      </c>
      <c r="L45" s="33">
        <f t="shared" ref="L45:L49" si="78">G45/K45</f>
        <v>71.090047393364927</v>
      </c>
      <c r="M45" s="34">
        <f t="shared" si="63"/>
        <v>11.848341232227488</v>
      </c>
      <c r="N45" s="34"/>
      <c r="O45" s="35">
        <f t="shared" ref="O45:O49" si="79">IF(M45=0,0,L45*$O$17)</f>
        <v>567.85693727574494</v>
      </c>
      <c r="P45" s="35">
        <f t="shared" si="64"/>
        <v>0</v>
      </c>
      <c r="Q45" s="34">
        <v>2</v>
      </c>
      <c r="R45" s="83">
        <f ca="1">IF(AND(O45&gt;0,Q45&gt;0),SUMIF('Исходные данные'!$C$13:H37,Q45,'Исходные данные'!$C$17:$H$17),IF(O45=0,0,IF(Q45=0,"РОТ")))</f>
        <v>128.66557526609228</v>
      </c>
      <c r="S45" s="34"/>
      <c r="T45" s="33"/>
      <c r="U45" s="130">
        <f ca="1">O45*R45*'Исходные данные'!$C$37%</f>
        <v>0</v>
      </c>
      <c r="V45" s="130">
        <f>P45*T45*'Исходные данные'!$C$38%</f>
        <v>0</v>
      </c>
      <c r="W45" s="130">
        <f t="shared" ca="1" si="65"/>
        <v>0</v>
      </c>
      <c r="X45" s="254">
        <f t="shared" si="66"/>
        <v>0</v>
      </c>
      <c r="Y45" s="130">
        <f t="shared" ca="1" si="67"/>
        <v>7306.3639503425002</v>
      </c>
      <c r="Z45" s="254">
        <f t="shared" si="68"/>
        <v>0</v>
      </c>
      <c r="AA45" s="130">
        <f t="shared" ca="1" si="69"/>
        <v>0</v>
      </c>
      <c r="AB45" s="254">
        <f t="shared" si="70"/>
        <v>0</v>
      </c>
      <c r="AC45" s="260">
        <v>2.5</v>
      </c>
      <c r="AD45" s="130">
        <f t="shared" ca="1" si="71"/>
        <v>200925.00863441877</v>
      </c>
      <c r="AE45" s="130">
        <f t="shared" si="72"/>
        <v>0</v>
      </c>
      <c r="AF45" s="35">
        <f ca="1">AD45*$AF$17</f>
        <v>29766.667945839818</v>
      </c>
      <c r="AG45" s="114"/>
      <c r="AH45" s="35">
        <f ca="1">AD45+AF45</f>
        <v>230691.67658025859</v>
      </c>
      <c r="AI45" s="35"/>
      <c r="AJ45" s="35">
        <f ca="1">AH45*$AJ$17</f>
        <v>70822.344710139383</v>
      </c>
      <c r="AK45" s="114"/>
      <c r="AL45" s="35">
        <f ca="1">AH45+AJ45</f>
        <v>301514.02129039797</v>
      </c>
      <c r="AM45" s="114"/>
      <c r="AN45" s="32">
        <v>0.96</v>
      </c>
      <c r="AO45" s="33">
        <f>'Исходные данные'!$C$53</f>
        <v>0.84</v>
      </c>
      <c r="AP45" s="79">
        <f>(G45*AN45)*AO45/100</f>
        <v>12.095999999999998</v>
      </c>
      <c r="AQ45" s="33" t="s">
        <v>155</v>
      </c>
      <c r="AR45" s="83">
        <f>'Исходные данные'!$G$78</f>
        <v>9559.3714285714286</v>
      </c>
      <c r="AS45" s="36">
        <f>AP45*AR45</f>
        <v>115630.15679999998</v>
      </c>
      <c r="AT45" s="32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>аморт!$G$10</f>
        <v>69.696969696969703</v>
      </c>
      <c r="BJ45" s="36">
        <f t="shared" si="73"/>
        <v>39577.907749521619</v>
      </c>
      <c r="BK45" s="36">
        <f>аморт!$G$25</f>
        <v>12.519247457627118</v>
      </c>
      <c r="BL45" s="36">
        <f t="shared" si="74"/>
        <v>7109.1415182852916</v>
      </c>
      <c r="BM45" s="36"/>
      <c r="BN45" s="38">
        <f>'Исходные данные'!$E$82</f>
        <v>98.911965135359992</v>
      </c>
      <c r="BO45" s="36">
        <f>BN45*BY45</f>
        <v>35861.447075142365</v>
      </c>
      <c r="BP45" s="38">
        <f>'Исходные данные'!$E$87</f>
        <v>16.685392176959997</v>
      </c>
      <c r="BQ45" s="36">
        <f>BP45*BY45</f>
        <v>6049.4431352485299</v>
      </c>
      <c r="BR45" s="38">
        <f>'Исходные данные'!$E$92</f>
        <v>5.7618620467199984</v>
      </c>
      <c r="BS45" s="36">
        <f>BR45*BY45</f>
        <v>2089.0163344743119</v>
      </c>
      <c r="BT45" s="36">
        <f>аморт!$C$25*10%/аморт!$F$25*L45*O17</f>
        <v>7109.1415182852916</v>
      </c>
      <c r="BU45" s="36">
        <f t="shared" ca="1" si="75"/>
        <v>514940.27542135533</v>
      </c>
      <c r="BV45" s="36">
        <f t="shared" ca="1" si="76"/>
        <v>5149.4027542135536</v>
      </c>
      <c r="BW45" s="38">
        <f t="shared" si="77"/>
        <v>5.6785693727574493</v>
      </c>
      <c r="BX45" s="38">
        <f>'Исходные данные'!$B$102</f>
        <v>5.0999999999999996</v>
      </c>
      <c r="BY45" s="255">
        <f>BX45*L45</f>
        <v>362.55924170616112</v>
      </c>
    </row>
    <row r="46" spans="1:77" x14ac:dyDescent="0.2">
      <c r="A46" s="20">
        <f>A45+1</f>
        <v>3</v>
      </c>
      <c r="B46" s="27" t="s">
        <v>80</v>
      </c>
      <c r="C46" s="66">
        <v>1</v>
      </c>
      <c r="D46" s="463" t="s">
        <v>496</v>
      </c>
      <c r="E46" s="464"/>
      <c r="F46" s="28" t="s">
        <v>121</v>
      </c>
      <c r="G46" s="29">
        <f>D12/10</f>
        <v>1500</v>
      </c>
      <c r="H46" s="172">
        <v>42597</v>
      </c>
      <c r="I46" s="172">
        <v>42603</v>
      </c>
      <c r="J46" s="185">
        <f t="shared" si="62"/>
        <v>6</v>
      </c>
      <c r="K46" s="262">
        <v>100</v>
      </c>
      <c r="L46" s="33">
        <f t="shared" si="78"/>
        <v>15</v>
      </c>
      <c r="M46" s="34">
        <v>1</v>
      </c>
      <c r="N46" s="34"/>
      <c r="O46" s="35">
        <f t="shared" si="79"/>
        <v>119.81781376518218</v>
      </c>
      <c r="P46" s="35">
        <f t="shared" si="64"/>
        <v>0</v>
      </c>
      <c r="Q46" s="34">
        <v>5</v>
      </c>
      <c r="R46" s="83">
        <f ca="1">IF(AND(O46&gt;0,Q46&gt;0),SUMIF('Исходные данные'!$C$13:H38,Q46,'Исходные данные'!$C$21:$H$21),IF(O46=0,0,IF(Q46=0,"РОТ")))</f>
        <v>197.57121135326915</v>
      </c>
      <c r="S46" s="34"/>
      <c r="T46" s="33"/>
      <c r="U46" s="130">
        <f ca="1">O46*R46*'Исходные данные'!$C$37%</f>
        <v>0</v>
      </c>
      <c r="V46" s="130">
        <f>P46*T46*'Исходные данные'!$C$38%</f>
        <v>0</v>
      </c>
      <c r="W46" s="130">
        <f t="shared" ca="1" si="65"/>
        <v>0</v>
      </c>
      <c r="X46" s="254">
        <f t="shared" si="66"/>
        <v>0</v>
      </c>
      <c r="Y46" s="130">
        <f t="shared" ca="1" si="67"/>
        <v>2367.2550607287449</v>
      </c>
      <c r="Z46" s="254">
        <f t="shared" si="68"/>
        <v>0</v>
      </c>
      <c r="AA46" s="130">
        <f t="shared" ca="1" si="69"/>
        <v>0</v>
      </c>
      <c r="AB46" s="254">
        <f t="shared" si="70"/>
        <v>0</v>
      </c>
      <c r="AC46" s="260">
        <v>2.5</v>
      </c>
      <c r="AD46" s="130">
        <f t="shared" ca="1" si="71"/>
        <v>65099.514170040486</v>
      </c>
      <c r="AE46" s="130">
        <f t="shared" si="72"/>
        <v>0</v>
      </c>
      <c r="AF46" s="35">
        <f ca="1">AD46*$AF$17</f>
        <v>9644.3724696356276</v>
      </c>
      <c r="AG46" s="114"/>
      <c r="AH46" s="35">
        <f ca="1">AD46+AF46</f>
        <v>74743.886639676115</v>
      </c>
      <c r="AI46" s="35"/>
      <c r="AJ46" s="35">
        <f ca="1">AH46*$AJ$17</f>
        <v>22946.373198380566</v>
      </c>
      <c r="AK46" s="114"/>
      <c r="AL46" s="35">
        <f ca="1">AH46+AJ46</f>
        <v>97690.259838056678</v>
      </c>
      <c r="AM46" s="114"/>
      <c r="AN46" s="171">
        <v>10</v>
      </c>
      <c r="AO46" s="33">
        <f>'Исходные данные'!$C$53</f>
        <v>0.84</v>
      </c>
      <c r="AP46" s="79">
        <f>(G46*AN46)*AO46/100</f>
        <v>126</v>
      </c>
      <c r="AQ46" s="33" t="s">
        <v>155</v>
      </c>
      <c r="AR46" s="83">
        <f>'Исходные данные'!$B$78</f>
        <v>9647.4914285714294</v>
      </c>
      <c r="AS46" s="36">
        <f>AP46*AR46</f>
        <v>1215583.9200000002</v>
      </c>
      <c r="AT46" s="32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>
        <f>аморт!$G$7</f>
        <v>57.877753750000004</v>
      </c>
      <c r="BJ46" s="36">
        <f t="shared" si="73"/>
        <v>6934.7859199645754</v>
      </c>
      <c r="BK46" s="36">
        <v>0</v>
      </c>
      <c r="BL46" s="36">
        <f>BK46*L46</f>
        <v>0</v>
      </c>
      <c r="BM46" s="183"/>
      <c r="BN46" s="38">
        <f>'Исходные данные'!$D$82</f>
        <v>134.08333137888002</v>
      </c>
      <c r="BO46" s="36">
        <f>BN46*BY46</f>
        <v>14480.999788919042</v>
      </c>
      <c r="BP46" s="38">
        <f>'Исходные данные'!$D$87</f>
        <v>15.00484908</v>
      </c>
      <c r="BQ46" s="36">
        <f>BP46*BY46</f>
        <v>1620.52370064</v>
      </c>
      <c r="BR46" s="36"/>
      <c r="BS46" s="36">
        <f>BR46*BY46</f>
        <v>0</v>
      </c>
      <c r="BT46" s="36"/>
      <c r="BU46" s="36">
        <f t="shared" ca="1" si="75"/>
        <v>1336310.4892475805</v>
      </c>
      <c r="BV46" s="36">
        <f t="shared" ca="1" si="76"/>
        <v>13363.104892475805</v>
      </c>
      <c r="BW46" s="38">
        <f t="shared" si="77"/>
        <v>1.1981781376518219</v>
      </c>
      <c r="BX46" s="38">
        <f>'Исходные данные'!$B$98</f>
        <v>7.2</v>
      </c>
      <c r="BY46" s="255">
        <f>BX46*L46</f>
        <v>108</v>
      </c>
    </row>
    <row r="47" spans="1:77" ht="33.75" x14ac:dyDescent="0.2">
      <c r="A47" s="20">
        <f>A46+1</f>
        <v>4</v>
      </c>
      <c r="B47" s="27" t="s">
        <v>81</v>
      </c>
      <c r="C47" s="66"/>
      <c r="D47" s="463" t="s">
        <v>120</v>
      </c>
      <c r="E47" s="464"/>
      <c r="F47" s="28" t="s">
        <v>121</v>
      </c>
      <c r="G47" s="38">
        <f>BC47</f>
        <v>30</v>
      </c>
      <c r="H47" s="173">
        <v>42597</v>
      </c>
      <c r="I47" s="172">
        <v>42603</v>
      </c>
      <c r="J47" s="185">
        <f t="shared" si="62"/>
        <v>6</v>
      </c>
      <c r="K47" s="262">
        <v>2</v>
      </c>
      <c r="L47" s="33">
        <f t="shared" si="78"/>
        <v>15</v>
      </c>
      <c r="M47" s="34"/>
      <c r="N47" s="34">
        <f t="shared" ref="N47:N49" si="80">L47/J47</f>
        <v>2.5</v>
      </c>
      <c r="O47" s="35">
        <f t="shared" si="79"/>
        <v>0</v>
      </c>
      <c r="P47" s="35">
        <f t="shared" si="64"/>
        <v>119.81781376518218</v>
      </c>
      <c r="Q47" s="34"/>
      <c r="R47" s="33"/>
      <c r="S47" s="34">
        <v>2</v>
      </c>
      <c r="T47" s="83">
        <f ca="1">IF(AND(N47&gt;0,P47&gt;0),SUMIF('Исходные данные'!$C$13:$J$29,S47,'Исходные данные'!$C$33:$J$39),IF(N47=0,0,IF(S47=0,"РОТ")))</f>
        <v>105.700598073999</v>
      </c>
      <c r="U47" s="130">
        <f>O47*R47*'Исходные данные'!$C$37%</f>
        <v>0</v>
      </c>
      <c r="V47" s="130">
        <f ca="1">P47*T47*'Исходные данные'!$C$38%</f>
        <v>0</v>
      </c>
      <c r="W47" s="130">
        <f t="shared" si="65"/>
        <v>0</v>
      </c>
      <c r="X47" s="254">
        <f t="shared" ca="1" si="66"/>
        <v>0</v>
      </c>
      <c r="Y47" s="130">
        <f t="shared" si="67"/>
        <v>0</v>
      </c>
      <c r="Z47" s="254">
        <f t="shared" ca="1" si="68"/>
        <v>633.24072874493936</v>
      </c>
      <c r="AA47" s="130">
        <f t="shared" si="69"/>
        <v>0</v>
      </c>
      <c r="AB47" s="254">
        <f t="shared" ca="1" si="70"/>
        <v>0</v>
      </c>
      <c r="AC47" s="260">
        <v>2.5</v>
      </c>
      <c r="AD47" s="130">
        <f t="shared" si="71"/>
        <v>0</v>
      </c>
      <c r="AE47" s="130">
        <f t="shared" ca="1" si="72"/>
        <v>33245.138259109313</v>
      </c>
      <c r="AF47" s="35"/>
      <c r="AG47" s="114">
        <f ca="1">AE47*$AF$17</f>
        <v>4925.2056680161941</v>
      </c>
      <c r="AH47" s="35"/>
      <c r="AI47" s="35">
        <f ca="1">AE47+AG47</f>
        <v>38170.343927125505</v>
      </c>
      <c r="AJ47" s="35"/>
      <c r="AK47" s="114">
        <f ca="1">AI47*$AJ$17</f>
        <v>11718.295585627529</v>
      </c>
      <c r="AL47" s="35"/>
      <c r="AM47" s="114">
        <f ca="1">AK47+AI47</f>
        <v>49888.639512753034</v>
      </c>
      <c r="AN47" s="33"/>
      <c r="AO47" s="32"/>
      <c r="AP47" s="36"/>
      <c r="AQ47" s="37"/>
      <c r="AR47" s="37"/>
      <c r="AS47" s="36"/>
      <c r="AT47" s="32"/>
      <c r="AU47" s="36"/>
      <c r="AV47" s="36"/>
      <c r="AW47" s="36"/>
      <c r="AX47" s="36"/>
      <c r="AY47" s="36"/>
      <c r="AZ47" s="36"/>
      <c r="BA47" s="36"/>
      <c r="BB47" s="36">
        <f>Нормы!C18</f>
        <v>2</v>
      </c>
      <c r="BC47" s="38">
        <f>BB47*D12/1000</f>
        <v>30</v>
      </c>
      <c r="BD47" s="113">
        <f>Нормы!D18/1000</f>
        <v>12.5</v>
      </c>
      <c r="BE47" s="36">
        <f>BC47*BD47*1000</f>
        <v>375000</v>
      </c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>
        <f t="shared" ca="1" si="75"/>
        <v>424888.63951275306</v>
      </c>
      <c r="BV47" s="36">
        <f t="shared" ca="1" si="76"/>
        <v>4248.8863951275307</v>
      </c>
      <c r="BW47" s="38">
        <f t="shared" si="77"/>
        <v>1.1981781376518219</v>
      </c>
      <c r="BX47" s="38"/>
      <c r="BY47" s="39"/>
    </row>
    <row r="48" spans="1:77" ht="22.5" x14ac:dyDescent="0.2">
      <c r="A48" s="20">
        <v>5</v>
      </c>
      <c r="B48" s="27" t="s">
        <v>82</v>
      </c>
      <c r="C48" s="66"/>
      <c r="D48" s="463" t="s">
        <v>120</v>
      </c>
      <c r="E48" s="464"/>
      <c r="F48" s="28" t="s">
        <v>125</v>
      </c>
      <c r="G48" s="66">
        <f>D10*D9*2</f>
        <v>400</v>
      </c>
      <c r="H48" s="173">
        <v>42597</v>
      </c>
      <c r="I48" s="172">
        <v>42603</v>
      </c>
      <c r="J48" s="185">
        <f t="shared" si="62"/>
        <v>6</v>
      </c>
      <c r="K48" s="262">
        <v>4</v>
      </c>
      <c r="L48" s="33">
        <f t="shared" si="78"/>
        <v>100</v>
      </c>
      <c r="M48" s="34"/>
      <c r="N48" s="34">
        <f t="shared" si="80"/>
        <v>16.666666666666668</v>
      </c>
      <c r="O48" s="35">
        <f t="shared" si="79"/>
        <v>0</v>
      </c>
      <c r="P48" s="35">
        <f t="shared" si="64"/>
        <v>798.78542510121463</v>
      </c>
      <c r="Q48" s="34"/>
      <c r="R48" s="33"/>
      <c r="S48" s="34">
        <v>2</v>
      </c>
      <c r="T48" s="83">
        <f ca="1">IF(AND(N48&gt;0,P48&gt;0),SUMIF('Исходные данные'!$C$13:$J$29,S48,'Исходные данные'!$C$33:$J$39),IF(N48=0,0,IF(S48=0,"РОТ")))</f>
        <v>105.700598073999</v>
      </c>
      <c r="U48" s="130">
        <f>O48*R48*'Исходные данные'!$C$37%</f>
        <v>0</v>
      </c>
      <c r="V48" s="130">
        <f ca="1">P48*T48*'Исходные данные'!$C$38%</f>
        <v>0</v>
      </c>
      <c r="W48" s="130">
        <f t="shared" si="65"/>
        <v>0</v>
      </c>
      <c r="X48" s="254">
        <f t="shared" ca="1" si="66"/>
        <v>0</v>
      </c>
      <c r="Y48" s="130">
        <f t="shared" si="67"/>
        <v>0</v>
      </c>
      <c r="Z48" s="254">
        <f t="shared" ca="1" si="68"/>
        <v>4221.6048582995963</v>
      </c>
      <c r="AA48" s="130">
        <f t="shared" si="69"/>
        <v>0</v>
      </c>
      <c r="AB48" s="254">
        <f t="shared" ca="1" si="70"/>
        <v>0</v>
      </c>
      <c r="AC48" s="260">
        <v>2.5</v>
      </c>
      <c r="AD48" s="130">
        <f t="shared" si="71"/>
        <v>0</v>
      </c>
      <c r="AE48" s="130">
        <f t="shared" ca="1" si="72"/>
        <v>221634.25506072878</v>
      </c>
      <c r="AF48" s="35"/>
      <c r="AG48" s="114">
        <f ca="1">AE48*$AF$17</f>
        <v>32834.7044534413</v>
      </c>
      <c r="AH48" s="35"/>
      <c r="AI48" s="35">
        <f ca="1">AE48+AG48</f>
        <v>254468.95951417007</v>
      </c>
      <c r="AJ48" s="35"/>
      <c r="AK48" s="114">
        <f ca="1">AI48*$AJ$17</f>
        <v>78121.970570850215</v>
      </c>
      <c r="AL48" s="35"/>
      <c r="AM48" s="114">
        <f ca="1">AK48+AI48</f>
        <v>332590.93008502026</v>
      </c>
      <c r="AN48" s="32"/>
      <c r="AO48" s="32"/>
      <c r="AP48" s="36"/>
      <c r="AQ48" s="37"/>
      <c r="AR48" s="37"/>
      <c r="AS48" s="36"/>
      <c r="AT48" s="32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>
        <f>G48*1.13</f>
        <v>451.99999999999994</v>
      </c>
      <c r="BG48" s="38">
        <f>'Исходные данные'!B137</f>
        <v>96</v>
      </c>
      <c r="BH48" s="36">
        <f>BF48*BG48</f>
        <v>43391.999999999993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>
        <f t="shared" ca="1" si="75"/>
        <v>375982.93008502026</v>
      </c>
      <c r="BV48" s="36">
        <f t="shared" ca="1" si="76"/>
        <v>3759.8293008502023</v>
      </c>
      <c r="BW48" s="38">
        <f t="shared" si="77"/>
        <v>7.9878542510121466</v>
      </c>
      <c r="BX48" s="38"/>
      <c r="BY48" s="39"/>
    </row>
    <row r="49" spans="1:77" ht="22.5" x14ac:dyDescent="0.2">
      <c r="A49" s="20">
        <v>6</v>
      </c>
      <c r="B49" s="27" t="s">
        <v>83</v>
      </c>
      <c r="C49" s="66"/>
      <c r="D49" s="463" t="s">
        <v>120</v>
      </c>
      <c r="E49" s="464"/>
      <c r="F49" s="28" t="s">
        <v>125</v>
      </c>
      <c r="G49" s="66">
        <f>G48</f>
        <v>400</v>
      </c>
      <c r="H49" s="173">
        <v>42597</v>
      </c>
      <c r="I49" s="172">
        <v>42603</v>
      </c>
      <c r="J49" s="185">
        <f t="shared" si="62"/>
        <v>6</v>
      </c>
      <c r="K49" s="262">
        <v>200</v>
      </c>
      <c r="L49" s="33">
        <f t="shared" si="78"/>
        <v>2</v>
      </c>
      <c r="M49" s="34"/>
      <c r="N49" s="34">
        <f t="shared" si="80"/>
        <v>0.33333333333333331</v>
      </c>
      <c r="O49" s="35">
        <f t="shared" si="79"/>
        <v>0</v>
      </c>
      <c r="P49" s="35">
        <f t="shared" si="64"/>
        <v>15.975708502024291</v>
      </c>
      <c r="Q49" s="34"/>
      <c r="R49" s="33"/>
      <c r="S49" s="34">
        <v>2</v>
      </c>
      <c r="T49" s="83">
        <f ca="1">IF(AND(N49&gt;0,P49&gt;0),SUMIF('Исходные данные'!$C$13:$J$29,S49,'Исходные данные'!$C$33:$J$39),IF(N49=0,0,IF(S49=0,"РОТ")))</f>
        <v>105.700598073999</v>
      </c>
      <c r="U49" s="130">
        <f>O49*R49*'Исходные данные'!$C$37%</f>
        <v>0</v>
      </c>
      <c r="V49" s="130">
        <f ca="1">P49*T49*'Исходные данные'!$C$38%</f>
        <v>0</v>
      </c>
      <c r="W49" s="130">
        <f t="shared" si="65"/>
        <v>0</v>
      </c>
      <c r="X49" s="254">
        <f t="shared" ca="1" si="66"/>
        <v>0</v>
      </c>
      <c r="Y49" s="130">
        <f t="shared" si="67"/>
        <v>0</v>
      </c>
      <c r="Z49" s="254">
        <f t="shared" ca="1" si="68"/>
        <v>84.432097165991919</v>
      </c>
      <c r="AA49" s="130">
        <f t="shared" si="69"/>
        <v>0</v>
      </c>
      <c r="AB49" s="254">
        <f t="shared" ca="1" si="70"/>
        <v>0</v>
      </c>
      <c r="AC49" s="260">
        <v>2.5</v>
      </c>
      <c r="AD49" s="130">
        <f t="shared" si="71"/>
        <v>0</v>
      </c>
      <c r="AE49" s="130">
        <f t="shared" ca="1" si="72"/>
        <v>4432.6851012145753</v>
      </c>
      <c r="AF49" s="35"/>
      <c r="AG49" s="114">
        <f ca="1">AE49*$AF$17</f>
        <v>656.69408906882597</v>
      </c>
      <c r="AH49" s="35"/>
      <c r="AI49" s="35">
        <f ca="1">AE49+AG49</f>
        <v>5089.3791902834009</v>
      </c>
      <c r="AJ49" s="35"/>
      <c r="AK49" s="114">
        <f ca="1">AI49*$AJ$17</f>
        <v>1562.4394114170041</v>
      </c>
      <c r="AL49" s="35"/>
      <c r="AM49" s="114">
        <f ca="1">AK49+AI49</f>
        <v>6651.8186017004045</v>
      </c>
      <c r="AN49" s="32"/>
      <c r="AO49" s="32"/>
      <c r="AP49" s="36"/>
      <c r="AQ49" s="37"/>
      <c r="AR49" s="37"/>
      <c r="AS49" s="36"/>
      <c r="AT49" s="32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>
        <f t="shared" ca="1" si="75"/>
        <v>6651.8186017004045</v>
      </c>
      <c r="BV49" s="36">
        <f t="shared" ca="1" si="76"/>
        <v>66.518186017004041</v>
      </c>
      <c r="BW49" s="38">
        <f t="shared" si="77"/>
        <v>0.15975708502024291</v>
      </c>
      <c r="BX49" s="38"/>
      <c r="BY49" s="39"/>
    </row>
    <row r="50" spans="1:77" s="54" customFormat="1" x14ac:dyDescent="0.2">
      <c r="A50" s="52"/>
      <c r="B50" s="53" t="s">
        <v>22</v>
      </c>
      <c r="C50" s="56"/>
      <c r="D50" s="56"/>
      <c r="E50" s="56"/>
      <c r="F50" s="55"/>
      <c r="G50" s="56"/>
      <c r="H50" s="56"/>
      <c r="I50" s="56"/>
      <c r="J50" s="57">
        <f>SUM(J44:J49)</f>
        <v>36</v>
      </c>
      <c r="K50" s="57"/>
      <c r="L50" s="57">
        <f t="shared" ref="L50:BQ50" si="81">SUM(L44:L49)</f>
        <v>213.50671406003158</v>
      </c>
      <c r="M50" s="57">
        <f t="shared" si="81"/>
        <v>14.584452343338599</v>
      </c>
      <c r="N50" s="57">
        <f t="shared" si="81"/>
        <v>19.5</v>
      </c>
      <c r="O50" s="57">
        <f t="shared" si="81"/>
        <v>770.88156615563696</v>
      </c>
      <c r="P50" s="57">
        <f t="shared" si="81"/>
        <v>934.57894736842115</v>
      </c>
      <c r="Q50" s="57"/>
      <c r="R50" s="57"/>
      <c r="S50" s="57"/>
      <c r="T50" s="57"/>
      <c r="U50" s="57">
        <f t="shared" ca="1" si="81"/>
        <v>0</v>
      </c>
      <c r="V50" s="57">
        <f t="shared" ca="1" si="81"/>
        <v>0</v>
      </c>
      <c r="W50" s="57">
        <f t="shared" ca="1" si="81"/>
        <v>0</v>
      </c>
      <c r="X50" s="57">
        <f t="shared" ca="1" si="81"/>
        <v>0</v>
      </c>
      <c r="Y50" s="57">
        <f t="shared" ca="1" si="81"/>
        <v>11169.592695281772</v>
      </c>
      <c r="Z50" s="57">
        <f t="shared" ca="1" si="81"/>
        <v>4939.2776842105277</v>
      </c>
      <c r="AA50" s="57">
        <f t="shared" ca="1" si="81"/>
        <v>0</v>
      </c>
      <c r="AB50" s="57">
        <f t="shared" ca="1" si="81"/>
        <v>0</v>
      </c>
      <c r="AC50" s="57"/>
      <c r="AD50" s="57">
        <f t="shared" ca="1" si="81"/>
        <v>307163.79912024876</v>
      </c>
      <c r="AE50" s="57">
        <f t="shared" ca="1" si="81"/>
        <v>259312.07842105266</v>
      </c>
      <c r="AF50" s="57">
        <f t="shared" ca="1" si="81"/>
        <v>45505.748017814629</v>
      </c>
      <c r="AG50" s="57">
        <f t="shared" ca="1" si="81"/>
        <v>38416.604210526319</v>
      </c>
      <c r="AH50" s="57">
        <f t="shared" ca="1" si="81"/>
        <v>352669.54713806335</v>
      </c>
      <c r="AI50" s="57">
        <f t="shared" ca="1" si="81"/>
        <v>297728.68263157899</v>
      </c>
      <c r="AJ50" s="57">
        <f t="shared" ca="1" si="81"/>
        <v>108269.55097138544</v>
      </c>
      <c r="AK50" s="57">
        <f t="shared" ca="1" si="81"/>
        <v>91402.705567894736</v>
      </c>
      <c r="AL50" s="57">
        <f t="shared" ca="1" si="81"/>
        <v>460939.09810944885</v>
      </c>
      <c r="AM50" s="57">
        <f t="shared" ca="1" si="81"/>
        <v>389131.38819947373</v>
      </c>
      <c r="AN50" s="57"/>
      <c r="AO50" s="57"/>
      <c r="AP50" s="57">
        <f t="shared" si="81"/>
        <v>143.136</v>
      </c>
      <c r="AQ50" s="57"/>
      <c r="AR50" s="57"/>
      <c r="AS50" s="57">
        <f t="shared" si="81"/>
        <v>1379393.3088000002</v>
      </c>
      <c r="AT50" s="57"/>
      <c r="AU50" s="57">
        <f t="shared" si="81"/>
        <v>0</v>
      </c>
      <c r="AV50" s="57"/>
      <c r="AW50" s="57">
        <f t="shared" si="81"/>
        <v>0</v>
      </c>
      <c r="AX50" s="57"/>
      <c r="AY50" s="57">
        <f t="shared" si="81"/>
        <v>0</v>
      </c>
      <c r="AZ50" s="57"/>
      <c r="BA50" s="57">
        <f t="shared" si="81"/>
        <v>0</v>
      </c>
      <c r="BB50" s="57"/>
      <c r="BC50" s="57">
        <f t="shared" si="81"/>
        <v>30</v>
      </c>
      <c r="BD50" s="57"/>
      <c r="BE50" s="57">
        <f t="shared" si="81"/>
        <v>375000</v>
      </c>
      <c r="BF50" s="57">
        <f>SUM(BF44:BF49)</f>
        <v>451.99999999999994</v>
      </c>
      <c r="BG50" s="57"/>
      <c r="BH50" s="57">
        <f>SUM(BH44:BH49)</f>
        <v>43391.999999999993</v>
      </c>
      <c r="BI50" s="57"/>
      <c r="BJ50" s="57">
        <f t="shared" si="81"/>
        <v>52311.956541117484</v>
      </c>
      <c r="BK50" s="57"/>
      <c r="BL50" s="57">
        <f t="shared" si="81"/>
        <v>35706.58425707672</v>
      </c>
      <c r="BM50" s="57">
        <f t="shared" si="81"/>
        <v>0</v>
      </c>
      <c r="BN50" s="57"/>
      <c r="BO50" s="57">
        <f t="shared" si="81"/>
        <v>55597.145011877408</v>
      </c>
      <c r="BP50" s="57"/>
      <c r="BQ50" s="57">
        <f t="shared" si="81"/>
        <v>8556.378295289529</v>
      </c>
      <c r="BR50" s="57"/>
      <c r="BS50" s="57">
        <f t="shared" ref="BS50:BY50" si="82">SUM(BS44:BS49)</f>
        <v>2395.1152557063119</v>
      </c>
      <c r="BT50" s="57">
        <f t="shared" si="82"/>
        <v>29987.095709318437</v>
      </c>
      <c r="BU50" s="57">
        <f t="shared" ca="1" si="82"/>
        <v>2832410.0701793088</v>
      </c>
      <c r="BV50" s="57"/>
      <c r="BW50" s="57"/>
      <c r="BX50" s="57"/>
      <c r="BY50" s="57">
        <f t="shared" si="82"/>
        <v>523.68424170616117</v>
      </c>
    </row>
    <row r="51" spans="1:77" s="51" customFormat="1" x14ac:dyDescent="0.2">
      <c r="A51" s="48"/>
      <c r="B51" s="58" t="s">
        <v>30</v>
      </c>
      <c r="C51" s="50"/>
      <c r="D51" s="50"/>
      <c r="E51" s="50"/>
      <c r="F51" s="49"/>
      <c r="G51" s="50"/>
      <c r="H51" s="50"/>
      <c r="I51" s="50"/>
      <c r="J51" s="253">
        <f>J34+J42+J50</f>
        <v>113</v>
      </c>
      <c r="K51" s="253"/>
      <c r="L51" s="253">
        <f>L34+L42+L50</f>
        <v>425.98887836719587</v>
      </c>
      <c r="M51" s="253">
        <f>M34+M42+M50</f>
        <v>46.868668702554956</v>
      </c>
      <c r="N51" s="253">
        <f>N34+N42+N50</f>
        <v>36.229014729014729</v>
      </c>
      <c r="O51" s="253">
        <f>O34+O42+O50</f>
        <v>2300.3412236587155</v>
      </c>
      <c r="P51" s="253">
        <f>P34+P42+P50</f>
        <v>1736.352535878852</v>
      </c>
      <c r="Q51" s="253"/>
      <c r="R51" s="253"/>
      <c r="S51" s="253"/>
      <c r="T51" s="253"/>
      <c r="U51" s="253">
        <f t="shared" ref="U51:AM51" ca="1" si="83">U34+U42+U50</f>
        <v>0</v>
      </c>
      <c r="V51" s="253">
        <f t="shared" ca="1" si="83"/>
        <v>0</v>
      </c>
      <c r="W51" s="253">
        <f t="shared" ca="1" si="83"/>
        <v>0</v>
      </c>
      <c r="X51" s="253">
        <f t="shared" ca="1" si="83"/>
        <v>0</v>
      </c>
      <c r="Y51" s="253">
        <f t="shared" ca="1" si="83"/>
        <v>44432.824947663248</v>
      </c>
      <c r="Z51" s="253">
        <f t="shared" ca="1" si="83"/>
        <v>10296.575950666689</v>
      </c>
      <c r="AA51" s="253">
        <f t="shared" ca="1" si="83"/>
        <v>0</v>
      </c>
      <c r="AB51" s="253">
        <f t="shared" ca="1" si="83"/>
        <v>0</v>
      </c>
      <c r="AC51" s="253"/>
      <c r="AD51" s="253">
        <f t="shared" ca="1" si="83"/>
        <v>1221902.6860607397</v>
      </c>
      <c r="AE51" s="253">
        <f t="shared" ca="1" si="83"/>
        <v>540570.23741000111</v>
      </c>
      <c r="AF51" s="253">
        <f t="shared" ca="1" si="83"/>
        <v>181022.62015714656</v>
      </c>
      <c r="AG51" s="253">
        <f t="shared" ca="1" si="83"/>
        <v>80084.479616296463</v>
      </c>
      <c r="AH51" s="253">
        <f t="shared" ca="1" si="83"/>
        <v>1402925.306217886</v>
      </c>
      <c r="AI51" s="253">
        <f ca="1">AI34+AI42+AI50</f>
        <v>620654.71702629759</v>
      </c>
      <c r="AJ51" s="253">
        <f t="shared" ca="1" si="83"/>
        <v>430698.06900889101</v>
      </c>
      <c r="AK51" s="253">
        <f t="shared" ca="1" si="83"/>
        <v>190540.99812707334</v>
      </c>
      <c r="AL51" s="253">
        <f t="shared" ca="1" si="83"/>
        <v>1833623.375226777</v>
      </c>
      <c r="AM51" s="253">
        <f t="shared" ca="1" si="83"/>
        <v>811195.71515337098</v>
      </c>
      <c r="AN51" s="253"/>
      <c r="AO51" s="253"/>
      <c r="AP51" s="253">
        <f>AP34+AP42+AP50</f>
        <v>328.66991999999993</v>
      </c>
      <c r="AQ51" s="253"/>
      <c r="AR51" s="253"/>
      <c r="AS51" s="253">
        <f>AS34+AS42+AS50</f>
        <v>3156005.0880363486</v>
      </c>
      <c r="AT51" s="253"/>
      <c r="AU51" s="253">
        <f>AU34+AU42+AU50</f>
        <v>15</v>
      </c>
      <c r="AV51" s="253"/>
      <c r="AW51" s="253">
        <f>AW34+AW42+AW50</f>
        <v>420000</v>
      </c>
      <c r="AX51" s="253"/>
      <c r="AY51" s="253">
        <f>AY34+AY42+AY50</f>
        <v>15</v>
      </c>
      <c r="AZ51" s="253"/>
      <c r="BA51" s="253">
        <f>BA34+BA42+BA50</f>
        <v>505500.00000000006</v>
      </c>
      <c r="BB51" s="253"/>
      <c r="BC51" s="253">
        <f>BC34+BC42+BC50</f>
        <v>30</v>
      </c>
      <c r="BD51" s="253"/>
      <c r="BE51" s="253">
        <f>BE34+BE42+BE50</f>
        <v>375000</v>
      </c>
      <c r="BF51" s="253">
        <f>BF34+BF42+BF50</f>
        <v>451.99999999999994</v>
      </c>
      <c r="BG51" s="253"/>
      <c r="BH51" s="253">
        <f>BH34+BH42+BH50</f>
        <v>43391.999999999993</v>
      </c>
      <c r="BI51" s="253"/>
      <c r="BJ51" s="253">
        <f>BJ34+BJ42+BJ50</f>
        <v>124514.08497786321</v>
      </c>
      <c r="BK51" s="253"/>
      <c r="BL51" s="253">
        <f>BL34+BL42+BL50</f>
        <v>98825.045652017143</v>
      </c>
      <c r="BM51" s="253">
        <f>BM34+BM42+BM50</f>
        <v>0</v>
      </c>
      <c r="BN51" s="253"/>
      <c r="BO51" s="253">
        <f>BO34+BO42+BO50</f>
        <v>188852.10775171689</v>
      </c>
      <c r="BP51" s="253"/>
      <c r="BQ51" s="253">
        <f>BQ34+BQ42+BQ50</f>
        <v>22564.710970353586</v>
      </c>
      <c r="BR51" s="253"/>
      <c r="BS51" s="253">
        <f>BS34+BS42+BS50</f>
        <v>13958.743845498591</v>
      </c>
      <c r="BT51" s="253">
        <f>BT34+BT42+BT50</f>
        <v>80861.047193790626</v>
      </c>
      <c r="BU51" s="253">
        <f ca="1">BU34+BU42+BU50</f>
        <v>7674291.9188077375</v>
      </c>
      <c r="BV51" s="253"/>
      <c r="BW51" s="253"/>
      <c r="BX51" s="253"/>
      <c r="BY51" s="253">
        <f>BY34+BY42+BY50</f>
        <v>1843.5852305521501</v>
      </c>
    </row>
    <row r="52" spans="1:77" x14ac:dyDescent="0.2">
      <c r="F52" s="13"/>
      <c r="K52" s="18"/>
      <c r="Q52" s="13"/>
      <c r="AJ52" s="16"/>
      <c r="AK52" s="43"/>
      <c r="AL52" s="43"/>
      <c r="AM52" s="16"/>
      <c r="AO52" s="16"/>
      <c r="AQ52" s="16"/>
      <c r="AR52" s="16"/>
      <c r="AT52" s="16"/>
      <c r="BR52" s="17"/>
      <c r="BS52" s="13"/>
      <c r="BT52" s="13"/>
      <c r="BU52" s="13"/>
      <c r="BV52" s="13"/>
      <c r="BW52" s="13"/>
      <c r="BX52" s="13"/>
    </row>
    <row r="53" spans="1:77" x14ac:dyDescent="0.2">
      <c r="F53" s="13"/>
      <c r="K53" s="18"/>
      <c r="Q53" s="13"/>
      <c r="AJ53" s="16"/>
      <c r="AK53" s="43"/>
      <c r="AL53" s="43"/>
      <c r="AM53" s="16"/>
      <c r="AO53" s="16"/>
      <c r="AQ53" s="16"/>
      <c r="AR53" s="16"/>
      <c r="AT53" s="16"/>
      <c r="BR53" s="17"/>
      <c r="BS53" s="13"/>
      <c r="BT53" s="13"/>
      <c r="BU53" s="13"/>
      <c r="BV53" s="13"/>
      <c r="BW53" s="13"/>
      <c r="BX53" s="13"/>
    </row>
    <row r="54" spans="1:77" x14ac:dyDescent="0.2">
      <c r="F54" s="13"/>
      <c r="K54" s="18"/>
      <c r="Q54" s="13"/>
      <c r="AJ54" s="16"/>
      <c r="AK54" s="43"/>
      <c r="AL54" s="43"/>
      <c r="AM54" s="16"/>
      <c r="AO54" s="16"/>
      <c r="AQ54" s="16"/>
      <c r="AR54" s="16"/>
      <c r="AT54" s="16"/>
      <c r="BR54" s="17"/>
      <c r="BS54" s="13"/>
      <c r="BT54" s="13"/>
      <c r="BU54" s="13"/>
      <c r="BV54" s="13"/>
      <c r="BW54" s="13"/>
      <c r="BX54" s="13"/>
    </row>
    <row r="55" spans="1:77" x14ac:dyDescent="0.2">
      <c r="F55" s="13"/>
      <c r="K55" s="18"/>
      <c r="Q55" s="13"/>
      <c r="AJ55" s="16"/>
      <c r="AK55" s="43"/>
      <c r="AL55" s="43"/>
      <c r="AM55" s="16"/>
      <c r="AO55" s="16"/>
      <c r="AQ55" s="16"/>
      <c r="AR55" s="16"/>
      <c r="AT55" s="16"/>
      <c r="BR55" s="17"/>
      <c r="BS55" s="13"/>
      <c r="BT55" s="13"/>
      <c r="BU55" s="13"/>
      <c r="BV55" s="13"/>
      <c r="BW55" s="13"/>
      <c r="BX55" s="13"/>
    </row>
  </sheetData>
  <mergeCells count="128">
    <mergeCell ref="D48:E48"/>
    <mergeCell ref="D49:E49"/>
    <mergeCell ref="B35:E35"/>
    <mergeCell ref="D36:E36"/>
    <mergeCell ref="D38:E38"/>
    <mergeCell ref="D40:E40"/>
    <mergeCell ref="B43:E43"/>
    <mergeCell ref="D46:E46"/>
    <mergeCell ref="B21:E21"/>
    <mergeCell ref="D26:E26"/>
    <mergeCell ref="D28:E28"/>
    <mergeCell ref="D29:E29"/>
    <mergeCell ref="D31:E31"/>
    <mergeCell ref="D47:E47"/>
    <mergeCell ref="B20:E20"/>
    <mergeCell ref="S18:S19"/>
    <mergeCell ref="T18:T19"/>
    <mergeCell ref="W18:W19"/>
    <mergeCell ref="X18:X19"/>
    <mergeCell ref="BK18:BK19"/>
    <mergeCell ref="C18:C19"/>
    <mergeCell ref="D18:D19"/>
    <mergeCell ref="E18:E19"/>
    <mergeCell ref="O18:O19"/>
    <mergeCell ref="P18:P19"/>
    <mergeCell ref="Q18:Q19"/>
    <mergeCell ref="K15:K19"/>
    <mergeCell ref="L15:L19"/>
    <mergeCell ref="M15:N16"/>
    <mergeCell ref="O15:P16"/>
    <mergeCell ref="AR17:AR19"/>
    <mergeCell ref="AS17:AS19"/>
    <mergeCell ref="AT17:AT19"/>
    <mergeCell ref="AX17:AX19"/>
    <mergeCell ref="AY17:AY19"/>
    <mergeCell ref="AZ17:AZ19"/>
    <mergeCell ref="BA17:BA19"/>
    <mergeCell ref="BB17:BB19"/>
    <mergeCell ref="BC17:BC19"/>
    <mergeCell ref="BL18:BL19"/>
    <mergeCell ref="BN18:BN19"/>
    <mergeCell ref="BO18:BO19"/>
    <mergeCell ref="BX17:BX19"/>
    <mergeCell ref="BY17:BY19"/>
    <mergeCell ref="BR18:BR19"/>
    <mergeCell ref="BS18:BS19"/>
    <mergeCell ref="BD17:BD19"/>
    <mergeCell ref="BE17:BE19"/>
    <mergeCell ref="BF17:BF19"/>
    <mergeCell ref="BG17:BG19"/>
    <mergeCell ref="BH17:BH19"/>
    <mergeCell ref="BI17:BJ17"/>
    <mergeCell ref="BR17:BS17"/>
    <mergeCell ref="BT17:BT19"/>
    <mergeCell ref="BU17:BU19"/>
    <mergeCell ref="BV17:BV19"/>
    <mergeCell ref="BI18:BI19"/>
    <mergeCell ref="BJ18:BJ19"/>
    <mergeCell ref="BP18:BP19"/>
    <mergeCell ref="BQ18:BQ19"/>
    <mergeCell ref="W17:X17"/>
    <mergeCell ref="AA17:AB17"/>
    <mergeCell ref="AC17:AC19"/>
    <mergeCell ref="Z18:Z19"/>
    <mergeCell ref="AA18:AA19"/>
    <mergeCell ref="AB18:AB19"/>
    <mergeCell ref="Y18:Y19"/>
    <mergeCell ref="BF15:BH16"/>
    <mergeCell ref="BI15:BM16"/>
    <mergeCell ref="W15:X16"/>
    <mergeCell ref="Y15:Z16"/>
    <mergeCell ref="AA15:AB16"/>
    <mergeCell ref="AC15:AE16"/>
    <mergeCell ref="AF15:AG16"/>
    <mergeCell ref="AH15:AI16"/>
    <mergeCell ref="AD17:AD19"/>
    <mergeCell ref="AE17:AE19"/>
    <mergeCell ref="AF17:AG17"/>
    <mergeCell ref="AH17:AH19"/>
    <mergeCell ref="AI17:AI19"/>
    <mergeCell ref="AJ17:AK17"/>
    <mergeCell ref="AF18:AF19"/>
    <mergeCell ref="AG18:AG19"/>
    <mergeCell ref="AJ18:AJ19"/>
    <mergeCell ref="BN15:BT16"/>
    <mergeCell ref="BU15:BV16"/>
    <mergeCell ref="BW15:BW19"/>
    <mergeCell ref="BX15:BY16"/>
    <mergeCell ref="BK17:BL17"/>
    <mergeCell ref="BM17:BM19"/>
    <mergeCell ref="BN17:BO17"/>
    <mergeCell ref="BP17:BQ17"/>
    <mergeCell ref="AJ15:AK16"/>
    <mergeCell ref="AL15:AM16"/>
    <mergeCell ref="AN15:AS16"/>
    <mergeCell ref="AT15:AW16"/>
    <mergeCell ref="AX15:BA16"/>
    <mergeCell ref="BB15:BE16"/>
    <mergeCell ref="AK18:AK19"/>
    <mergeCell ref="AU17:AU19"/>
    <mergeCell ref="AV17:AV19"/>
    <mergeCell ref="AW17:AW19"/>
    <mergeCell ref="AL17:AL19"/>
    <mergeCell ref="AM17:AM19"/>
    <mergeCell ref="AN17:AN19"/>
    <mergeCell ref="AO17:AO19"/>
    <mergeCell ref="AP17:AP19"/>
    <mergeCell ref="AQ17:AQ19"/>
    <mergeCell ref="Q15:T16"/>
    <mergeCell ref="U15:V16"/>
    <mergeCell ref="M17:M19"/>
    <mergeCell ref="N17:N19"/>
    <mergeCell ref="O17:P17"/>
    <mergeCell ref="Q17:R17"/>
    <mergeCell ref="S17:T17"/>
    <mergeCell ref="U17:U19"/>
    <mergeCell ref="V17:V19"/>
    <mergeCell ref="R18:R19"/>
    <mergeCell ref="A15:A19"/>
    <mergeCell ref="B15:E16"/>
    <mergeCell ref="F15:F19"/>
    <mergeCell ref="G15:G19"/>
    <mergeCell ref="H15:I16"/>
    <mergeCell ref="J15:J19"/>
    <mergeCell ref="B17:B19"/>
    <mergeCell ref="C17:E17"/>
    <mergeCell ref="H17:H19"/>
    <mergeCell ref="I17:I19"/>
  </mergeCells>
  <conditionalFormatting sqref="AN48:AN49 AR26:AS26 AO26:AP26 AO28:AP29 AR28:AS29 AP27 AS27 AR31:AS31 AO31:AP31 AP30 AS30 AP32:AP33 AS32:AS33 AN35:AS35 T45:T46 AS25 G21:BY21 G50:BY51 R47:R49 G34:G35 G42:G43 K35 R35 O35:P35 K34:BY34 T33 S45:S49 U45:AM49 T25 S25:S33 T35:AE35 U25:AM33 AP22:AP25 Q22:Q33 S22:AM24 AT33:BY33 AP44:AP46 S44:AM44 AO47:BQ49 Q35:Q41 S35:S41 U36:AE41 AF35:AM41 AP36:AP41 AS36:AS41 K42:BY43 Q44:Q49 H22:J49 AS22:BY22 AS23:BI24 AT25:BI32 AS44:BI46 AT35:BY41 L22:N33 L35:N41 L44:N49 BK44:BQ46 BJ23:BY32 BR44:BY49">
    <cfRule type="cellIs" dxfId="76" priority="57" stopIfTrue="1" operator="greaterThan">
      <formula>0</formula>
    </cfRule>
  </conditionalFormatting>
  <conditionalFormatting sqref="AN36:AN41 AN22:AN33 AN44:AN47 K36:K41 K44:K49 K22:K33">
    <cfRule type="cellIs" dxfId="75" priority="56" stopIfTrue="1" operator="greaterThan">
      <formula>0</formula>
    </cfRule>
  </conditionalFormatting>
  <conditionalFormatting sqref="E22:E25 E32:E33 E27 E30 E37:E41 E44:E45">
    <cfRule type="cellIs" dxfId="74" priority="55" stopIfTrue="1" operator="equal">
      <formula>0</formula>
    </cfRule>
  </conditionalFormatting>
  <conditionalFormatting sqref="O22:P33 O44:P49 O36:P41">
    <cfRule type="cellIs" dxfId="73" priority="54" stopIfTrue="1" operator="greaterThan">
      <formula>0</formula>
    </cfRule>
  </conditionalFormatting>
  <conditionalFormatting sqref="E32">
    <cfRule type="cellIs" dxfId="72" priority="53" stopIfTrue="1" operator="equal">
      <formula>0</formula>
    </cfRule>
  </conditionalFormatting>
  <conditionalFormatting sqref="E44">
    <cfRule type="cellIs" dxfId="71" priority="52" stopIfTrue="1" operator="equal">
      <formula>0</formula>
    </cfRule>
  </conditionalFormatting>
  <conditionalFormatting sqref="E44">
    <cfRule type="cellIs" dxfId="70" priority="51" stopIfTrue="1" operator="equal">
      <formula>0</formula>
    </cfRule>
  </conditionalFormatting>
  <conditionalFormatting sqref="E32">
    <cfRule type="cellIs" dxfId="69" priority="50" stopIfTrue="1" operator="equal">
      <formula>0</formula>
    </cfRule>
  </conditionalFormatting>
  <conditionalFormatting sqref="E44">
    <cfRule type="cellIs" dxfId="68" priority="49" stopIfTrue="1" operator="equal">
      <formula>0</formula>
    </cfRule>
  </conditionalFormatting>
  <conditionalFormatting sqref="E44">
    <cfRule type="cellIs" dxfId="67" priority="48" stopIfTrue="1" operator="equal">
      <formula>0</formula>
    </cfRule>
  </conditionalFormatting>
  <conditionalFormatting sqref="E44">
    <cfRule type="cellIs" dxfId="66" priority="47" stopIfTrue="1" operator="equal">
      <formula>0</formula>
    </cfRule>
  </conditionalFormatting>
  <conditionalFormatting sqref="E39">
    <cfRule type="cellIs" dxfId="65" priority="46" stopIfTrue="1" operator="equal">
      <formula>0</formula>
    </cfRule>
  </conditionalFormatting>
  <conditionalFormatting sqref="J36:J41">
    <cfRule type="cellIs" dxfId="64" priority="45" stopIfTrue="1" operator="greaterThan">
      <formula>0</formula>
    </cfRule>
  </conditionalFormatting>
  <conditionalFormatting sqref="L36:L39">
    <cfRule type="cellIs" dxfId="63" priority="44" stopIfTrue="1" operator="greaterThan">
      <formula>0</formula>
    </cfRule>
  </conditionalFormatting>
  <conditionalFormatting sqref="H38:I39">
    <cfRule type="cellIs" dxfId="62" priority="43" stopIfTrue="1" operator="greaterThan">
      <formula>0</formula>
    </cfRule>
  </conditionalFormatting>
  <conditionalFormatting sqref="L40:L41">
    <cfRule type="cellIs" dxfId="61" priority="42" stopIfTrue="1" operator="greaterThan">
      <formula>0</formula>
    </cfRule>
  </conditionalFormatting>
  <conditionalFormatting sqref="E41">
    <cfRule type="cellIs" dxfId="60" priority="41" stopIfTrue="1" operator="equal">
      <formula>0</formula>
    </cfRule>
  </conditionalFormatting>
  <conditionalFormatting sqref="H40:I41">
    <cfRule type="cellIs" dxfId="59" priority="40" stopIfTrue="1" operator="greaterThan">
      <formula>0</formula>
    </cfRule>
  </conditionalFormatting>
  <conditionalFormatting sqref="K36:K41">
    <cfRule type="cellIs" dxfId="58" priority="39" stopIfTrue="1" operator="greaterThan">
      <formula>0</formula>
    </cfRule>
  </conditionalFormatting>
  <conditionalFormatting sqref="H36:I37">
    <cfRule type="cellIs" dxfId="57" priority="38" stopIfTrue="1" operator="greaterThan">
      <formula>0</formula>
    </cfRule>
  </conditionalFormatting>
  <conditionalFormatting sqref="H22:I32">
    <cfRule type="cellIs" dxfId="56" priority="37" stopIfTrue="1" operator="greaterThan">
      <formula>0</formula>
    </cfRule>
  </conditionalFormatting>
  <conditionalFormatting sqref="E25">
    <cfRule type="cellIs" dxfId="55" priority="36" stopIfTrue="1" operator="equal">
      <formula>0</formula>
    </cfRule>
  </conditionalFormatting>
  <conditionalFormatting sqref="K32">
    <cfRule type="cellIs" dxfId="54" priority="35" stopIfTrue="1" operator="greaterThan">
      <formula>0</formula>
    </cfRule>
  </conditionalFormatting>
  <conditionalFormatting sqref="AT32">
    <cfRule type="cellIs" dxfId="53" priority="34" stopIfTrue="1" operator="greaterThan">
      <formula>0</formula>
    </cfRule>
  </conditionalFormatting>
  <conditionalFormatting sqref="K22">
    <cfRule type="cellIs" dxfId="52" priority="33" stopIfTrue="1" operator="greaterThan">
      <formula>0</formula>
    </cfRule>
  </conditionalFormatting>
  <conditionalFormatting sqref="K23:K24">
    <cfRule type="cellIs" dxfId="51" priority="32" stopIfTrue="1" operator="greaterThan">
      <formula>0</formula>
    </cfRule>
  </conditionalFormatting>
  <conditionalFormatting sqref="J22">
    <cfRule type="cellIs" dxfId="50" priority="31" stopIfTrue="1" operator="greaterThan">
      <formula>0</formula>
    </cfRule>
  </conditionalFormatting>
  <conditionalFormatting sqref="J23:J24">
    <cfRule type="cellIs" dxfId="49" priority="30" stopIfTrue="1" operator="greaterThan">
      <formula>0</formula>
    </cfRule>
  </conditionalFormatting>
  <conditionalFormatting sqref="J32">
    <cfRule type="cellIs" dxfId="48" priority="29" stopIfTrue="1" operator="greaterThan">
      <formula>0</formula>
    </cfRule>
  </conditionalFormatting>
  <conditionalFormatting sqref="H44:I49">
    <cfRule type="cellIs" dxfId="47" priority="28" stopIfTrue="1" operator="greaterThan">
      <formula>0</formula>
    </cfRule>
  </conditionalFormatting>
  <conditionalFormatting sqref="K44">
    <cfRule type="cellIs" dxfId="46" priority="27" stopIfTrue="1" operator="greaterThan">
      <formula>0</formula>
    </cfRule>
  </conditionalFormatting>
  <conditionalFormatting sqref="K45">
    <cfRule type="cellIs" dxfId="45" priority="26" stopIfTrue="1" operator="greaterThan">
      <formula>0</formula>
    </cfRule>
  </conditionalFormatting>
  <conditionalFormatting sqref="K46">
    <cfRule type="cellIs" dxfId="44" priority="25" stopIfTrue="1" operator="greaterThan">
      <formula>0</formula>
    </cfRule>
  </conditionalFormatting>
  <conditionalFormatting sqref="J44:J49">
    <cfRule type="cellIs" dxfId="43" priority="24" stopIfTrue="1" operator="greaterThan">
      <formula>0</formula>
    </cfRule>
  </conditionalFormatting>
  <conditionalFormatting sqref="K48:K49">
    <cfRule type="cellIs" dxfId="42" priority="23" stopIfTrue="1" operator="greaterThan">
      <formula>0</formula>
    </cfRule>
  </conditionalFormatting>
  <conditionalFormatting sqref="K23:K31">
    <cfRule type="cellIs" dxfId="41" priority="22" stopIfTrue="1" operator="greaterThan">
      <formula>0</formula>
    </cfRule>
  </conditionalFormatting>
  <conditionalFormatting sqref="J22:J32">
    <cfRule type="cellIs" dxfId="40" priority="21" stopIfTrue="1" operator="greaterThan">
      <formula>0</formula>
    </cfRule>
  </conditionalFormatting>
  <conditionalFormatting sqref="AN36:AN41">
    <cfRule type="cellIs" dxfId="39" priority="20" stopIfTrue="1" operator="greaterThan">
      <formula>0</formula>
    </cfRule>
  </conditionalFormatting>
  <conditionalFormatting sqref="AN22:AN32">
    <cfRule type="cellIs" dxfId="38" priority="19" stopIfTrue="1" operator="greaterThan">
      <formula>0</formula>
    </cfRule>
  </conditionalFormatting>
  <conditionalFormatting sqref="AN44">
    <cfRule type="cellIs" dxfId="37" priority="18" stopIfTrue="1" operator="greaterThan">
      <formula>0</formula>
    </cfRule>
  </conditionalFormatting>
  <conditionalFormatting sqref="AN46">
    <cfRule type="cellIs" dxfId="36" priority="17" stopIfTrue="1" operator="greaterThan">
      <formula>0</formula>
    </cfRule>
  </conditionalFormatting>
  <conditionalFormatting sqref="BD47">
    <cfRule type="cellIs" dxfId="35" priority="16" stopIfTrue="1" operator="greaterThan">
      <formula>0</formula>
    </cfRule>
  </conditionalFormatting>
  <conditionalFormatting sqref="AV32">
    <cfRule type="cellIs" dxfId="34" priority="15" stopIfTrue="1" operator="greaterThan">
      <formula>0</formula>
    </cfRule>
  </conditionalFormatting>
  <conditionalFormatting sqref="K47">
    <cfRule type="cellIs" dxfId="33" priority="14" stopIfTrue="1" operator="greaterThan">
      <formula>0</formula>
    </cfRule>
  </conditionalFormatting>
  <conditionalFormatting sqref="H32:I32">
    <cfRule type="cellIs" dxfId="32" priority="13" stopIfTrue="1" operator="greaterThan">
      <formula>0</formula>
    </cfRule>
  </conditionalFormatting>
  <conditionalFormatting sqref="AT32">
    <cfRule type="cellIs" dxfId="31" priority="12" stopIfTrue="1" operator="greaterThan">
      <formula>0</formula>
    </cfRule>
  </conditionalFormatting>
  <conditionalFormatting sqref="AV32">
    <cfRule type="cellIs" dxfId="30" priority="11" stopIfTrue="1" operator="greaterThan">
      <formula>0</formula>
    </cfRule>
  </conditionalFormatting>
  <conditionalFormatting sqref="E32">
    <cfRule type="cellIs" dxfId="29" priority="10" stopIfTrue="1" operator="equal">
      <formula>0</formula>
    </cfRule>
  </conditionalFormatting>
  <conditionalFormatting sqref="E44">
    <cfRule type="cellIs" dxfId="28" priority="9" stopIfTrue="1" operator="equal">
      <formula>0</formula>
    </cfRule>
  </conditionalFormatting>
  <conditionalFormatting sqref="E45">
    <cfRule type="cellIs" dxfId="27" priority="8" stopIfTrue="1" operator="equal">
      <formula>0</formula>
    </cfRule>
  </conditionalFormatting>
  <conditionalFormatting sqref="AT32">
    <cfRule type="cellIs" dxfId="26" priority="7" stopIfTrue="1" operator="greaterThan">
      <formula>0</formula>
    </cfRule>
  </conditionalFormatting>
  <conditionalFormatting sqref="H22:I32">
    <cfRule type="cellIs" dxfId="25" priority="6" stopIfTrue="1" operator="greaterThan">
      <formula>0</formula>
    </cfRule>
  </conditionalFormatting>
  <conditionalFormatting sqref="K22:K32">
    <cfRule type="cellIs" dxfId="24" priority="5" stopIfTrue="1" operator="greaterThan">
      <formula>0</formula>
    </cfRule>
  </conditionalFormatting>
  <conditionalFormatting sqref="H44:I49">
    <cfRule type="cellIs" dxfId="23" priority="4" stopIfTrue="1" operator="greaterThan">
      <formula>0</formula>
    </cfRule>
  </conditionalFormatting>
  <conditionalFormatting sqref="K45">
    <cfRule type="cellIs" dxfId="22" priority="3" stopIfTrue="1" operator="greaterThan">
      <formula>0</formula>
    </cfRule>
  </conditionalFormatting>
  <conditionalFormatting sqref="K44">
    <cfRule type="cellIs" dxfId="21" priority="2" stopIfTrue="1" operator="greaterThan">
      <formula>0</formula>
    </cfRule>
  </conditionalFormatting>
  <conditionalFormatting sqref="BJ44:BJ46">
    <cfRule type="cellIs" dxfId="20" priority="1" stopIfTrue="1" operator="greaterThan">
      <formula>0</formula>
    </cfRule>
  </conditionalFormatting>
  <dataValidations count="1">
    <dataValidation type="list" allowBlank="1" showInputMessage="1" showErrorMessage="1" sqref="AQ47:AR49">
      <formula1>#REF!</formula1>
    </dataValidation>
  </dataValidations>
  <pageMargins left="0.19685039370078741" right="0.19685039370078741" top="0.39370078740157483" bottom="0.27559055118110237" header="0.19685039370078741" footer="0.15748031496062992"/>
  <pageSetup paperSize="9" scale="40" fitToWidth="2" orientation="landscape" r:id="rId1"/>
  <headerFooter alignWithMargins="0">
    <oddFooter>&amp;LОтдел СЭР села ЯНИИСХ</oddFooter>
  </headerFooter>
  <ignoredErrors>
    <ignoredError sqref="G29 BT42" 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Z49"/>
  <sheetViews>
    <sheetView tabSelected="1" view="pageBreakPreview" zoomScale="80" zoomScaleNormal="100" zoomScaleSheetLayoutView="80" workbookViewId="0">
      <selection activeCell="H4" sqref="H4"/>
    </sheetView>
  </sheetViews>
  <sheetFormatPr defaultColWidth="9.140625"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/>
      <c r="B1" s="46"/>
      <c r="C1" s="46"/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ht="39" customHeight="1" x14ac:dyDescent="0.2">
      <c r="A2" s="530" t="s">
        <v>639</v>
      </c>
      <c r="B2" s="530"/>
      <c r="C2" s="530"/>
      <c r="D2" s="530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tr">
        <f>'силос сп'!B4</f>
        <v>Культура: Зерновые на силос (с поливом)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3"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256">
        <f>'силос сп'!I6</f>
        <v>150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373</v>
      </c>
      <c r="B8" s="257">
        <f>B6*B7</f>
        <v>15000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374</v>
      </c>
      <c r="B9" s="258">
        <f>B8*Нормы!C19</f>
        <v>12750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/>
      <c r="B11" s="86" t="s">
        <v>30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'силос сп'!AL51+'силос сп'!AM51</f>
        <v>2644819.090380148</v>
      </c>
      <c r="C12" s="91">
        <f t="shared" ref="C12:C30" ca="1" si="0">B12/$B$6</f>
        <v>26448.190903801482</v>
      </c>
      <c r="D12" s="110">
        <f t="shared" ref="D12:D29" ca="1" si="1">B12/$B$30%</f>
        <v>31.401812940061998</v>
      </c>
    </row>
    <row r="13" spans="1:78" s="92" customFormat="1" x14ac:dyDescent="0.2">
      <c r="A13" s="93" t="s">
        <v>353</v>
      </c>
      <c r="B13" s="91">
        <f>'силос сп'!AW51</f>
        <v>420000</v>
      </c>
      <c r="C13" s="91">
        <f t="shared" si="0"/>
        <v>4200</v>
      </c>
      <c r="D13" s="110">
        <f t="shared" ca="1" si="1"/>
        <v>4.9866402896125406</v>
      </c>
    </row>
    <row r="14" spans="1:78" s="92" customFormat="1" x14ac:dyDescent="0.2">
      <c r="A14" s="93" t="s">
        <v>354</v>
      </c>
      <c r="B14" s="91">
        <f>'силос сп'!BA51</f>
        <v>505500.00000000006</v>
      </c>
      <c r="C14" s="91">
        <f t="shared" si="0"/>
        <v>5055.0000000000009</v>
      </c>
      <c r="D14" s="110">
        <f t="shared" ca="1" si="1"/>
        <v>6.0017777771408092</v>
      </c>
    </row>
    <row r="15" spans="1:78" s="92" customFormat="1" x14ac:dyDescent="0.2">
      <c r="A15" s="93" t="s">
        <v>355</v>
      </c>
      <c r="B15" s="91">
        <f>B16+B20+B23</f>
        <v>3685580.8284275886</v>
      </c>
      <c r="C15" s="91">
        <f t="shared" si="0"/>
        <v>36855.808284275889</v>
      </c>
      <c r="D15" s="110">
        <f t="shared" ca="1" si="1"/>
        <v>43.758728213477568</v>
      </c>
    </row>
    <row r="16" spans="1:78" x14ac:dyDescent="0.2">
      <c r="A16" s="94" t="s">
        <v>337</v>
      </c>
      <c r="B16" s="95">
        <f>SUM(B17:B19)</f>
        <v>223339.13062988035</v>
      </c>
      <c r="C16" s="95">
        <f t="shared" si="0"/>
        <v>2233.3913062988036</v>
      </c>
      <c r="D16" s="111">
        <f t="shared" ca="1" si="1"/>
        <v>2.6516950167761899</v>
      </c>
    </row>
    <row r="17" spans="1:4" x14ac:dyDescent="0.2">
      <c r="A17" s="107" t="s">
        <v>344</v>
      </c>
      <c r="B17" s="95">
        <f>'силос сп'!BJ51</f>
        <v>124514.08497786321</v>
      </c>
      <c r="C17" s="95">
        <f t="shared" si="0"/>
        <v>1245.1408497786322</v>
      </c>
      <c r="D17" s="111">
        <f t="shared" ca="1" si="1"/>
        <v>1.4783498875591723</v>
      </c>
    </row>
    <row r="18" spans="1:4" x14ac:dyDescent="0.2">
      <c r="A18" s="107" t="s">
        <v>345</v>
      </c>
      <c r="B18" s="95">
        <f>'силос сп'!BL51</f>
        <v>98825.045652017143</v>
      </c>
      <c r="C18" s="95">
        <f t="shared" si="0"/>
        <v>988.25045652017138</v>
      </c>
      <c r="D18" s="111">
        <f t="shared" ca="1" si="1"/>
        <v>1.1733451292170174</v>
      </c>
    </row>
    <row r="19" spans="1:4" x14ac:dyDescent="0.2">
      <c r="A19" s="107" t="s">
        <v>407</v>
      </c>
      <c r="B19" s="95">
        <f>'силос сп'!BM51</f>
        <v>0</v>
      </c>
      <c r="C19" s="95">
        <f t="shared" si="0"/>
        <v>0</v>
      </c>
      <c r="D19" s="111">
        <f t="shared" ca="1" si="1"/>
        <v>0</v>
      </c>
    </row>
    <row r="20" spans="1:4" x14ac:dyDescent="0.2">
      <c r="A20" s="94" t="s">
        <v>338</v>
      </c>
      <c r="B20" s="95">
        <f>SUM(B21:B22)</f>
        <v>306236.60976135969</v>
      </c>
      <c r="C20" s="95">
        <f t="shared" si="0"/>
        <v>3062.366097613597</v>
      </c>
      <c r="D20" s="111">
        <f t="shared" ca="1" si="1"/>
        <v>3.6359328961674984</v>
      </c>
    </row>
    <row r="21" spans="1:4" x14ac:dyDescent="0.2">
      <c r="A21" s="107" t="s">
        <v>344</v>
      </c>
      <c r="B21" s="95">
        <f>'силос сп'!BO51+'силос сп'!BQ51+'силос сп'!BS51</f>
        <v>225375.56256756908</v>
      </c>
      <c r="C21" s="95">
        <f t="shared" si="0"/>
        <v>2253.7556256756907</v>
      </c>
      <c r="D21" s="111">
        <f t="shared" ca="1" si="1"/>
        <v>2.6758734776036479</v>
      </c>
    </row>
    <row r="22" spans="1:4" x14ac:dyDescent="0.2">
      <c r="A22" s="107" t="s">
        <v>345</v>
      </c>
      <c r="B22" s="95">
        <f>'силос сп'!BT51</f>
        <v>80861.047193790626</v>
      </c>
      <c r="C22" s="95">
        <f t="shared" si="0"/>
        <v>808.61047193790625</v>
      </c>
      <c r="D22" s="111">
        <f t="shared" ca="1" si="1"/>
        <v>0.96005941856385102</v>
      </c>
    </row>
    <row r="23" spans="1:4" x14ac:dyDescent="0.2">
      <c r="A23" s="94" t="s">
        <v>336</v>
      </c>
      <c r="B23" s="112">
        <f>'силос сп'!AS51</f>
        <v>3156005.0880363486</v>
      </c>
      <c r="C23" s="95">
        <f t="shared" si="0"/>
        <v>31560.050880363488</v>
      </c>
      <c r="D23" s="111">
        <f t="shared" ca="1" si="1"/>
        <v>37.471100300533884</v>
      </c>
    </row>
    <row r="24" spans="1:4" s="92" customFormat="1" x14ac:dyDescent="0.2">
      <c r="A24" s="93" t="s">
        <v>346</v>
      </c>
      <c r="B24" s="91">
        <f>SUM(B25:B27)</f>
        <v>485058.66666666663</v>
      </c>
      <c r="C24" s="91">
        <f t="shared" si="0"/>
        <v>4850.5866666666661</v>
      </c>
      <c r="D24" s="110">
        <f t="shared" ca="1" si="1"/>
        <v>5.7590787857755705</v>
      </c>
    </row>
    <row r="25" spans="1:4" x14ac:dyDescent="0.2">
      <c r="A25" s="107" t="s">
        <v>367</v>
      </c>
      <c r="B25" s="95">
        <f>'силос сп'!BH51</f>
        <v>43391.999999999993</v>
      </c>
      <c r="C25" s="95">
        <f t="shared" si="0"/>
        <v>433.9199999999999</v>
      </c>
      <c r="D25" s="111">
        <f t="shared" ca="1" si="1"/>
        <v>0.5151911796353984</v>
      </c>
    </row>
    <row r="26" spans="1:4" x14ac:dyDescent="0.2">
      <c r="A26" s="107" t="s">
        <v>365</v>
      </c>
      <c r="B26" s="95">
        <f>(B6*100*4/1000*100000/15)*25%</f>
        <v>66666.666666666672</v>
      </c>
      <c r="C26" s="95">
        <f t="shared" si="0"/>
        <v>666.66666666666674</v>
      </c>
      <c r="D26" s="111">
        <f t="shared" ca="1" si="1"/>
        <v>0.79153020470040336</v>
      </c>
    </row>
    <row r="27" spans="1:4" x14ac:dyDescent="0.2">
      <c r="A27" s="107" t="s">
        <v>378</v>
      </c>
      <c r="B27" s="95">
        <f>'силос сп'!BE51</f>
        <v>375000</v>
      </c>
      <c r="C27" s="95">
        <f>B27/$B$6</f>
        <v>3750</v>
      </c>
      <c r="D27" s="111">
        <f t="shared" ca="1" si="1"/>
        <v>4.4523574014397687</v>
      </c>
    </row>
    <row r="28" spans="1:4" s="92" customFormat="1" x14ac:dyDescent="0.2">
      <c r="A28" s="93" t="s">
        <v>347</v>
      </c>
      <c r="B28" s="91">
        <f ca="1">B12+B13+B14+B15+B24</f>
        <v>7740958.5854744036</v>
      </c>
      <c r="C28" s="91">
        <f t="shared" ca="1" si="0"/>
        <v>77409.585854744029</v>
      </c>
      <c r="D28" s="110">
        <f t="shared" ca="1" si="1"/>
        <v>91.908038006068494</v>
      </c>
    </row>
    <row r="29" spans="1:4" s="92" customFormat="1" x14ac:dyDescent="0.2">
      <c r="A29" s="93" t="s">
        <v>348</v>
      </c>
      <c r="B29" s="91">
        <f ca="1">(B28-B13-B14)*10%</f>
        <v>681545.85854744038</v>
      </c>
      <c r="C29" s="91">
        <f t="shared" ca="1" si="0"/>
        <v>6815.4585854744037</v>
      </c>
      <c r="D29" s="110">
        <f t="shared" ca="1" si="1"/>
        <v>8.0919619939315144</v>
      </c>
    </row>
    <row r="30" spans="1:4" s="92" customFormat="1" x14ac:dyDescent="0.2">
      <c r="A30" s="93" t="s">
        <v>349</v>
      </c>
      <c r="B30" s="91">
        <f ca="1">B28+B29</f>
        <v>8422504.4440218434</v>
      </c>
      <c r="C30" s="91">
        <f t="shared" ca="1" si="0"/>
        <v>84225.044440218437</v>
      </c>
      <c r="D30" s="110">
        <f ca="1">D28+D29</f>
        <v>100.00000000000001</v>
      </c>
    </row>
    <row r="31" spans="1:4" x14ac:dyDescent="0.2">
      <c r="A31" s="94" t="s">
        <v>350</v>
      </c>
      <c r="B31" s="95">
        <f ca="1">B30/B6</f>
        <v>84225.044440218437</v>
      </c>
      <c r="C31" s="95"/>
      <c r="D31" s="95"/>
    </row>
    <row r="32" spans="1:4" x14ac:dyDescent="0.2">
      <c r="A32" s="94" t="s">
        <v>371</v>
      </c>
      <c r="B32" s="95">
        <f ca="1">B30/(B8)</f>
        <v>561.50029626812284</v>
      </c>
      <c r="C32" s="95"/>
      <c r="D32" s="95"/>
    </row>
    <row r="33" spans="1:14" x14ac:dyDescent="0.2">
      <c r="A33" s="141" t="s">
        <v>379</v>
      </c>
      <c r="B33" s="140">
        <f ca="1">B30/(B9)</f>
        <v>660.5885838448504</v>
      </c>
      <c r="C33" s="139"/>
      <c r="D33" s="139"/>
    </row>
    <row r="34" spans="1:14" x14ac:dyDescent="0.2">
      <c r="A34" s="94" t="s">
        <v>351</v>
      </c>
      <c r="B34" s="95">
        <f>'силос сп'!O51+'силос сп'!P51</f>
        <v>4036.6937595375675</v>
      </c>
      <c r="C34" s="95"/>
      <c r="D34" s="95"/>
    </row>
    <row r="35" spans="1:14" x14ac:dyDescent="0.2">
      <c r="A35" s="107" t="s">
        <v>339</v>
      </c>
      <c r="B35" s="95">
        <f>B34/B6</f>
        <v>40.366937595375674</v>
      </c>
      <c r="C35" s="95"/>
      <c r="D35" s="95"/>
    </row>
    <row r="36" spans="1:14" x14ac:dyDescent="0.2">
      <c r="A36" s="107" t="s">
        <v>340</v>
      </c>
      <c r="B36" s="111">
        <f>B34/B8</f>
        <v>0.26911291730250453</v>
      </c>
      <c r="C36" s="95"/>
      <c r="D36" s="95"/>
    </row>
    <row r="37" spans="1:14" x14ac:dyDescent="0.2">
      <c r="A37" s="94" t="s">
        <v>358</v>
      </c>
      <c r="B37" s="95">
        <f ca="1">('силос сп'!AH51+'силос сп'!AI51)/B34</f>
        <v>501.29639348118377</v>
      </c>
      <c r="C37" s="95"/>
      <c r="D37" s="95"/>
    </row>
    <row r="38" spans="1:14" x14ac:dyDescent="0.2">
      <c r="A38" s="108" t="s">
        <v>341</v>
      </c>
      <c r="B38" s="95">
        <f ca="1">'силос сп'!AH51/'силос сп'!O51</f>
        <v>609.87704423542846</v>
      </c>
      <c r="C38" s="95"/>
      <c r="D38" s="95"/>
    </row>
    <row r="39" spans="1:14" x14ac:dyDescent="0.2">
      <c r="A39" s="109" t="s">
        <v>342</v>
      </c>
      <c r="B39" s="95">
        <f ca="1">'силос сп'!AI51/'силос сп'!P51</f>
        <v>357.44741013215628</v>
      </c>
      <c r="C39" s="95"/>
      <c r="D39" s="95"/>
    </row>
    <row r="40" spans="1:14" x14ac:dyDescent="0.2">
      <c r="A40" s="94" t="s">
        <v>352</v>
      </c>
      <c r="B40" s="95">
        <f ca="1">B37*'Исходные данные'!$B$6</f>
        <v>82421.482028197963</v>
      </c>
      <c r="C40" s="95"/>
      <c r="D40" s="95"/>
    </row>
    <row r="41" spans="1:14" x14ac:dyDescent="0.2">
      <c r="A41" s="108" t="s">
        <v>341</v>
      </c>
      <c r="B41" s="95">
        <f ca="1">B38*'Исходные данные'!$B$6</f>
        <v>100273.95068970836</v>
      </c>
      <c r="C41" s="94"/>
      <c r="D41" s="94"/>
    </row>
    <row r="42" spans="1:14" ht="12.75" customHeight="1" x14ac:dyDescent="0.2">
      <c r="A42" s="109" t="s">
        <v>342</v>
      </c>
      <c r="B42" s="95">
        <f ca="1">B39*'Исходные данные'!$B$6</f>
        <v>58770.311682562024</v>
      </c>
      <c r="C42" s="94"/>
      <c r="D42" s="94"/>
    </row>
    <row r="45" spans="1:14" x14ac:dyDescent="0.2">
      <c r="A45"/>
      <c r="B45"/>
      <c r="C45"/>
      <c r="D45"/>
      <c r="E45"/>
      <c r="F45"/>
      <c r="G45"/>
      <c r="I45"/>
      <c r="J45"/>
      <c r="K45"/>
      <c r="L45"/>
      <c r="M45"/>
      <c r="N45"/>
    </row>
    <row r="46" spans="1:14" x14ac:dyDescent="0.2">
      <c r="A46"/>
      <c r="B46"/>
      <c r="C46"/>
      <c r="D46"/>
      <c r="E46"/>
      <c r="F46"/>
      <c r="G46"/>
      <c r="I46"/>
      <c r="J46"/>
      <c r="K46"/>
      <c r="L46"/>
      <c r="M46"/>
      <c r="N46"/>
    </row>
    <row r="47" spans="1:14" x14ac:dyDescent="0.2">
      <c r="A47"/>
      <c r="B47"/>
      <c r="C47"/>
      <c r="D47"/>
      <c r="E47"/>
      <c r="F47"/>
      <c r="G47"/>
      <c r="I47"/>
      <c r="J47"/>
      <c r="K47"/>
      <c r="L47"/>
      <c r="M47"/>
      <c r="N47"/>
    </row>
    <row r="48" spans="1:14" x14ac:dyDescent="0.2">
      <c r="A48"/>
      <c r="B48"/>
      <c r="C48"/>
      <c r="D48"/>
      <c r="E48"/>
      <c r="F48"/>
      <c r="G48"/>
      <c r="I48"/>
      <c r="J48"/>
      <c r="K48"/>
      <c r="L48"/>
      <c r="M48"/>
      <c r="N48"/>
    </row>
    <row r="49" spans="1:14" x14ac:dyDescent="0.2">
      <c r="A49"/>
      <c r="B49"/>
      <c r="C49"/>
      <c r="D49"/>
      <c r="E49"/>
      <c r="F49"/>
      <c r="G49"/>
      <c r="I49"/>
      <c r="J49"/>
      <c r="K49"/>
      <c r="L49"/>
      <c r="M49"/>
      <c r="N49"/>
    </row>
  </sheetData>
  <mergeCells count="1">
    <mergeCell ref="A2:D2"/>
  </mergeCells>
  <pageMargins left="0.75" right="0.75" top="1" bottom="1" header="0.5" footer="0.5"/>
  <pageSetup paperSize="9" orientation="portrait" verticalDpi="0" r:id="rId1"/>
  <headerFooter alignWithMargins="0">
    <oddFooter>&amp;LОтдел СЭР села ЯНИИСХ</oddFooter>
  </headerFooter>
  <ignoredErrors>
    <ignoredError sqref="C30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BM66"/>
  <sheetViews>
    <sheetView topLeftCell="AA1" zoomScale="90" zoomScaleNormal="90" workbookViewId="0">
      <selection activeCell="AR23" sqref="AR23"/>
    </sheetView>
  </sheetViews>
  <sheetFormatPr defaultColWidth="9.140625" defaultRowHeight="11.25" x14ac:dyDescent="0.2"/>
  <cols>
    <col min="1" max="1" width="3.85546875" style="15" customWidth="1"/>
    <col min="2" max="2" width="29.7109375" style="13" customWidth="1"/>
    <col min="3" max="3" width="5.42578125" style="13" customWidth="1"/>
    <col min="4" max="4" width="7.28515625" style="13" customWidth="1"/>
    <col min="5" max="5" width="7.42578125" style="13" customWidth="1"/>
    <col min="6" max="6" width="4.7109375" style="15" customWidth="1"/>
    <col min="7" max="7" width="9" style="13" customWidth="1"/>
    <col min="8" max="9" width="8.140625" style="13" customWidth="1"/>
    <col min="10" max="10" width="5.42578125" style="13" customWidth="1"/>
    <col min="11" max="12" width="6.140625" style="13" customWidth="1"/>
    <col min="13" max="13" width="7" style="13" customWidth="1"/>
    <col min="14" max="16" width="6.140625" style="13" customWidth="1"/>
    <col min="17" max="17" width="6.140625" style="18" customWidth="1"/>
    <col min="18" max="20" width="6.140625" style="13" customWidth="1"/>
    <col min="21" max="21" width="7.28515625" style="13" customWidth="1"/>
    <col min="22" max="22" width="7.85546875" style="13" customWidth="1"/>
    <col min="23" max="23" width="7.140625" style="13" customWidth="1"/>
    <col min="24" max="24" width="7.28515625" style="13" customWidth="1"/>
    <col min="25" max="27" width="6.140625" style="13" customWidth="1"/>
    <col min="28" max="29" width="7.28515625" style="13" customWidth="1"/>
    <col min="30" max="30" width="8" style="13" customWidth="1"/>
    <col min="31" max="31" width="8.7109375" style="13" customWidth="1"/>
    <col min="32" max="32" width="6.140625" style="13" customWidth="1"/>
    <col min="33" max="33" width="7.5703125" style="13" customWidth="1"/>
    <col min="34" max="34" width="7" style="13" customWidth="1"/>
    <col min="35" max="35" width="8.42578125" style="13" customWidth="1"/>
    <col min="36" max="36" width="7.140625" style="13" customWidth="1"/>
    <col min="37" max="37" width="8.42578125" style="13" customWidth="1"/>
    <col min="38" max="38" width="7.140625" style="13" customWidth="1"/>
    <col min="39" max="39" width="8.42578125" style="13" customWidth="1"/>
    <col min="40" max="41" width="6.140625" style="13" customWidth="1"/>
    <col min="42" max="42" width="7.28515625" style="16" customWidth="1"/>
    <col min="43" max="44" width="8.7109375" style="43" customWidth="1"/>
    <col min="45" max="49" width="9.5703125" style="16" customWidth="1"/>
    <col min="50" max="60" width="7.42578125" style="16" customWidth="1"/>
    <col min="61" max="61" width="9.28515625" style="16" customWidth="1"/>
    <col min="62" max="63" width="7.42578125" style="16" customWidth="1"/>
    <col min="64" max="64" width="9" style="17" customWidth="1"/>
    <col min="65" max="16384" width="9.140625" style="13"/>
  </cols>
  <sheetData>
    <row r="1" spans="1:65" s="7" customFormat="1" ht="15.75" x14ac:dyDescent="0.2">
      <c r="B1" s="47" t="s">
        <v>55</v>
      </c>
      <c r="E1" s="8"/>
      <c r="G1" s="6"/>
      <c r="H1" s="115" t="s">
        <v>491</v>
      </c>
      <c r="Q1" s="44"/>
      <c r="AP1" s="9"/>
      <c r="AQ1" s="10"/>
      <c r="AR1" s="10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1"/>
    </row>
    <row r="2" spans="1:65" s="7" customFormat="1" ht="15.75" x14ac:dyDescent="0.2">
      <c r="B2" s="47" t="s">
        <v>58</v>
      </c>
      <c r="E2" s="8"/>
      <c r="G2" s="6"/>
      <c r="Q2" s="44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1"/>
    </row>
    <row r="3" spans="1:65" s="7" customFormat="1" ht="15.75" x14ac:dyDescent="0.2">
      <c r="B3" s="6"/>
      <c r="E3" s="8"/>
      <c r="G3" s="6"/>
      <c r="Q3" s="4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"/>
    </row>
    <row r="4" spans="1:65" s="1" customFormat="1" ht="12.75" customHeight="1" x14ac:dyDescent="0.2">
      <c r="B4" s="46" t="s">
        <v>85</v>
      </c>
      <c r="E4" s="2"/>
      <c r="G4" s="46"/>
      <c r="L4" s="46"/>
      <c r="Q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</row>
    <row r="5" spans="1:65" s="1" customFormat="1" ht="12.75" customHeight="1" x14ac:dyDescent="0.2">
      <c r="B5" s="46" t="s">
        <v>380</v>
      </c>
      <c r="D5" s="1">
        <v>100</v>
      </c>
      <c r="E5" s="2"/>
      <c r="J5" s="123"/>
      <c r="L5" s="46"/>
      <c r="Q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5"/>
    </row>
    <row r="6" spans="1:65" s="1" customFormat="1" ht="12.75" customHeight="1" x14ac:dyDescent="0.2">
      <c r="B6" s="1" t="s">
        <v>362</v>
      </c>
      <c r="E6" s="2"/>
      <c r="F6" s="45" t="s">
        <v>361</v>
      </c>
      <c r="G6" s="13"/>
      <c r="H6" s="13"/>
      <c r="J6" s="123"/>
      <c r="L6" s="46"/>
      <c r="Q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</row>
    <row r="7" spans="1:65" ht="12.75" customHeight="1" x14ac:dyDescent="0.2">
      <c r="B7" s="45" t="s">
        <v>222</v>
      </c>
      <c r="D7" s="124">
        <v>10.182352941176473</v>
      </c>
      <c r="E7" s="14"/>
      <c r="F7" s="45"/>
      <c r="G7" s="45" t="s">
        <v>222</v>
      </c>
      <c r="H7" s="13">
        <f>$D$5*D7</f>
        <v>1018.2352941176473</v>
      </c>
      <c r="J7" s="124"/>
      <c r="L7" s="45"/>
      <c r="Q7" s="15"/>
      <c r="AQ7" s="16"/>
      <c r="AR7" s="16"/>
    </row>
    <row r="8" spans="1:65" ht="12.75" customHeight="1" x14ac:dyDescent="0.2">
      <c r="B8" s="45" t="s">
        <v>223</v>
      </c>
      <c r="D8" s="124">
        <v>10.182352941176473</v>
      </c>
      <c r="E8" s="14"/>
      <c r="F8" s="45"/>
      <c r="G8" s="45" t="s">
        <v>223</v>
      </c>
      <c r="H8" s="13">
        <f>$D$5*D8</f>
        <v>1018.2352941176473</v>
      </c>
      <c r="J8" s="124"/>
      <c r="L8" s="45"/>
      <c r="Q8" s="15"/>
      <c r="AQ8" s="16"/>
      <c r="AR8" s="16"/>
    </row>
    <row r="9" spans="1:65" ht="12.75" customHeight="1" x14ac:dyDescent="0.2">
      <c r="B9" s="45" t="s">
        <v>224</v>
      </c>
      <c r="D9" s="124">
        <v>10.182352941176473</v>
      </c>
      <c r="E9" s="14"/>
      <c r="F9" s="45"/>
      <c r="G9" s="45" t="s">
        <v>224</v>
      </c>
      <c r="H9" s="13">
        <f>$D$5*D9</f>
        <v>1018.2352941176473</v>
      </c>
      <c r="J9" s="124"/>
      <c r="L9" s="45"/>
      <c r="Q9" s="15"/>
      <c r="AQ9" s="16"/>
      <c r="AR9" s="16"/>
    </row>
    <row r="10" spans="1:65" ht="12.75" customHeight="1" x14ac:dyDescent="0.2">
      <c r="B10" s="45" t="s">
        <v>225</v>
      </c>
      <c r="D10" s="124">
        <v>10.182352941176473</v>
      </c>
      <c r="E10" s="14"/>
      <c r="F10" s="45"/>
      <c r="G10" s="45" t="s">
        <v>225</v>
      </c>
      <c r="H10" s="13">
        <f>$D$5*D10</f>
        <v>1018.2352941176473</v>
      </c>
      <c r="J10" s="124"/>
      <c r="L10" s="45"/>
      <c r="Q10" s="15"/>
      <c r="AQ10" s="16"/>
      <c r="AR10" s="16"/>
    </row>
    <row r="11" spans="1:65" ht="12.75" customHeight="1" x14ac:dyDescent="0.2">
      <c r="B11" s="45" t="s">
        <v>226</v>
      </c>
      <c r="D11" s="124">
        <v>12.218823529411768</v>
      </c>
      <c r="E11" s="14"/>
      <c r="F11" s="45"/>
      <c r="G11" s="45" t="s">
        <v>226</v>
      </c>
      <c r="H11" s="13">
        <f>$D$5*D11</f>
        <v>1221.8823529411768</v>
      </c>
      <c r="J11" s="124"/>
      <c r="L11" s="45"/>
      <c r="Q11" s="15"/>
      <c r="AQ11" s="16"/>
      <c r="AR11" s="16"/>
    </row>
    <row r="12" spans="1:65" ht="12.75" customHeight="1" x14ac:dyDescent="0.2">
      <c r="D12" s="14"/>
      <c r="E12" s="7"/>
      <c r="F12" s="12"/>
      <c r="K12" s="7"/>
      <c r="L12" s="7"/>
      <c r="N12" s="7"/>
      <c r="Q12" s="15"/>
      <c r="AQ12" s="16"/>
      <c r="AR12" s="16"/>
    </row>
    <row r="13" spans="1:65" s="6" customFormat="1" ht="39.75" customHeight="1" x14ac:dyDescent="0.2">
      <c r="A13" s="472" t="s">
        <v>56</v>
      </c>
      <c r="B13" s="473" t="s">
        <v>52</v>
      </c>
      <c r="C13" s="473"/>
      <c r="D13" s="473"/>
      <c r="E13" s="473"/>
      <c r="F13" s="472" t="s">
        <v>16</v>
      </c>
      <c r="G13" s="472" t="s">
        <v>35</v>
      </c>
      <c r="H13" s="473" t="s">
        <v>31</v>
      </c>
      <c r="I13" s="473"/>
      <c r="J13" s="472" t="s">
        <v>34</v>
      </c>
      <c r="K13" s="472" t="s">
        <v>40</v>
      </c>
      <c r="L13" s="472" t="s">
        <v>39</v>
      </c>
      <c r="M13" s="473" t="s">
        <v>36</v>
      </c>
      <c r="N13" s="473"/>
      <c r="O13" s="473" t="s">
        <v>320</v>
      </c>
      <c r="P13" s="473"/>
      <c r="Q13" s="473" t="s">
        <v>319</v>
      </c>
      <c r="R13" s="473"/>
      <c r="S13" s="473"/>
      <c r="T13" s="473"/>
      <c r="U13" s="473" t="s">
        <v>321</v>
      </c>
      <c r="V13" s="473"/>
      <c r="W13" s="473" t="s">
        <v>322</v>
      </c>
      <c r="X13" s="473"/>
      <c r="Y13" s="473" t="s">
        <v>323</v>
      </c>
      <c r="Z13" s="473"/>
      <c r="AA13" s="473" t="s">
        <v>324</v>
      </c>
      <c r="AB13" s="473"/>
      <c r="AC13" s="481" t="s">
        <v>435</v>
      </c>
      <c r="AD13" s="482"/>
      <c r="AE13" s="483"/>
      <c r="AF13" s="473" t="s">
        <v>166</v>
      </c>
      <c r="AG13" s="473"/>
      <c r="AH13" s="473" t="s">
        <v>325</v>
      </c>
      <c r="AI13" s="473"/>
      <c r="AJ13" s="473" t="s">
        <v>326</v>
      </c>
      <c r="AK13" s="473"/>
      <c r="AL13" s="473" t="s">
        <v>327</v>
      </c>
      <c r="AM13" s="473"/>
      <c r="AN13" s="473" t="s">
        <v>14</v>
      </c>
      <c r="AO13" s="473"/>
      <c r="AP13" s="473"/>
      <c r="AQ13" s="473"/>
      <c r="AR13" s="473"/>
      <c r="AS13" s="473"/>
      <c r="AT13" s="481" t="s">
        <v>404</v>
      </c>
      <c r="AU13" s="482"/>
      <c r="AV13" s="482"/>
      <c r="AW13" s="483"/>
      <c r="AX13" s="473" t="s">
        <v>45</v>
      </c>
      <c r="AY13" s="473"/>
      <c r="AZ13" s="473"/>
      <c r="BA13" s="473"/>
      <c r="BB13" s="473" t="s">
        <v>317</v>
      </c>
      <c r="BC13" s="473"/>
      <c r="BD13" s="473"/>
      <c r="BE13" s="473"/>
      <c r="BF13" s="473"/>
      <c r="BG13" s="473"/>
      <c r="BH13" s="473"/>
      <c r="BI13" s="473" t="s">
        <v>49</v>
      </c>
      <c r="BJ13" s="473"/>
      <c r="BK13" s="473" t="s">
        <v>331</v>
      </c>
      <c r="BL13" s="488" t="s">
        <v>59</v>
      </c>
      <c r="BM13" s="488"/>
    </row>
    <row r="14" spans="1:65" s="6" customFormat="1" ht="40.5" customHeight="1" x14ac:dyDescent="0.2">
      <c r="A14" s="472"/>
      <c r="B14" s="473"/>
      <c r="C14" s="473"/>
      <c r="D14" s="473"/>
      <c r="E14" s="473"/>
      <c r="F14" s="472"/>
      <c r="G14" s="472"/>
      <c r="H14" s="473"/>
      <c r="I14" s="473"/>
      <c r="J14" s="472"/>
      <c r="K14" s="472"/>
      <c r="L14" s="472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84"/>
      <c r="AD14" s="485"/>
      <c r="AE14" s="486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84"/>
      <c r="AU14" s="485"/>
      <c r="AV14" s="485"/>
      <c r="AW14" s="486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88"/>
      <c r="BM14" s="488"/>
    </row>
    <row r="15" spans="1:65" s="6" customFormat="1" ht="38.25" customHeight="1" x14ac:dyDescent="0.2">
      <c r="A15" s="472"/>
      <c r="B15" s="473" t="s">
        <v>13</v>
      </c>
      <c r="C15" s="473" t="s">
        <v>41</v>
      </c>
      <c r="D15" s="473"/>
      <c r="E15" s="473"/>
      <c r="F15" s="472"/>
      <c r="G15" s="472"/>
      <c r="H15" s="472" t="s">
        <v>32</v>
      </c>
      <c r="I15" s="472" t="s">
        <v>33</v>
      </c>
      <c r="J15" s="472"/>
      <c r="K15" s="472"/>
      <c r="L15" s="472"/>
      <c r="M15" s="472" t="s">
        <v>37</v>
      </c>
      <c r="N15" s="472" t="s">
        <v>38</v>
      </c>
      <c r="O15" s="462">
        <v>7</v>
      </c>
      <c r="P15" s="462"/>
      <c r="Q15" s="473" t="s">
        <v>37</v>
      </c>
      <c r="R15" s="473"/>
      <c r="S15" s="473" t="s">
        <v>38</v>
      </c>
      <c r="T15" s="473"/>
      <c r="U15" s="472" t="s">
        <v>17</v>
      </c>
      <c r="V15" s="472" t="s">
        <v>18</v>
      </c>
      <c r="W15" s="489">
        <v>0.4</v>
      </c>
      <c r="X15" s="489"/>
      <c r="Y15" s="74">
        <v>0.1</v>
      </c>
      <c r="Z15" s="74">
        <v>0.05</v>
      </c>
      <c r="AA15" s="495">
        <v>0.1</v>
      </c>
      <c r="AB15" s="495"/>
      <c r="AC15" s="491" t="s">
        <v>19</v>
      </c>
      <c r="AD15" s="491" t="s">
        <v>17</v>
      </c>
      <c r="AE15" s="491" t="s">
        <v>18</v>
      </c>
      <c r="AF15" s="495">
        <f ca="1">(((((AD66/O66)*164.5)/29*(52/12)))/((AD66/O66)*164.5))</f>
        <v>0.14942528735632182</v>
      </c>
      <c r="AG15" s="495"/>
      <c r="AH15" s="472" t="s">
        <v>17</v>
      </c>
      <c r="AI15" s="472" t="s">
        <v>18</v>
      </c>
      <c r="AJ15" s="495">
        <v>0.3</v>
      </c>
      <c r="AK15" s="495"/>
      <c r="AL15" s="472" t="s">
        <v>17</v>
      </c>
      <c r="AM15" s="472" t="s">
        <v>18</v>
      </c>
      <c r="AN15" s="472" t="s">
        <v>333</v>
      </c>
      <c r="AO15" s="472" t="s">
        <v>43</v>
      </c>
      <c r="AP15" s="487" t="s">
        <v>50</v>
      </c>
      <c r="AQ15" s="487" t="s">
        <v>44</v>
      </c>
      <c r="AR15" s="487" t="s">
        <v>328</v>
      </c>
      <c r="AS15" s="487" t="s">
        <v>329</v>
      </c>
      <c r="AT15" s="472" t="s">
        <v>417</v>
      </c>
      <c r="AU15" s="487" t="s">
        <v>418</v>
      </c>
      <c r="AV15" s="487" t="s">
        <v>419</v>
      </c>
      <c r="AW15" s="487" t="s">
        <v>329</v>
      </c>
      <c r="AX15" s="488" t="s">
        <v>46</v>
      </c>
      <c r="AY15" s="488"/>
      <c r="AZ15" s="488" t="s">
        <v>47</v>
      </c>
      <c r="BA15" s="488"/>
      <c r="BB15" s="488" t="s">
        <v>312</v>
      </c>
      <c r="BC15" s="488"/>
      <c r="BD15" s="488" t="s">
        <v>313</v>
      </c>
      <c r="BE15" s="488"/>
      <c r="BF15" s="488" t="s">
        <v>314</v>
      </c>
      <c r="BG15" s="488"/>
      <c r="BH15" s="472" t="s">
        <v>315</v>
      </c>
      <c r="BI15" s="487" t="s">
        <v>316</v>
      </c>
      <c r="BJ15" s="487" t="s">
        <v>332</v>
      </c>
      <c r="BK15" s="473"/>
      <c r="BL15" s="487" t="s">
        <v>51</v>
      </c>
      <c r="BM15" s="487" t="s">
        <v>15</v>
      </c>
    </row>
    <row r="16" spans="1:65" s="6" customFormat="1" ht="48" customHeight="1" x14ac:dyDescent="0.2">
      <c r="A16" s="472"/>
      <c r="B16" s="473"/>
      <c r="C16" s="472" t="s">
        <v>42</v>
      </c>
      <c r="D16" s="472" t="s">
        <v>54</v>
      </c>
      <c r="E16" s="472" t="s">
        <v>53</v>
      </c>
      <c r="F16" s="472"/>
      <c r="G16" s="472"/>
      <c r="H16" s="472"/>
      <c r="I16" s="472"/>
      <c r="J16" s="472"/>
      <c r="K16" s="472"/>
      <c r="L16" s="472"/>
      <c r="M16" s="472"/>
      <c r="N16" s="472"/>
      <c r="O16" s="472" t="s">
        <v>37</v>
      </c>
      <c r="P16" s="472" t="s">
        <v>38</v>
      </c>
      <c r="Q16" s="474" t="s">
        <v>20</v>
      </c>
      <c r="R16" s="472" t="s">
        <v>21</v>
      </c>
      <c r="S16" s="474" t="s">
        <v>20</v>
      </c>
      <c r="T16" s="472" t="s">
        <v>21</v>
      </c>
      <c r="U16" s="472"/>
      <c r="V16" s="472"/>
      <c r="W16" s="472" t="s">
        <v>17</v>
      </c>
      <c r="X16" s="472" t="s">
        <v>18</v>
      </c>
      <c r="Y16" s="472" t="s">
        <v>175</v>
      </c>
      <c r="Z16" s="472" t="s">
        <v>176</v>
      </c>
      <c r="AA16" s="472" t="s">
        <v>17</v>
      </c>
      <c r="AB16" s="472" t="s">
        <v>18</v>
      </c>
      <c r="AC16" s="492"/>
      <c r="AD16" s="492"/>
      <c r="AE16" s="492"/>
      <c r="AF16" s="472" t="s">
        <v>17</v>
      </c>
      <c r="AG16" s="472" t="s">
        <v>18</v>
      </c>
      <c r="AH16" s="472"/>
      <c r="AI16" s="472"/>
      <c r="AJ16" s="472" t="s">
        <v>17</v>
      </c>
      <c r="AK16" s="472" t="s">
        <v>18</v>
      </c>
      <c r="AL16" s="472"/>
      <c r="AM16" s="472"/>
      <c r="AN16" s="472"/>
      <c r="AO16" s="472"/>
      <c r="AP16" s="487"/>
      <c r="AQ16" s="487"/>
      <c r="AR16" s="487"/>
      <c r="AS16" s="487"/>
      <c r="AT16" s="472"/>
      <c r="AU16" s="487"/>
      <c r="AV16" s="487"/>
      <c r="AW16" s="487"/>
      <c r="AX16" s="487" t="s">
        <v>48</v>
      </c>
      <c r="AY16" s="487" t="s">
        <v>318</v>
      </c>
      <c r="AZ16" s="487" t="s">
        <v>48</v>
      </c>
      <c r="BA16" s="487" t="s">
        <v>318</v>
      </c>
      <c r="BB16" s="487" t="s">
        <v>311</v>
      </c>
      <c r="BC16" s="487" t="s">
        <v>318</v>
      </c>
      <c r="BD16" s="487" t="s">
        <v>311</v>
      </c>
      <c r="BE16" s="487" t="s">
        <v>318</v>
      </c>
      <c r="BF16" s="487" t="s">
        <v>311</v>
      </c>
      <c r="BG16" s="487" t="s">
        <v>318</v>
      </c>
      <c r="BH16" s="472"/>
      <c r="BI16" s="487"/>
      <c r="BJ16" s="487"/>
      <c r="BK16" s="473"/>
      <c r="BL16" s="487"/>
      <c r="BM16" s="487"/>
    </row>
    <row r="17" spans="1:65" s="6" customFormat="1" ht="76.5" customHeight="1" x14ac:dyDescent="0.2">
      <c r="A17" s="472"/>
      <c r="B17" s="473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4"/>
      <c r="R17" s="472"/>
      <c r="S17" s="474"/>
      <c r="T17" s="472"/>
      <c r="U17" s="472"/>
      <c r="V17" s="472"/>
      <c r="W17" s="472"/>
      <c r="X17" s="472"/>
      <c r="Y17" s="472"/>
      <c r="Z17" s="472"/>
      <c r="AA17" s="472"/>
      <c r="AB17" s="472"/>
      <c r="AC17" s="493"/>
      <c r="AD17" s="493"/>
      <c r="AE17" s="493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87"/>
      <c r="AQ17" s="487"/>
      <c r="AR17" s="487"/>
      <c r="AS17" s="487"/>
      <c r="AT17" s="472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72"/>
      <c r="BI17" s="487"/>
      <c r="BJ17" s="487"/>
      <c r="BK17" s="473"/>
      <c r="BL17" s="487"/>
      <c r="BM17" s="487"/>
    </row>
    <row r="18" spans="1:65" x14ac:dyDescent="0.2">
      <c r="A18" s="20">
        <f>COLUMN(A18)</f>
        <v>1</v>
      </c>
      <c r="B18" s="494">
        <f>COLUMN(B18)</f>
        <v>2</v>
      </c>
      <c r="C18" s="494"/>
      <c r="D18" s="494"/>
      <c r="E18" s="494"/>
      <c r="F18" s="20">
        <v>3</v>
      </c>
      <c r="G18" s="20">
        <f t="shared" ref="G18:BI18" si="0">F18+1</f>
        <v>4</v>
      </c>
      <c r="H18" s="20">
        <f t="shared" si="0"/>
        <v>5</v>
      </c>
      <c r="I18" s="20">
        <f t="shared" si="0"/>
        <v>6</v>
      </c>
      <c r="J18" s="20">
        <f t="shared" si="0"/>
        <v>7</v>
      </c>
      <c r="K18" s="20">
        <f t="shared" si="0"/>
        <v>8</v>
      </c>
      <c r="L18" s="20">
        <f t="shared" si="0"/>
        <v>9</v>
      </c>
      <c r="M18" s="20">
        <f t="shared" si="0"/>
        <v>10</v>
      </c>
      <c r="N18" s="20">
        <f t="shared" si="0"/>
        <v>11</v>
      </c>
      <c r="O18" s="20">
        <f t="shared" si="0"/>
        <v>12</v>
      </c>
      <c r="P18" s="20">
        <f t="shared" si="0"/>
        <v>13</v>
      </c>
      <c r="Q18" s="20">
        <f t="shared" si="0"/>
        <v>14</v>
      </c>
      <c r="R18" s="20">
        <f t="shared" si="0"/>
        <v>15</v>
      </c>
      <c r="S18" s="20">
        <f t="shared" si="0"/>
        <v>16</v>
      </c>
      <c r="T18" s="20">
        <f t="shared" si="0"/>
        <v>17</v>
      </c>
      <c r="U18" s="20">
        <f t="shared" si="0"/>
        <v>18</v>
      </c>
      <c r="V18" s="20">
        <f t="shared" si="0"/>
        <v>19</v>
      </c>
      <c r="W18" s="20">
        <f t="shared" si="0"/>
        <v>20</v>
      </c>
      <c r="X18" s="20">
        <f t="shared" si="0"/>
        <v>21</v>
      </c>
      <c r="Y18" s="20">
        <f t="shared" si="0"/>
        <v>22</v>
      </c>
      <c r="Z18" s="20">
        <f t="shared" si="0"/>
        <v>23</v>
      </c>
      <c r="AA18" s="20">
        <f t="shared" si="0"/>
        <v>24</v>
      </c>
      <c r="AB18" s="20">
        <f t="shared" si="0"/>
        <v>25</v>
      </c>
      <c r="AC18" s="20">
        <f t="shared" si="0"/>
        <v>26</v>
      </c>
      <c r="AD18" s="20">
        <f t="shared" si="0"/>
        <v>27</v>
      </c>
      <c r="AE18" s="20">
        <f t="shared" si="0"/>
        <v>28</v>
      </c>
      <c r="AF18" s="20">
        <f t="shared" si="0"/>
        <v>29</v>
      </c>
      <c r="AG18" s="20">
        <f t="shared" si="0"/>
        <v>30</v>
      </c>
      <c r="AH18" s="20">
        <f t="shared" si="0"/>
        <v>31</v>
      </c>
      <c r="AI18" s="20">
        <f t="shared" si="0"/>
        <v>32</v>
      </c>
      <c r="AJ18" s="20">
        <f t="shared" si="0"/>
        <v>33</v>
      </c>
      <c r="AK18" s="20">
        <f t="shared" si="0"/>
        <v>34</v>
      </c>
      <c r="AL18" s="20">
        <f t="shared" si="0"/>
        <v>35</v>
      </c>
      <c r="AM18" s="20">
        <f t="shared" si="0"/>
        <v>36</v>
      </c>
      <c r="AN18" s="20">
        <f t="shared" si="0"/>
        <v>37</v>
      </c>
      <c r="AO18" s="20">
        <f t="shared" si="0"/>
        <v>38</v>
      </c>
      <c r="AP18" s="20">
        <f t="shared" si="0"/>
        <v>39</v>
      </c>
      <c r="AQ18" s="20">
        <f t="shared" si="0"/>
        <v>40</v>
      </c>
      <c r="AR18" s="20">
        <f t="shared" si="0"/>
        <v>41</v>
      </c>
      <c r="AS18" s="20">
        <f t="shared" si="0"/>
        <v>42</v>
      </c>
      <c r="AT18" s="20">
        <f t="shared" si="0"/>
        <v>43</v>
      </c>
      <c r="AU18" s="20">
        <f t="shared" si="0"/>
        <v>44</v>
      </c>
      <c r="AV18" s="20">
        <f t="shared" si="0"/>
        <v>45</v>
      </c>
      <c r="AW18" s="20">
        <f t="shared" si="0"/>
        <v>46</v>
      </c>
      <c r="AX18" s="20">
        <f t="shared" si="0"/>
        <v>47</v>
      </c>
      <c r="AY18" s="20">
        <f t="shared" si="0"/>
        <v>48</v>
      </c>
      <c r="AZ18" s="20">
        <f t="shared" si="0"/>
        <v>49</v>
      </c>
      <c r="BA18" s="20">
        <f t="shared" si="0"/>
        <v>50</v>
      </c>
      <c r="BB18" s="20">
        <f t="shared" si="0"/>
        <v>51</v>
      </c>
      <c r="BC18" s="20">
        <f t="shared" si="0"/>
        <v>52</v>
      </c>
      <c r="BD18" s="20">
        <f t="shared" si="0"/>
        <v>53</v>
      </c>
      <c r="BE18" s="20">
        <f t="shared" si="0"/>
        <v>54</v>
      </c>
      <c r="BF18" s="20">
        <f t="shared" si="0"/>
        <v>55</v>
      </c>
      <c r="BG18" s="20">
        <f t="shared" si="0"/>
        <v>56</v>
      </c>
      <c r="BH18" s="20">
        <f t="shared" si="0"/>
        <v>57</v>
      </c>
      <c r="BI18" s="20">
        <f t="shared" si="0"/>
        <v>58</v>
      </c>
      <c r="BJ18" s="20">
        <f>BI18+1</f>
        <v>59</v>
      </c>
      <c r="BK18" s="20">
        <f>BJ18+1</f>
        <v>60</v>
      </c>
      <c r="BL18" s="20">
        <f>BK18+1</f>
        <v>61</v>
      </c>
      <c r="BM18" s="20">
        <f>BL18+1</f>
        <v>62</v>
      </c>
    </row>
    <row r="19" spans="1:65" s="7" customFormat="1" ht="24" customHeight="1" x14ac:dyDescent="0.2">
      <c r="A19" s="21"/>
      <c r="B19" s="473" t="s">
        <v>101</v>
      </c>
      <c r="C19" s="473"/>
      <c r="D19" s="473"/>
      <c r="E19" s="473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5"/>
      <c r="AQ19" s="26"/>
      <c r="AR19" s="26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3"/>
    </row>
    <row r="20" spans="1:65" x14ac:dyDescent="0.2">
      <c r="A20" s="19">
        <v>1</v>
      </c>
      <c r="B20" s="27" t="s">
        <v>78</v>
      </c>
      <c r="C20" s="29">
        <v>4.166666666666667</v>
      </c>
      <c r="D20" s="30" t="s">
        <v>107</v>
      </c>
      <c r="E20" s="31" t="s">
        <v>202</v>
      </c>
      <c r="F20" s="28" t="s">
        <v>108</v>
      </c>
      <c r="G20" s="144">
        <v>100</v>
      </c>
      <c r="H20" s="81">
        <v>40374</v>
      </c>
      <c r="I20" s="81">
        <v>40377</v>
      </c>
      <c r="J20" s="83">
        <f>L20/M20</f>
        <v>3.3333333333333335</v>
      </c>
      <c r="K20" s="32">
        <v>6</v>
      </c>
      <c r="L20" s="33">
        <f t="shared" ref="L20:L25" si="1">G20/K20</f>
        <v>16.666666666666668</v>
      </c>
      <c r="M20" s="34">
        <v>5</v>
      </c>
      <c r="N20" s="34"/>
      <c r="O20" s="35">
        <f t="shared" ref="O20:O25" si="2">IF(M20=0,0,L20*$O$15)</f>
        <v>116.66666666666667</v>
      </c>
      <c r="P20" s="35">
        <f t="shared" ref="P20:P25" si="3">IF(N20=0,0,L20*$O$15)</f>
        <v>0</v>
      </c>
      <c r="Q20" s="34">
        <v>4</v>
      </c>
      <c r="R20" s="83">
        <f>IF(AND(O20&gt;0,Q20&gt;0),SUMIF('Исходные данные'!$C$13:H13,Q20,'Исходные данные'!$C$17:$H$17),IF(O20=0,0,IF(Q20=0,"РОТ")))</f>
        <v>156.08125696908263</v>
      </c>
      <c r="S20" s="34"/>
      <c r="T20" s="33"/>
      <c r="U20" s="130">
        <f>O20*R20*'Исходные данные'!$C$37%</f>
        <v>0</v>
      </c>
      <c r="V20" s="130">
        <f>P20*T20*'Исходные данные'!$C$38%</f>
        <v>0</v>
      </c>
      <c r="W20" s="130">
        <f t="shared" ref="W20:W25" si="4">O20*R20*$W$15</f>
        <v>7283.7919918905236</v>
      </c>
      <c r="X20" s="131">
        <f t="shared" ref="X20:X25" si="5">P20*T20*$W$15</f>
        <v>0</v>
      </c>
      <c r="Y20" s="130">
        <f t="shared" ref="Y20:Y25" si="6">(O20*R20+U20+W20)*$Y$15</f>
        <v>2549.3271971616832</v>
      </c>
      <c r="Z20" s="131">
        <f t="shared" ref="Z20:Z25" si="7">(P20*T20+V20+X20)*$Z$15</f>
        <v>0</v>
      </c>
      <c r="AA20" s="130">
        <f t="shared" ref="AA20:AA25" si="8">(O20*R20+U20)*$AA$15</f>
        <v>1820.9479979726309</v>
      </c>
      <c r="AB20" s="131">
        <f t="shared" ref="AB20:AB25" si="9">(P20*T20+V20)*$AA$15</f>
        <v>0</v>
      </c>
      <c r="AC20" s="129">
        <v>2.8</v>
      </c>
      <c r="AD20" s="130">
        <f t="shared" ref="AD20:AD25" si="10">(O20*R20+U20+W20+Y20+AA20)*AC20</f>
        <v>83617.932066903202</v>
      </c>
      <c r="AE20" s="130">
        <f t="shared" ref="AE20:AE25" si="11">(P20*T20+V20+X20+Z20+AB20)*AC20</f>
        <v>0</v>
      </c>
      <c r="AF20" s="35">
        <f t="shared" ref="AF20:AG25" ca="1" si="12">AD20*$AF$15</f>
        <v>12494.633527238408</v>
      </c>
      <c r="AG20" s="73"/>
      <c r="AH20" s="35">
        <f t="shared" ref="AH20:AI25" ca="1" si="13">AD20+AF20</f>
        <v>96112.565594141604</v>
      </c>
      <c r="AI20" s="35"/>
      <c r="AJ20" s="35">
        <f t="shared" ref="AJ20:AK25" ca="1" si="14">AH20*$AJ$15</f>
        <v>28833.769678242479</v>
      </c>
      <c r="AK20" s="73"/>
      <c r="AL20" s="35">
        <f t="shared" ref="AL20:AL25" ca="1" si="15">AH20+AJ20</f>
        <v>124946.33527238408</v>
      </c>
      <c r="AM20" s="73"/>
      <c r="AN20" s="32">
        <v>6.5</v>
      </c>
      <c r="AO20" s="33" t="e">
        <f>Нормы!#REF!</f>
        <v>#REF!</v>
      </c>
      <c r="AP20" s="79" t="e">
        <f>(G20*AN20)*AO20/100</f>
        <v>#REF!</v>
      </c>
      <c r="AQ20" s="33" t="s">
        <v>155</v>
      </c>
      <c r="AR20" s="83" t="e">
        <f>'Исходные данные'!#REF!</f>
        <v>#REF!</v>
      </c>
      <c r="AS20" s="36" t="e">
        <f>AP20*AR20</f>
        <v>#REF!</v>
      </c>
      <c r="AT20" s="36"/>
      <c r="AU20" s="36"/>
      <c r="AV20" s="36"/>
      <c r="AW20" s="36"/>
      <c r="AX20" s="36">
        <f>аморт!$G$11</f>
        <v>181.91312849162011</v>
      </c>
      <c r="AY20" s="36">
        <f t="shared" ref="AY20:AY25" si="16">AX20*L20</f>
        <v>3031.8854748603353</v>
      </c>
      <c r="AZ20" s="36">
        <f>аморт!$G$54</f>
        <v>43.453374999999994</v>
      </c>
      <c r="BA20" s="36">
        <f t="shared" ref="BA20:BA25" si="17">AZ20*L20</f>
        <v>724.22291666666661</v>
      </c>
      <c r="BB20" s="38">
        <v>82.4</v>
      </c>
      <c r="BC20" s="36">
        <f t="shared" ref="BC20:BC25" si="18">BB20*BM20</f>
        <v>7004.0000000000009</v>
      </c>
      <c r="BD20" s="38">
        <v>13.9</v>
      </c>
      <c r="BE20" s="36">
        <f t="shared" ref="BE20:BE25" si="19">BD20*BM20</f>
        <v>1181.5</v>
      </c>
      <c r="BF20" s="38">
        <f>4.8*1.045*1.054</f>
        <v>5.2868639999999996</v>
      </c>
      <c r="BG20" s="36">
        <f t="shared" ref="BG20:BG25" si="20">BF20*BM20</f>
        <v>449.38343999999995</v>
      </c>
      <c r="BH20" s="36">
        <f>аморт!$C$54*10%/аморт!$E$54*L20*7</f>
        <v>64890.373333333344</v>
      </c>
      <c r="BI20" s="36" t="e">
        <f t="shared" ref="BI20:BI25" ca="1" si="21">AL20+AM20+AS20+AY20+BA20+BC20+BE20+BG20+BH20+AW20</f>
        <v>#REF!</v>
      </c>
      <c r="BJ20" s="36" t="e">
        <f t="shared" ref="BJ20:BJ25" ca="1" si="22">BI20/$D$5</f>
        <v>#REF!</v>
      </c>
      <c r="BK20" s="38">
        <f t="shared" ref="BK20:BK25" si="23">(O20+P20)/$D$5</f>
        <v>1.1666666666666667</v>
      </c>
      <c r="BL20" s="38">
        <v>5.0999999999999996</v>
      </c>
      <c r="BM20" s="39">
        <f t="shared" ref="BM20:BM25" si="24">BL20*L20</f>
        <v>85</v>
      </c>
    </row>
    <row r="21" spans="1:65" x14ac:dyDescent="0.2">
      <c r="A21" s="20">
        <f>A20+1</f>
        <v>2</v>
      </c>
      <c r="B21" s="27" t="s">
        <v>86</v>
      </c>
      <c r="C21" s="29">
        <v>0.25</v>
      </c>
      <c r="D21" s="30" t="s">
        <v>107</v>
      </c>
      <c r="E21" s="31" t="s">
        <v>203</v>
      </c>
      <c r="F21" s="28" t="s">
        <v>108</v>
      </c>
      <c r="G21" s="144">
        <v>20</v>
      </c>
      <c r="H21" s="81">
        <v>40376</v>
      </c>
      <c r="I21" s="81">
        <v>40378</v>
      </c>
      <c r="J21" s="83">
        <f>L21/M21</f>
        <v>1.25</v>
      </c>
      <c r="K21" s="32">
        <v>16</v>
      </c>
      <c r="L21" s="33">
        <f t="shared" si="1"/>
        <v>1.25</v>
      </c>
      <c r="M21" s="34">
        <v>1</v>
      </c>
      <c r="N21" s="34"/>
      <c r="O21" s="35">
        <f t="shared" si="2"/>
        <v>8.75</v>
      </c>
      <c r="P21" s="35">
        <f t="shared" si="3"/>
        <v>0</v>
      </c>
      <c r="Q21" s="34">
        <v>2</v>
      </c>
      <c r="R21" s="83">
        <f ca="1">IF(AND(O21&gt;0,Q21&gt;0),SUMIF('Исходные данные'!$C$13:H14,Q21,'Исходные данные'!$C$17:$H$17),IF(O21=0,0,IF(Q21=0,"РОТ")))</f>
        <v>126.44557526609226</v>
      </c>
      <c r="S21" s="34"/>
      <c r="T21" s="33"/>
      <c r="U21" s="130">
        <f ca="1">O21*R21*'Исходные данные'!$C$37%</f>
        <v>0</v>
      </c>
      <c r="V21" s="130">
        <f>P21*T21*'Исходные данные'!$C$38%</f>
        <v>0</v>
      </c>
      <c r="W21" s="130">
        <f t="shared" ca="1" si="4"/>
        <v>442.55951343132296</v>
      </c>
      <c r="X21" s="131">
        <f t="shared" si="5"/>
        <v>0</v>
      </c>
      <c r="Y21" s="130">
        <f t="shared" ca="1" si="6"/>
        <v>154.89582970096305</v>
      </c>
      <c r="Z21" s="131">
        <f t="shared" si="7"/>
        <v>0</v>
      </c>
      <c r="AA21" s="130">
        <f t="shared" ca="1" si="8"/>
        <v>110.63987835783074</v>
      </c>
      <c r="AB21" s="131">
        <f t="shared" si="9"/>
        <v>0</v>
      </c>
      <c r="AC21" s="129">
        <v>2.8</v>
      </c>
      <c r="AD21" s="130">
        <f t="shared" ca="1" si="10"/>
        <v>5080.5832141915871</v>
      </c>
      <c r="AE21" s="130">
        <f t="shared" si="11"/>
        <v>0</v>
      </c>
      <c r="AF21" s="35">
        <f t="shared" ca="1" si="12"/>
        <v>759.16760671828308</v>
      </c>
      <c r="AG21" s="73"/>
      <c r="AH21" s="35">
        <f t="shared" ca="1" si="13"/>
        <v>5839.7508209098705</v>
      </c>
      <c r="AI21" s="35"/>
      <c r="AJ21" s="35">
        <f t="shared" ca="1" si="14"/>
        <v>1751.9252462729612</v>
      </c>
      <c r="AK21" s="73"/>
      <c r="AL21" s="35">
        <f t="shared" ca="1" si="15"/>
        <v>7591.6760671828315</v>
      </c>
      <c r="AM21" s="73"/>
      <c r="AN21" s="33">
        <v>1.8</v>
      </c>
      <c r="AO21" s="33" t="e">
        <f>Нормы!#REF!</f>
        <v>#REF!</v>
      </c>
      <c r="AP21" s="79" t="e">
        <f>(G21*AN21)*AO21/100</f>
        <v>#REF!</v>
      </c>
      <c r="AQ21" s="33" t="s">
        <v>155</v>
      </c>
      <c r="AR21" s="83" t="e">
        <f>'Исходные данные'!#REF!</f>
        <v>#REF!</v>
      </c>
      <c r="AS21" s="36" t="e">
        <f>AP21*AR21</f>
        <v>#REF!</v>
      </c>
      <c r="AT21" s="36"/>
      <c r="AU21" s="36"/>
      <c r="AV21" s="36"/>
      <c r="AW21" s="36"/>
      <c r="AX21" s="36">
        <f>аморт!$G$11</f>
        <v>181.91312849162011</v>
      </c>
      <c r="AY21" s="36">
        <f t="shared" si="16"/>
        <v>227.39141061452514</v>
      </c>
      <c r="AZ21" s="36">
        <f>аморт!$G$38</f>
        <v>144.06779999999998</v>
      </c>
      <c r="BA21" s="36">
        <f t="shared" si="17"/>
        <v>180.08474999999999</v>
      </c>
      <c r="BB21" s="38">
        <v>82.4</v>
      </c>
      <c r="BC21" s="36">
        <f t="shared" si="18"/>
        <v>525.30000000000007</v>
      </c>
      <c r="BD21" s="38">
        <v>13.9</v>
      </c>
      <c r="BE21" s="36">
        <f t="shared" si="19"/>
        <v>88.612499999999997</v>
      </c>
      <c r="BF21" s="38">
        <f>4.8*1.045*1.054</f>
        <v>5.2868639999999996</v>
      </c>
      <c r="BG21" s="36">
        <f t="shared" si="20"/>
        <v>33.703758000000001</v>
      </c>
      <c r="BH21" s="36">
        <f>аморт!$C$38*10%/аморт!$E$38*L21*7</f>
        <v>3025.4237999999996</v>
      </c>
      <c r="BI21" s="36" t="e">
        <f t="shared" ca="1" si="21"/>
        <v>#REF!</v>
      </c>
      <c r="BJ21" s="36" t="e">
        <f t="shared" ca="1" si="22"/>
        <v>#REF!</v>
      </c>
      <c r="BK21" s="38">
        <f t="shared" si="23"/>
        <v>8.7499999999999994E-2</v>
      </c>
      <c r="BL21" s="38">
        <v>5.0999999999999996</v>
      </c>
      <c r="BM21" s="39">
        <f t="shared" si="24"/>
        <v>6.375</v>
      </c>
    </row>
    <row r="22" spans="1:65" x14ac:dyDescent="0.2">
      <c r="A22" s="20">
        <f>A21+1</f>
        <v>3</v>
      </c>
      <c r="B22" s="27" t="s">
        <v>87</v>
      </c>
      <c r="C22" s="29">
        <v>2.3809523809523809</v>
      </c>
      <c r="D22" s="30" t="s">
        <v>107</v>
      </c>
      <c r="E22" s="31" t="s">
        <v>203</v>
      </c>
      <c r="F22" s="28" t="s">
        <v>108</v>
      </c>
      <c r="G22" s="144">
        <v>100</v>
      </c>
      <c r="H22" s="81">
        <v>40377</v>
      </c>
      <c r="I22" s="81">
        <v>40379</v>
      </c>
      <c r="J22" s="83">
        <f>L22/M22</f>
        <v>2.3809523809523809</v>
      </c>
      <c r="K22" s="32">
        <v>14</v>
      </c>
      <c r="L22" s="33">
        <f t="shared" si="1"/>
        <v>7.1428571428571432</v>
      </c>
      <c r="M22" s="34">
        <v>3</v>
      </c>
      <c r="N22" s="34"/>
      <c r="O22" s="35">
        <f t="shared" si="2"/>
        <v>50</v>
      </c>
      <c r="P22" s="35">
        <f t="shared" si="3"/>
        <v>0</v>
      </c>
      <c r="Q22" s="34">
        <v>2</v>
      </c>
      <c r="R22" s="83">
        <f ca="1">IF(AND(O22&gt;0,Q22&gt;0),SUMIF('Исходные данные'!$C$13:H15,Q22,'Исходные данные'!$C$17:$H$17),IF(O22=0,0,IF(Q22=0,"РОТ")))</f>
        <v>126.44557526609226</v>
      </c>
      <c r="S22" s="34"/>
      <c r="T22" s="33"/>
      <c r="U22" s="130">
        <f ca="1">O22*R22*'Исходные данные'!$C$37%</f>
        <v>0</v>
      </c>
      <c r="V22" s="130">
        <f>P22*T22*'Исходные данные'!$C$38%</f>
        <v>0</v>
      </c>
      <c r="W22" s="130">
        <f t="shared" ca="1" si="4"/>
        <v>2528.9115053218452</v>
      </c>
      <c r="X22" s="131">
        <f t="shared" si="5"/>
        <v>0</v>
      </c>
      <c r="Y22" s="130">
        <f t="shared" ca="1" si="6"/>
        <v>885.11902686264591</v>
      </c>
      <c r="Z22" s="131">
        <f t="shared" si="7"/>
        <v>0</v>
      </c>
      <c r="AA22" s="130">
        <f t="shared" ca="1" si="8"/>
        <v>632.2278763304613</v>
      </c>
      <c r="AB22" s="131">
        <f t="shared" si="9"/>
        <v>0</v>
      </c>
      <c r="AC22" s="129">
        <v>2.8</v>
      </c>
      <c r="AD22" s="130">
        <f t="shared" ca="1" si="10"/>
        <v>29031.904081094781</v>
      </c>
      <c r="AE22" s="130">
        <f t="shared" si="11"/>
        <v>0</v>
      </c>
      <c r="AF22" s="35">
        <f t="shared" ca="1" si="12"/>
        <v>4338.1006098187599</v>
      </c>
      <c r="AG22" s="73"/>
      <c r="AH22" s="35">
        <f t="shared" ca="1" si="13"/>
        <v>33370.004690913542</v>
      </c>
      <c r="AI22" s="35"/>
      <c r="AJ22" s="35">
        <f t="shared" ca="1" si="14"/>
        <v>10011.001407274061</v>
      </c>
      <c r="AK22" s="73"/>
      <c r="AL22" s="35">
        <f t="shared" ca="1" si="15"/>
        <v>43381.006098187601</v>
      </c>
      <c r="AM22" s="73"/>
      <c r="AN22" s="32">
        <v>2.8</v>
      </c>
      <c r="AO22" s="33" t="e">
        <f>Нормы!#REF!</f>
        <v>#REF!</v>
      </c>
      <c r="AP22" s="79" t="e">
        <f>(G22*AN22)*AO22/100</f>
        <v>#REF!</v>
      </c>
      <c r="AQ22" s="33" t="s">
        <v>155</v>
      </c>
      <c r="AR22" s="83" t="e">
        <f>'Исходные данные'!#REF!</f>
        <v>#REF!</v>
      </c>
      <c r="AS22" s="36" t="e">
        <f>AP22*AR22</f>
        <v>#REF!</v>
      </c>
      <c r="AT22" s="36"/>
      <c r="AU22" s="36"/>
      <c r="AV22" s="36"/>
      <c r="AW22" s="36"/>
      <c r="AX22" s="36">
        <f>аморт!$G$11</f>
        <v>181.91312849162011</v>
      </c>
      <c r="AY22" s="36">
        <f t="shared" si="16"/>
        <v>1299.3794892258579</v>
      </c>
      <c r="AZ22" s="36">
        <f>аморт!$G$38</f>
        <v>144.06779999999998</v>
      </c>
      <c r="BA22" s="36">
        <f t="shared" si="17"/>
        <v>1029.0557142857142</v>
      </c>
      <c r="BB22" s="38">
        <v>82.4</v>
      </c>
      <c r="BC22" s="36">
        <f t="shared" si="18"/>
        <v>3001.7142857142862</v>
      </c>
      <c r="BD22" s="38">
        <v>13.9</v>
      </c>
      <c r="BE22" s="36">
        <f t="shared" si="19"/>
        <v>506.35714285714289</v>
      </c>
      <c r="BF22" s="38">
        <f>4.8*1.045*1.054</f>
        <v>5.2868639999999996</v>
      </c>
      <c r="BG22" s="36">
        <f t="shared" si="20"/>
        <v>192.59290285714286</v>
      </c>
      <c r="BH22" s="36">
        <f>аморт!$C$38*10%/аморт!$E$38*L22*7</f>
        <v>17288.135999999999</v>
      </c>
      <c r="BI22" s="36" t="e">
        <f t="shared" ca="1" si="21"/>
        <v>#REF!</v>
      </c>
      <c r="BJ22" s="36" t="e">
        <f t="shared" ca="1" si="22"/>
        <v>#REF!</v>
      </c>
      <c r="BK22" s="38">
        <f t="shared" si="23"/>
        <v>0.5</v>
      </c>
      <c r="BL22" s="38">
        <v>5.0999999999999996</v>
      </c>
      <c r="BM22" s="39">
        <f t="shared" si="24"/>
        <v>36.428571428571431</v>
      </c>
    </row>
    <row r="23" spans="1:65" ht="22.5" x14ac:dyDescent="0.2">
      <c r="A23" s="20">
        <f>A22+1</f>
        <v>4</v>
      </c>
      <c r="B23" s="27" t="s">
        <v>204</v>
      </c>
      <c r="C23" s="29">
        <v>4.6296296296296298</v>
      </c>
      <c r="D23" s="30" t="s">
        <v>107</v>
      </c>
      <c r="E23" s="31" t="s">
        <v>205</v>
      </c>
      <c r="F23" s="28" t="s">
        <v>108</v>
      </c>
      <c r="G23" s="144">
        <v>100</v>
      </c>
      <c r="H23" s="81">
        <v>40378</v>
      </c>
      <c r="I23" s="81">
        <v>40380</v>
      </c>
      <c r="J23" s="83">
        <f>L23/N23</f>
        <v>13.888888888888889</v>
      </c>
      <c r="K23" s="32">
        <v>7.2</v>
      </c>
      <c r="L23" s="33">
        <f t="shared" si="1"/>
        <v>13.888888888888889</v>
      </c>
      <c r="M23" s="34">
        <v>5</v>
      </c>
      <c r="N23" s="34">
        <v>1</v>
      </c>
      <c r="O23" s="35">
        <f t="shared" si="2"/>
        <v>97.222222222222229</v>
      </c>
      <c r="P23" s="35">
        <f t="shared" si="3"/>
        <v>97.222222222222229</v>
      </c>
      <c r="Q23" s="34">
        <v>5</v>
      </c>
      <c r="R23" s="83">
        <f>'Исходные данные'!$G$25</f>
        <v>219.30404460212878</v>
      </c>
      <c r="S23" s="34">
        <v>4</v>
      </c>
      <c r="T23" s="83">
        <f ca="1">IF(AND(N23&gt;0,P23&gt;0),SUMIF('Исходные данные'!$C$13:$J$29,S23,'Исходные данные'!$C$33:$J$39),IF(N23=0,0,IF(S23=0,"РОТ")))</f>
        <v>123.48200709579322</v>
      </c>
      <c r="U23" s="130">
        <f>O23*R23*'Исходные данные'!$C$37%</f>
        <v>0</v>
      </c>
      <c r="V23" s="130">
        <f ca="1">P23*T23*'Исходные данные'!$C$38%</f>
        <v>0</v>
      </c>
      <c r="W23" s="130">
        <f t="shared" si="4"/>
        <v>8528.4906234161208</v>
      </c>
      <c r="X23" s="131">
        <f t="shared" ca="1" si="5"/>
        <v>4802.0780537252931</v>
      </c>
      <c r="Y23" s="130">
        <f t="shared" si="6"/>
        <v>2984.9717181956421</v>
      </c>
      <c r="Z23" s="131">
        <f t="shared" ca="1" si="7"/>
        <v>840.36365940192627</v>
      </c>
      <c r="AA23" s="130">
        <f t="shared" si="8"/>
        <v>2132.1226558540302</v>
      </c>
      <c r="AB23" s="131">
        <f t="shared" ca="1" si="9"/>
        <v>1200.5195134313233</v>
      </c>
      <c r="AC23" s="129">
        <v>2.8</v>
      </c>
      <c r="AD23" s="130">
        <f t="shared" si="10"/>
        <v>97907.072356817051</v>
      </c>
      <c r="AE23" s="130">
        <f t="shared" ca="1" si="11"/>
        <v>52774.837810440964</v>
      </c>
      <c r="AF23" s="35">
        <f t="shared" ca="1" si="12"/>
        <v>14629.792421133581</v>
      </c>
      <c r="AG23" s="73">
        <f t="shared" ca="1" si="12"/>
        <v>7885.8953050084192</v>
      </c>
      <c r="AH23" s="35">
        <f t="shared" ca="1" si="13"/>
        <v>112536.86477795063</v>
      </c>
      <c r="AI23" s="35">
        <f t="shared" ca="1" si="13"/>
        <v>60660.73311544938</v>
      </c>
      <c r="AJ23" s="35">
        <f t="shared" ca="1" si="14"/>
        <v>33761.059433385184</v>
      </c>
      <c r="AK23" s="73">
        <f t="shared" ca="1" si="14"/>
        <v>18198.219934634813</v>
      </c>
      <c r="AL23" s="35">
        <f t="shared" ca="1" si="15"/>
        <v>146297.92421133581</v>
      </c>
      <c r="AM23" s="73">
        <f ca="1">AK23+AI23</f>
        <v>78858.953050084194</v>
      </c>
      <c r="AN23" s="32">
        <v>7.5</v>
      </c>
      <c r="AO23" s="33" t="e">
        <f>Нормы!#REF!</f>
        <v>#REF!</v>
      </c>
      <c r="AP23" s="79" t="e">
        <f>(G23*AN23)*AO23/100</f>
        <v>#REF!</v>
      </c>
      <c r="AQ23" s="33" t="s">
        <v>155</v>
      </c>
      <c r="AR23" s="83" t="e">
        <f>'Исходные данные'!#REF!</f>
        <v>#REF!</v>
      </c>
      <c r="AS23" s="36" t="e">
        <f>AP23*AR23</f>
        <v>#REF!</v>
      </c>
      <c r="AT23" s="36"/>
      <c r="AU23" s="36"/>
      <c r="AV23" s="36"/>
      <c r="AW23" s="36"/>
      <c r="AX23" s="36">
        <f>аморт!$G$11</f>
        <v>181.91312849162011</v>
      </c>
      <c r="AY23" s="36">
        <f t="shared" si="16"/>
        <v>2526.5712290502793</v>
      </c>
      <c r="AZ23" s="36">
        <f>аморт!G92</f>
        <v>62.879082666666662</v>
      </c>
      <c r="BA23" s="36">
        <f t="shared" si="17"/>
        <v>873.32059259259256</v>
      </c>
      <c r="BB23" s="38">
        <v>82.4</v>
      </c>
      <c r="BC23" s="36">
        <f t="shared" si="18"/>
        <v>5836.666666666667</v>
      </c>
      <c r="BD23" s="38">
        <v>13.9</v>
      </c>
      <c r="BE23" s="36">
        <f t="shared" si="19"/>
        <v>984.58333333333326</v>
      </c>
      <c r="BF23" s="38">
        <f>4.8*1.045*1.054</f>
        <v>5.2868639999999996</v>
      </c>
      <c r="BG23" s="36">
        <f t="shared" si="20"/>
        <v>374.48619999999994</v>
      </c>
      <c r="BH23" s="36">
        <f>аморт!C92*10%/аморт!E92*L23*7</f>
        <v>334911.11111111112</v>
      </c>
      <c r="BI23" s="36" t="e">
        <f t="shared" ca="1" si="21"/>
        <v>#REF!</v>
      </c>
      <c r="BJ23" s="36" t="e">
        <f t="shared" ca="1" si="22"/>
        <v>#REF!</v>
      </c>
      <c r="BK23" s="38">
        <f t="shared" si="23"/>
        <v>1.9444444444444446</v>
      </c>
      <c r="BL23" s="38">
        <v>5.0999999999999996</v>
      </c>
      <c r="BM23" s="39">
        <f t="shared" si="24"/>
        <v>70.833333333333329</v>
      </c>
    </row>
    <row r="24" spans="1:65" ht="22.5" x14ac:dyDescent="0.2">
      <c r="A24" s="20">
        <f>A23+1</f>
        <v>5</v>
      </c>
      <c r="B24" s="27" t="s">
        <v>88</v>
      </c>
      <c r="C24" s="29">
        <v>2.9803921568627452</v>
      </c>
      <c r="D24" s="132" t="s">
        <v>120</v>
      </c>
      <c r="E24" s="31" t="s">
        <v>206</v>
      </c>
      <c r="F24" s="28" t="s">
        <v>111</v>
      </c>
      <c r="G24" s="144">
        <v>116.23529411764707</v>
      </c>
      <c r="H24" s="81">
        <v>40378</v>
      </c>
      <c r="I24" s="81">
        <v>40380</v>
      </c>
      <c r="J24" s="83">
        <f>L24/N24</f>
        <v>8.9411764705882355</v>
      </c>
      <c r="K24" s="32">
        <v>13</v>
      </c>
      <c r="L24" s="33">
        <f t="shared" si="1"/>
        <v>8.9411764705882355</v>
      </c>
      <c r="M24" s="34">
        <v>3</v>
      </c>
      <c r="N24" s="34">
        <v>1</v>
      </c>
      <c r="O24" s="35">
        <f t="shared" si="2"/>
        <v>62.588235294117652</v>
      </c>
      <c r="P24" s="35">
        <f t="shared" si="3"/>
        <v>62.588235294117652</v>
      </c>
      <c r="Q24" s="34">
        <v>5</v>
      </c>
      <c r="R24" s="83">
        <f>'Исходные данные'!$G$25</f>
        <v>219.30404460212878</v>
      </c>
      <c r="S24" s="34">
        <v>4</v>
      </c>
      <c r="T24" s="83">
        <f ca="1">IF(AND(N24&gt;0,P24&gt;0),SUMIF('Исходные данные'!$C$13:$J$29,S24,'Исходные данные'!$C$33:$J$39),IF(N24=0,0,IF(S24=0,"РОТ")))</f>
        <v>123.48200709579322</v>
      </c>
      <c r="U24" s="130">
        <f>O24*R24*'Исходные данные'!$C$37%</f>
        <v>0</v>
      </c>
      <c r="V24" s="130">
        <f ca="1">P24*T24*'Исходные данные'!$C$38%</f>
        <v>0</v>
      </c>
      <c r="W24" s="130">
        <f t="shared" si="4"/>
        <v>5490.3412578038842</v>
      </c>
      <c r="X24" s="131">
        <f t="shared" ca="1" si="5"/>
        <v>3091.4083658805648</v>
      </c>
      <c r="Y24" s="130">
        <f t="shared" si="6"/>
        <v>1921.6194402313595</v>
      </c>
      <c r="Z24" s="131">
        <f t="shared" ca="1" si="7"/>
        <v>540.99646402909889</v>
      </c>
      <c r="AA24" s="130">
        <f t="shared" si="8"/>
        <v>1372.5853144509711</v>
      </c>
      <c r="AB24" s="131">
        <f t="shared" ca="1" si="9"/>
        <v>772.8520914701412</v>
      </c>
      <c r="AC24" s="129">
        <v>2.8</v>
      </c>
      <c r="AD24" s="130">
        <f t="shared" si="10"/>
        <v>63029.117639588585</v>
      </c>
      <c r="AE24" s="130">
        <f t="shared" ca="1" si="11"/>
        <v>33974.577941027404</v>
      </c>
      <c r="AF24" s="35">
        <f t="shared" ca="1" si="12"/>
        <v>9418.1440151109364</v>
      </c>
      <c r="AG24" s="73">
        <f t="shared" ca="1" si="12"/>
        <v>5076.6610716477726</v>
      </c>
      <c r="AH24" s="35">
        <f t="shared" ca="1" si="13"/>
        <v>72447.261654699527</v>
      </c>
      <c r="AI24" s="35">
        <f t="shared" ca="1" si="13"/>
        <v>39051.239012675178</v>
      </c>
      <c r="AJ24" s="35">
        <f t="shared" ca="1" si="14"/>
        <v>21734.178496409859</v>
      </c>
      <c r="AK24" s="73">
        <f t="shared" ca="1" si="14"/>
        <v>11715.371703802553</v>
      </c>
      <c r="AL24" s="35">
        <f t="shared" ca="1" si="15"/>
        <v>94181.440151109389</v>
      </c>
      <c r="AM24" s="73">
        <f ca="1">AK24+AI24</f>
        <v>50766.610716477735</v>
      </c>
      <c r="AN24" s="32"/>
      <c r="AO24" s="33" t="e">
        <f>Нормы!#REF!</f>
        <v>#REF!</v>
      </c>
      <c r="AP24" s="79"/>
      <c r="AQ24" s="33"/>
      <c r="AR24" s="83"/>
      <c r="AS24" s="36"/>
      <c r="AT24" s="36"/>
      <c r="AU24" s="36"/>
      <c r="AV24" s="36"/>
      <c r="AW24" s="36"/>
      <c r="AX24" s="36"/>
      <c r="AY24" s="36">
        <f t="shared" si="16"/>
        <v>0</v>
      </c>
      <c r="AZ24" s="36"/>
      <c r="BA24" s="36">
        <f t="shared" si="17"/>
        <v>0</v>
      </c>
      <c r="BB24" s="36"/>
      <c r="BC24" s="36">
        <f t="shared" si="18"/>
        <v>0</v>
      </c>
      <c r="BD24" s="36"/>
      <c r="BE24" s="36">
        <f t="shared" si="19"/>
        <v>0</v>
      </c>
      <c r="BF24" s="36"/>
      <c r="BG24" s="36">
        <f t="shared" si="20"/>
        <v>0</v>
      </c>
      <c r="BH24" s="36"/>
      <c r="BI24" s="36">
        <f t="shared" ca="1" si="21"/>
        <v>144948.05086758712</v>
      </c>
      <c r="BJ24" s="36">
        <f t="shared" ca="1" si="22"/>
        <v>1449.4805086758713</v>
      </c>
      <c r="BK24" s="38">
        <f t="shared" si="23"/>
        <v>1.2517647058823531</v>
      </c>
      <c r="BL24" s="38"/>
      <c r="BM24" s="39">
        <f t="shared" si="24"/>
        <v>0</v>
      </c>
    </row>
    <row r="25" spans="1:65" ht="22.5" x14ac:dyDescent="0.2">
      <c r="A25" s="20">
        <f>A24+1</f>
        <v>6</v>
      </c>
      <c r="B25" s="27" t="s">
        <v>89</v>
      </c>
      <c r="C25" s="29">
        <v>4.6849379245724992E-2</v>
      </c>
      <c r="D25" s="30" t="s">
        <v>107</v>
      </c>
      <c r="E25" s="31" t="s">
        <v>207</v>
      </c>
      <c r="F25" s="28" t="s">
        <v>108</v>
      </c>
      <c r="G25" s="144">
        <v>20</v>
      </c>
      <c r="H25" s="81">
        <v>40380</v>
      </c>
      <c r="I25" s="81">
        <v>40381</v>
      </c>
      <c r="J25" s="83">
        <f>L25/M25</f>
        <v>0.14054813773717498</v>
      </c>
      <c r="K25" s="32">
        <v>142.30000000000001</v>
      </c>
      <c r="L25" s="33">
        <f t="shared" si="1"/>
        <v>0.14054813773717498</v>
      </c>
      <c r="M25" s="34">
        <v>1</v>
      </c>
      <c r="N25" s="34"/>
      <c r="O25" s="35">
        <f t="shared" si="2"/>
        <v>0.98383696416022481</v>
      </c>
      <c r="P25" s="35">
        <f t="shared" si="3"/>
        <v>0</v>
      </c>
      <c r="Q25" s="34">
        <v>2</v>
      </c>
      <c r="R25" s="83">
        <f ca="1">IF(AND(O25&gt;0,Q25&gt;0),SUMIF('Исходные данные'!$C$13:H26,Q25,'Исходные данные'!$C$17:$H$17),IF(O25=0,0,IF(Q25=0,"РОТ")))</f>
        <v>128.66557526609228</v>
      </c>
      <c r="S25" s="34"/>
      <c r="T25" s="33"/>
      <c r="U25" s="130">
        <f ca="1">O25*R25*'Исходные данные'!$C$37%</f>
        <v>0</v>
      </c>
      <c r="V25" s="130">
        <f>P25*T25*'Исходные данные'!$C$38%</f>
        <v>0</v>
      </c>
      <c r="W25" s="130">
        <f t="shared" ca="1" si="4"/>
        <v>50.634379584688453</v>
      </c>
      <c r="X25" s="131">
        <f t="shared" si="5"/>
        <v>0</v>
      </c>
      <c r="Y25" s="130">
        <f t="shared" ca="1" si="6"/>
        <v>17.722032854640958</v>
      </c>
      <c r="Z25" s="131">
        <f t="shared" si="7"/>
        <v>0</v>
      </c>
      <c r="AA25" s="130">
        <f t="shared" ca="1" si="8"/>
        <v>12.658594896172113</v>
      </c>
      <c r="AB25" s="131">
        <f t="shared" si="9"/>
        <v>0</v>
      </c>
      <c r="AC25" s="129">
        <v>2.8</v>
      </c>
      <c r="AD25" s="130">
        <f t="shared" ca="1" si="10"/>
        <v>581.28267763222334</v>
      </c>
      <c r="AE25" s="130">
        <f t="shared" si="11"/>
        <v>0</v>
      </c>
      <c r="AF25" s="35">
        <f t="shared" ca="1" si="12"/>
        <v>86.858331140447163</v>
      </c>
      <c r="AG25" s="73"/>
      <c r="AH25" s="35">
        <f t="shared" ca="1" si="13"/>
        <v>668.14100877267049</v>
      </c>
      <c r="AI25" s="35">
        <f t="shared" si="13"/>
        <v>0</v>
      </c>
      <c r="AJ25" s="35">
        <f t="shared" ca="1" si="14"/>
        <v>200.44230263180114</v>
      </c>
      <c r="AK25" s="73"/>
      <c r="AL25" s="35">
        <f t="shared" ca="1" si="15"/>
        <v>868.5833114044716</v>
      </c>
      <c r="AM25" s="73">
        <f>AK25+AI25</f>
        <v>0</v>
      </c>
      <c r="AN25" s="32">
        <v>0.3</v>
      </c>
      <c r="AO25" s="33" t="e">
        <f>Нормы!#REF!</f>
        <v>#REF!</v>
      </c>
      <c r="AP25" s="79" t="e">
        <f>(G25*AN25)*AO25/100</f>
        <v>#REF!</v>
      </c>
      <c r="AQ25" s="33" t="s">
        <v>155</v>
      </c>
      <c r="AR25" s="83" t="e">
        <f>'Исходные данные'!#REF!</f>
        <v>#REF!</v>
      </c>
      <c r="AS25" s="36" t="e">
        <f>AP25*AR25</f>
        <v>#REF!</v>
      </c>
      <c r="AT25" s="36"/>
      <c r="AU25" s="36"/>
      <c r="AV25" s="36"/>
      <c r="AW25" s="36"/>
      <c r="AX25" s="36">
        <f>аморт!$G$11</f>
        <v>181.91312849162011</v>
      </c>
      <c r="AY25" s="36">
        <f t="shared" si="16"/>
        <v>25.567551439440635</v>
      </c>
      <c r="AZ25" s="36">
        <f>аморт!$G$40</f>
        <v>39.779508196721316</v>
      </c>
      <c r="BA25" s="36">
        <f t="shared" si="17"/>
        <v>5.5909357971498688</v>
      </c>
      <c r="BB25" s="38">
        <v>82.4</v>
      </c>
      <c r="BC25" s="36">
        <f t="shared" si="18"/>
        <v>59.06394940267041</v>
      </c>
      <c r="BD25" s="38">
        <v>13.9</v>
      </c>
      <c r="BE25" s="36">
        <f t="shared" si="19"/>
        <v>9.9634574841883339</v>
      </c>
      <c r="BF25" s="38">
        <f>4.8*1.045*1.054</f>
        <v>5.2868639999999996</v>
      </c>
      <c r="BG25" s="36">
        <f t="shared" si="20"/>
        <v>3.7896003373155298</v>
      </c>
      <c r="BH25" s="36">
        <f>аморт!$C$40*10%/аморт!$E$40*L25*7</f>
        <v>171.88773014757555</v>
      </c>
      <c r="BI25" s="36" t="e">
        <f t="shared" ca="1" si="21"/>
        <v>#REF!</v>
      </c>
      <c r="BJ25" s="36" t="e">
        <f t="shared" ca="1" si="22"/>
        <v>#REF!</v>
      </c>
      <c r="BK25" s="38">
        <f t="shared" si="23"/>
        <v>9.8383696416022483E-3</v>
      </c>
      <c r="BL25" s="38">
        <v>5.0999999999999996</v>
      </c>
      <c r="BM25" s="39">
        <f t="shared" si="24"/>
        <v>0.71679550245959234</v>
      </c>
    </row>
    <row r="26" spans="1:65" s="54" customFormat="1" x14ac:dyDescent="0.2">
      <c r="A26" s="63"/>
      <c r="B26" s="53" t="s">
        <v>22</v>
      </c>
      <c r="C26" s="53"/>
      <c r="D26" s="53"/>
      <c r="E26" s="53"/>
      <c r="F26" s="55"/>
      <c r="G26" s="145"/>
      <c r="H26" s="64"/>
      <c r="I26" s="64"/>
      <c r="J26" s="57">
        <f>SUM(J20:J25)</f>
        <v>29.934899211500014</v>
      </c>
      <c r="K26" s="57"/>
      <c r="L26" s="57">
        <f>SUM(L20:L25)</f>
        <v>48.030137306738105</v>
      </c>
      <c r="M26" s="57">
        <f t="shared" ref="M26:BM26" si="25">SUM(M20:M25)</f>
        <v>18</v>
      </c>
      <c r="N26" s="57">
        <f t="shared" si="25"/>
        <v>2</v>
      </c>
      <c r="O26" s="57">
        <f t="shared" si="25"/>
        <v>336.21096114716681</v>
      </c>
      <c r="P26" s="57">
        <f t="shared" si="25"/>
        <v>159.81045751633988</v>
      </c>
      <c r="Q26" s="57"/>
      <c r="R26" s="57"/>
      <c r="S26" s="57"/>
      <c r="T26" s="57"/>
      <c r="U26" s="57">
        <f t="shared" ca="1" si="25"/>
        <v>0</v>
      </c>
      <c r="V26" s="57">
        <f t="shared" ca="1" si="25"/>
        <v>0</v>
      </c>
      <c r="W26" s="57">
        <f t="shared" ca="1" si="25"/>
        <v>24324.729271448385</v>
      </c>
      <c r="X26" s="57">
        <f t="shared" ca="1" si="25"/>
        <v>7893.4864196058579</v>
      </c>
      <c r="Y26" s="57">
        <f t="shared" ca="1" si="25"/>
        <v>8513.6552450069339</v>
      </c>
      <c r="Z26" s="57">
        <f t="shared" ca="1" si="25"/>
        <v>1381.3601234310252</v>
      </c>
      <c r="AA26" s="57">
        <f t="shared" ca="1" si="25"/>
        <v>6081.1823178620962</v>
      </c>
      <c r="AB26" s="57">
        <f t="shared" ca="1" si="25"/>
        <v>1973.3716049014645</v>
      </c>
      <c r="AC26" s="57"/>
      <c r="AD26" s="57">
        <f t="shared" ca="1" si="25"/>
        <v>279247.89203622745</v>
      </c>
      <c r="AE26" s="57">
        <f t="shared" ca="1" si="25"/>
        <v>86749.415751468361</v>
      </c>
      <c r="AF26" s="57">
        <f t="shared" ca="1" si="25"/>
        <v>41726.696511160415</v>
      </c>
      <c r="AG26" s="57">
        <f t="shared" ca="1" si="25"/>
        <v>12962.556376656192</v>
      </c>
      <c r="AH26" s="57">
        <f t="shared" ca="1" si="25"/>
        <v>320974.5885473878</v>
      </c>
      <c r="AI26" s="57">
        <f t="shared" ca="1" si="25"/>
        <v>99711.972128124558</v>
      </c>
      <c r="AJ26" s="57">
        <f t="shared" ca="1" si="25"/>
        <v>96292.376564216349</v>
      </c>
      <c r="AK26" s="57">
        <f t="shared" ca="1" si="25"/>
        <v>29913.591638437367</v>
      </c>
      <c r="AL26" s="57">
        <f t="shared" ca="1" si="25"/>
        <v>417266.96511160408</v>
      </c>
      <c r="AM26" s="57">
        <f t="shared" ca="1" si="25"/>
        <v>129625.56376656193</v>
      </c>
      <c r="AN26" s="57"/>
      <c r="AO26" s="57"/>
      <c r="AP26" s="57" t="e">
        <f t="shared" si="25"/>
        <v>#REF!</v>
      </c>
      <c r="AQ26" s="57"/>
      <c r="AR26" s="57"/>
      <c r="AS26" s="57" t="e">
        <f t="shared" si="25"/>
        <v>#REF!</v>
      </c>
      <c r="AT26" s="57"/>
      <c r="AU26" s="57"/>
      <c r="AV26" s="57"/>
      <c r="AW26" s="57"/>
      <c r="AX26" s="57"/>
      <c r="AY26" s="57">
        <f t="shared" si="25"/>
        <v>7110.7951551904389</v>
      </c>
      <c r="AZ26" s="57"/>
      <c r="BA26" s="57">
        <f t="shared" si="25"/>
        <v>2812.2749093421235</v>
      </c>
      <c r="BB26" s="57"/>
      <c r="BC26" s="57">
        <f t="shared" si="25"/>
        <v>16426.744901783622</v>
      </c>
      <c r="BD26" s="57"/>
      <c r="BE26" s="57">
        <f t="shared" si="25"/>
        <v>2771.0164336746648</v>
      </c>
      <c r="BF26" s="57"/>
      <c r="BG26" s="57">
        <f t="shared" si="25"/>
        <v>1053.9559011944582</v>
      </c>
      <c r="BH26" s="57">
        <f t="shared" si="25"/>
        <v>420286.93197459204</v>
      </c>
      <c r="BI26" s="57" t="e">
        <f t="shared" ca="1" si="25"/>
        <v>#REF!</v>
      </c>
      <c r="BJ26" s="57"/>
      <c r="BK26" s="57"/>
      <c r="BL26" s="57"/>
      <c r="BM26" s="57">
        <f t="shared" si="25"/>
        <v>199.35370026436436</v>
      </c>
    </row>
    <row r="27" spans="1:65" ht="22.5" customHeight="1" x14ac:dyDescent="0.2">
      <c r="A27" s="20"/>
      <c r="B27" s="473" t="s">
        <v>100</v>
      </c>
      <c r="C27" s="473"/>
      <c r="D27" s="473"/>
      <c r="E27" s="473"/>
      <c r="F27" s="28"/>
      <c r="G27" s="144"/>
      <c r="H27" s="29"/>
      <c r="I27" s="29"/>
      <c r="J27" s="29"/>
      <c r="K27" s="32"/>
      <c r="L27" s="33"/>
      <c r="M27" s="34"/>
      <c r="N27" s="34"/>
      <c r="O27" s="35"/>
      <c r="P27" s="35"/>
      <c r="Q27" s="34"/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79"/>
      <c r="AQ27" s="37"/>
      <c r="AR27" s="37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9"/>
    </row>
    <row r="28" spans="1:65" x14ac:dyDescent="0.2">
      <c r="A28" s="20">
        <f>A27+1</f>
        <v>1</v>
      </c>
      <c r="B28" s="27" t="s">
        <v>78</v>
      </c>
      <c r="C28" s="29">
        <v>2.7777777777777781</v>
      </c>
      <c r="D28" s="30" t="s">
        <v>107</v>
      </c>
      <c r="E28" s="31" t="s">
        <v>202</v>
      </c>
      <c r="F28" s="28" t="s">
        <v>108</v>
      </c>
      <c r="G28" s="144">
        <v>100</v>
      </c>
      <c r="H28" s="81">
        <v>40374</v>
      </c>
      <c r="I28" s="81">
        <v>40379</v>
      </c>
      <c r="J28" s="83">
        <f t="shared" ref="J28:J33" si="26">L28/M28</f>
        <v>5.5555555555555562</v>
      </c>
      <c r="K28" s="32">
        <v>6</v>
      </c>
      <c r="L28" s="33">
        <f t="shared" ref="L28:L35" si="27">G28/K28</f>
        <v>16.666666666666668</v>
      </c>
      <c r="M28" s="34">
        <v>3</v>
      </c>
      <c r="N28" s="34"/>
      <c r="O28" s="35">
        <f t="shared" ref="O28:O35" si="28">IF(M28=0,0,L28*$O$15)</f>
        <v>116.66666666666667</v>
      </c>
      <c r="P28" s="35">
        <f t="shared" ref="P28:P35" si="29">IF(N28=0,0,L28*$O$15)</f>
        <v>0</v>
      </c>
      <c r="Q28" s="34">
        <v>4</v>
      </c>
      <c r="R28" s="83">
        <f ca="1">IF(AND(O28&gt;0,Q28&gt;0),SUMIF('Исходные данные'!$C$13:H29,Q28,'Исходные данные'!$C$17:$H$17),IF(O28=0,0,IF(Q28=0,"РОТ")))</f>
        <v>156.08125696908263</v>
      </c>
      <c r="S28" s="34"/>
      <c r="T28" s="33"/>
      <c r="U28" s="130">
        <f ca="1">O28*R28*'Исходные данные'!$C$37%</f>
        <v>0</v>
      </c>
      <c r="V28" s="130">
        <f>P28*T28*'Исходные данные'!$C$38%</f>
        <v>0</v>
      </c>
      <c r="W28" s="130">
        <f t="shared" ref="W28:W35" ca="1" si="30">O28*R28*$W$15</f>
        <v>7283.7919918905236</v>
      </c>
      <c r="X28" s="131">
        <f t="shared" ref="X28:X35" si="31">P28*T28*$W$15</f>
        <v>0</v>
      </c>
      <c r="Y28" s="130">
        <f t="shared" ref="Y28:Y35" ca="1" si="32">(O28*R28+U28+W28)*$Y$15</f>
        <v>2549.3271971616832</v>
      </c>
      <c r="Z28" s="131">
        <f t="shared" ref="Z28:Z35" si="33">(P28*T28+V28+X28)*$Z$15</f>
        <v>0</v>
      </c>
      <c r="AA28" s="130">
        <f t="shared" ref="AA28:AA35" ca="1" si="34">(O28*R28+U28)*$AA$15</f>
        <v>1820.9479979726309</v>
      </c>
      <c r="AB28" s="131">
        <f t="shared" ref="AB28:AB35" si="35">(P28*T28+V28)*$AA$15</f>
        <v>0</v>
      </c>
      <c r="AC28" s="129">
        <v>2.8</v>
      </c>
      <c r="AD28" s="130">
        <f t="shared" ref="AD28:AD35" ca="1" si="36">(O28*R28+U28+W28+Y28+AA28)*AC28</f>
        <v>83617.932066903202</v>
      </c>
      <c r="AE28" s="130">
        <f t="shared" ref="AE28:AE35" si="37">(P28*T28+V28+X28+Z28+AB28)*AC28</f>
        <v>0</v>
      </c>
      <c r="AF28" s="35">
        <f t="shared" ref="AF28:AF35" ca="1" si="38">AD28*$AF$15</f>
        <v>12494.633527238408</v>
      </c>
      <c r="AG28" s="73"/>
      <c r="AH28" s="35">
        <f t="shared" ref="AH28:AH35" ca="1" si="39">AD28+AF28</f>
        <v>96112.565594141604</v>
      </c>
      <c r="AI28" s="35"/>
      <c r="AJ28" s="35">
        <f t="shared" ref="AJ28:AJ35" ca="1" si="40">AH28*$AJ$15</f>
        <v>28833.769678242479</v>
      </c>
      <c r="AK28" s="73"/>
      <c r="AL28" s="35">
        <f t="shared" ref="AL28:AL35" ca="1" si="41">AH28+AJ28</f>
        <v>124946.33527238408</v>
      </c>
      <c r="AM28" s="73"/>
      <c r="AN28" s="32">
        <v>6.5</v>
      </c>
      <c r="AO28" s="33" t="e">
        <f>Нормы!#REF!</f>
        <v>#REF!</v>
      </c>
      <c r="AP28" s="79" t="e">
        <f t="shared" ref="AP28:AP35" si="42">(G28*AN28)*AO28/100</f>
        <v>#REF!</v>
      </c>
      <c r="AQ28" s="33" t="s">
        <v>155</v>
      </c>
      <c r="AR28" s="83" t="e">
        <f>'Исходные данные'!#REF!</f>
        <v>#REF!</v>
      </c>
      <c r="AS28" s="36" t="e">
        <f t="shared" ref="AS28:AS35" si="43">AP28*AR28</f>
        <v>#REF!</v>
      </c>
      <c r="AT28" s="36"/>
      <c r="AU28" s="36"/>
      <c r="AV28" s="36"/>
      <c r="AW28" s="36"/>
      <c r="AX28" s="36">
        <f>аморт!$G$11</f>
        <v>181.91312849162011</v>
      </c>
      <c r="AY28" s="36">
        <f t="shared" ref="AY28:AY35" si="44">AX28*L28</f>
        <v>3031.8854748603353</v>
      </c>
      <c r="AZ28" s="36">
        <f>аморт!$G$54</f>
        <v>43.453374999999994</v>
      </c>
      <c r="BA28" s="36">
        <f t="shared" ref="BA28:BA35" si="45">AZ28*L28</f>
        <v>724.22291666666661</v>
      </c>
      <c r="BB28" s="38">
        <v>82.4</v>
      </c>
      <c r="BC28" s="36">
        <f t="shared" ref="BC28:BC35" si="46">BB28*BM28</f>
        <v>7004.0000000000009</v>
      </c>
      <c r="BD28" s="38">
        <v>13.9</v>
      </c>
      <c r="BE28" s="36">
        <f t="shared" ref="BE28:BE35" si="47">BD28*BM28</f>
        <v>1181.5</v>
      </c>
      <c r="BF28" s="38">
        <f t="shared" ref="BF28:BF35" si="48">4.8*1.045*1.054</f>
        <v>5.2868639999999996</v>
      </c>
      <c r="BG28" s="36">
        <f t="shared" ref="BG28:BG35" si="49">BF28*BM28</f>
        <v>449.38343999999995</v>
      </c>
      <c r="BH28" s="36">
        <f>аморт!$C$54*10%/аморт!$E$54*L28*7</f>
        <v>64890.373333333344</v>
      </c>
      <c r="BI28" s="36" t="e">
        <f t="shared" ref="BI28:BI35" ca="1" si="50">AL28+AM28+AS28+AY28+BA28+BC28+BE28+BG28+BH28+AW28</f>
        <v>#REF!</v>
      </c>
      <c r="BJ28" s="36" t="e">
        <f t="shared" ref="BJ28:BJ35" ca="1" si="51">BI28/$D$5</f>
        <v>#REF!</v>
      </c>
      <c r="BK28" s="38">
        <f t="shared" ref="BK28:BK35" si="52">(O28+P28)/$D$5</f>
        <v>1.1666666666666667</v>
      </c>
      <c r="BL28" s="38">
        <v>5.0999999999999996</v>
      </c>
      <c r="BM28" s="39">
        <f t="shared" ref="BM28:BM35" si="53">BL28*L28</f>
        <v>85</v>
      </c>
    </row>
    <row r="29" spans="1:65" x14ac:dyDescent="0.2">
      <c r="A29" s="20">
        <f>A28+1</f>
        <v>2</v>
      </c>
      <c r="B29" s="27" t="s">
        <v>86</v>
      </c>
      <c r="C29" s="29">
        <v>0.20833333333333334</v>
      </c>
      <c r="D29" s="30" t="s">
        <v>107</v>
      </c>
      <c r="E29" s="31" t="s">
        <v>203</v>
      </c>
      <c r="F29" s="28" t="s">
        <v>108</v>
      </c>
      <c r="G29" s="144">
        <v>20</v>
      </c>
      <c r="H29" s="81">
        <v>40376</v>
      </c>
      <c r="I29" s="81">
        <v>40381</v>
      </c>
      <c r="J29" s="83">
        <f t="shared" si="26"/>
        <v>1.25</v>
      </c>
      <c r="K29" s="32">
        <v>16</v>
      </c>
      <c r="L29" s="33">
        <f t="shared" si="27"/>
        <v>1.25</v>
      </c>
      <c r="M29" s="34">
        <v>1</v>
      </c>
      <c r="N29" s="34"/>
      <c r="O29" s="35">
        <f t="shared" si="28"/>
        <v>8.75</v>
      </c>
      <c r="P29" s="35">
        <f t="shared" si="29"/>
        <v>0</v>
      </c>
      <c r="Q29" s="34">
        <v>2</v>
      </c>
      <c r="R29" s="83">
        <f ca="1">IF(AND(O29&gt;0,Q29&gt;0),SUMIF('Исходные данные'!$C$13:H29,Q29,'Исходные данные'!$C$17:$H$17),IF(O29=0,0,IF(Q29=0,"РОТ")))</f>
        <v>128.66557526609228</v>
      </c>
      <c r="S29" s="34"/>
      <c r="T29" s="33"/>
      <c r="U29" s="130">
        <f ca="1">O29*R29*'Исходные данные'!$C$37%</f>
        <v>0</v>
      </c>
      <c r="V29" s="130">
        <f>P29*T29*'Исходные данные'!$C$38%</f>
        <v>0</v>
      </c>
      <c r="W29" s="130">
        <f t="shared" ca="1" si="30"/>
        <v>450.32951343132299</v>
      </c>
      <c r="X29" s="131">
        <f t="shared" si="31"/>
        <v>0</v>
      </c>
      <c r="Y29" s="130">
        <f t="shared" ca="1" si="32"/>
        <v>157.61532970096306</v>
      </c>
      <c r="Z29" s="131">
        <f t="shared" si="33"/>
        <v>0</v>
      </c>
      <c r="AA29" s="130">
        <f t="shared" ca="1" si="34"/>
        <v>112.58237835783075</v>
      </c>
      <c r="AB29" s="131">
        <f t="shared" si="35"/>
        <v>0</v>
      </c>
      <c r="AC29" s="129">
        <v>2.8</v>
      </c>
      <c r="AD29" s="130">
        <f t="shared" ca="1" si="36"/>
        <v>5169.7828141915879</v>
      </c>
      <c r="AE29" s="130">
        <f t="shared" si="37"/>
        <v>0</v>
      </c>
      <c r="AF29" s="35">
        <f t="shared" ca="1" si="38"/>
        <v>772.49628258035216</v>
      </c>
      <c r="AG29" s="73"/>
      <c r="AH29" s="35">
        <f t="shared" ca="1" si="39"/>
        <v>5942.2790967719402</v>
      </c>
      <c r="AI29" s="35"/>
      <c r="AJ29" s="35">
        <f t="shared" ca="1" si="40"/>
        <v>1782.6837290315821</v>
      </c>
      <c r="AK29" s="73"/>
      <c r="AL29" s="35">
        <f t="shared" ca="1" si="41"/>
        <v>7724.9628258035227</v>
      </c>
      <c r="AM29" s="73"/>
      <c r="AN29" s="33">
        <v>1.8</v>
      </c>
      <c r="AO29" s="33" t="e">
        <f>Нормы!#REF!</f>
        <v>#REF!</v>
      </c>
      <c r="AP29" s="79" t="e">
        <f t="shared" si="42"/>
        <v>#REF!</v>
      </c>
      <c r="AQ29" s="33" t="s">
        <v>155</v>
      </c>
      <c r="AR29" s="83" t="e">
        <f>'Исходные данные'!#REF!</f>
        <v>#REF!</v>
      </c>
      <c r="AS29" s="36" t="e">
        <f t="shared" si="43"/>
        <v>#REF!</v>
      </c>
      <c r="AT29" s="36"/>
      <c r="AU29" s="36"/>
      <c r="AV29" s="36"/>
      <c r="AW29" s="36"/>
      <c r="AX29" s="36">
        <f>аморт!$G$11</f>
        <v>181.91312849162011</v>
      </c>
      <c r="AY29" s="36">
        <f t="shared" si="44"/>
        <v>227.39141061452514</v>
      </c>
      <c r="AZ29" s="36">
        <f>аморт!$G$38</f>
        <v>144.06779999999998</v>
      </c>
      <c r="BA29" s="36">
        <f t="shared" si="45"/>
        <v>180.08474999999999</v>
      </c>
      <c r="BB29" s="38">
        <v>82.4</v>
      </c>
      <c r="BC29" s="36">
        <f t="shared" si="46"/>
        <v>525.30000000000007</v>
      </c>
      <c r="BD29" s="38">
        <v>13.9</v>
      </c>
      <c r="BE29" s="36">
        <f t="shared" si="47"/>
        <v>88.612499999999997</v>
      </c>
      <c r="BF29" s="38">
        <f t="shared" si="48"/>
        <v>5.2868639999999996</v>
      </c>
      <c r="BG29" s="36">
        <f t="shared" si="49"/>
        <v>33.703758000000001</v>
      </c>
      <c r="BH29" s="36">
        <f>аморт!$C$38*10%/аморт!$E$38*L29*7</f>
        <v>3025.4237999999996</v>
      </c>
      <c r="BI29" s="36" t="e">
        <f t="shared" ca="1" si="50"/>
        <v>#REF!</v>
      </c>
      <c r="BJ29" s="36" t="e">
        <f t="shared" ca="1" si="51"/>
        <v>#REF!</v>
      </c>
      <c r="BK29" s="38">
        <f t="shared" si="52"/>
        <v>8.7499999999999994E-2</v>
      </c>
      <c r="BL29" s="38">
        <v>5.0999999999999996</v>
      </c>
      <c r="BM29" s="39">
        <f t="shared" si="53"/>
        <v>6.375</v>
      </c>
    </row>
    <row r="30" spans="1:65" x14ac:dyDescent="0.2">
      <c r="A30" s="20">
        <f>A29+1</f>
        <v>3</v>
      </c>
      <c r="B30" s="27" t="s">
        <v>87</v>
      </c>
      <c r="C30" s="29">
        <v>1.0204081632653061</v>
      </c>
      <c r="D30" s="30" t="s">
        <v>107</v>
      </c>
      <c r="E30" s="31" t="s">
        <v>203</v>
      </c>
      <c r="F30" s="28" t="s">
        <v>108</v>
      </c>
      <c r="G30" s="144">
        <v>100</v>
      </c>
      <c r="H30" s="81">
        <v>40377</v>
      </c>
      <c r="I30" s="81">
        <v>40382</v>
      </c>
      <c r="J30" s="83">
        <f t="shared" si="26"/>
        <v>7.1428571428571432</v>
      </c>
      <c r="K30" s="32">
        <v>14</v>
      </c>
      <c r="L30" s="33">
        <f t="shared" si="27"/>
        <v>7.1428571428571432</v>
      </c>
      <c r="M30" s="34">
        <v>1</v>
      </c>
      <c r="N30" s="34"/>
      <c r="O30" s="35">
        <f t="shared" si="28"/>
        <v>50</v>
      </c>
      <c r="P30" s="35">
        <f t="shared" si="29"/>
        <v>0</v>
      </c>
      <c r="Q30" s="34">
        <v>2</v>
      </c>
      <c r="R30" s="83">
        <f ca="1">IF(AND(O30&gt;0,Q30&gt;0),SUMIF('Исходные данные'!$C$13:H29,Q30,'Исходные данные'!$C$17:$H$17),IF(O30=0,0,IF(Q30=0,"РОТ")))</f>
        <v>128.66557526609228</v>
      </c>
      <c r="S30" s="34"/>
      <c r="T30" s="33"/>
      <c r="U30" s="130">
        <f ca="1">O30*R30*'Исходные данные'!$C$37%</f>
        <v>0</v>
      </c>
      <c r="V30" s="130">
        <f>P30*T30*'Исходные данные'!$C$38%</f>
        <v>0</v>
      </c>
      <c r="W30" s="130">
        <f t="shared" ca="1" si="30"/>
        <v>2573.3115053218457</v>
      </c>
      <c r="X30" s="131">
        <f t="shared" si="31"/>
        <v>0</v>
      </c>
      <c r="Y30" s="130">
        <f t="shared" ca="1" si="32"/>
        <v>900.65902686264599</v>
      </c>
      <c r="Z30" s="131">
        <f t="shared" si="33"/>
        <v>0</v>
      </c>
      <c r="AA30" s="130">
        <f t="shared" ca="1" si="34"/>
        <v>643.32787633046144</v>
      </c>
      <c r="AB30" s="131">
        <f t="shared" si="35"/>
        <v>0</v>
      </c>
      <c r="AC30" s="129">
        <v>2.8</v>
      </c>
      <c r="AD30" s="130">
        <f t="shared" ca="1" si="36"/>
        <v>29541.616081094784</v>
      </c>
      <c r="AE30" s="130">
        <f t="shared" si="37"/>
        <v>0</v>
      </c>
      <c r="AF30" s="35">
        <f t="shared" ca="1" si="38"/>
        <v>4414.2644718877254</v>
      </c>
      <c r="AG30" s="73"/>
      <c r="AH30" s="35">
        <f t="shared" ca="1" si="39"/>
        <v>33955.880552982511</v>
      </c>
      <c r="AI30" s="35"/>
      <c r="AJ30" s="35">
        <f t="shared" ca="1" si="40"/>
        <v>10186.764165894752</v>
      </c>
      <c r="AK30" s="73"/>
      <c r="AL30" s="35">
        <f t="shared" ca="1" si="41"/>
        <v>44142.644718877265</v>
      </c>
      <c r="AM30" s="73"/>
      <c r="AN30" s="32">
        <v>2.8</v>
      </c>
      <c r="AO30" s="33" t="e">
        <f>Нормы!#REF!</f>
        <v>#REF!</v>
      </c>
      <c r="AP30" s="79" t="e">
        <f t="shared" si="42"/>
        <v>#REF!</v>
      </c>
      <c r="AQ30" s="33" t="s">
        <v>155</v>
      </c>
      <c r="AR30" s="83" t="e">
        <f>'Исходные данные'!#REF!</f>
        <v>#REF!</v>
      </c>
      <c r="AS30" s="36" t="e">
        <f t="shared" si="43"/>
        <v>#REF!</v>
      </c>
      <c r="AT30" s="36"/>
      <c r="AU30" s="36"/>
      <c r="AV30" s="36"/>
      <c r="AW30" s="36"/>
      <c r="AX30" s="36">
        <f>аморт!$G$11</f>
        <v>181.91312849162011</v>
      </c>
      <c r="AY30" s="36">
        <f t="shared" si="44"/>
        <v>1299.3794892258579</v>
      </c>
      <c r="AZ30" s="36">
        <f>аморт!$G$38</f>
        <v>144.06779999999998</v>
      </c>
      <c r="BA30" s="36">
        <f t="shared" si="45"/>
        <v>1029.0557142857142</v>
      </c>
      <c r="BB30" s="38">
        <v>82.4</v>
      </c>
      <c r="BC30" s="36">
        <f t="shared" si="46"/>
        <v>3001.7142857142862</v>
      </c>
      <c r="BD30" s="38">
        <v>13.9</v>
      </c>
      <c r="BE30" s="36">
        <f t="shared" si="47"/>
        <v>506.35714285714289</v>
      </c>
      <c r="BF30" s="38">
        <f t="shared" si="48"/>
        <v>5.2868639999999996</v>
      </c>
      <c r="BG30" s="36">
        <f t="shared" si="49"/>
        <v>192.59290285714286</v>
      </c>
      <c r="BH30" s="36">
        <f>аморт!$C$38*10%/аморт!$E$38*L30*7</f>
        <v>17288.135999999999</v>
      </c>
      <c r="BI30" s="36" t="e">
        <f t="shared" ca="1" si="50"/>
        <v>#REF!</v>
      </c>
      <c r="BJ30" s="36" t="e">
        <f t="shared" ca="1" si="51"/>
        <v>#REF!</v>
      </c>
      <c r="BK30" s="38">
        <f t="shared" si="52"/>
        <v>0.5</v>
      </c>
      <c r="BL30" s="38">
        <v>5.0999999999999996</v>
      </c>
      <c r="BM30" s="39">
        <f t="shared" si="53"/>
        <v>36.428571428571431</v>
      </c>
    </row>
    <row r="31" spans="1:65" x14ac:dyDescent="0.2">
      <c r="A31" s="20">
        <f>A30+1</f>
        <v>4</v>
      </c>
      <c r="B31" s="27" t="s">
        <v>90</v>
      </c>
      <c r="C31" s="29">
        <v>1.25</v>
      </c>
      <c r="D31" s="30" t="s">
        <v>107</v>
      </c>
      <c r="E31" s="31" t="s">
        <v>208</v>
      </c>
      <c r="F31" s="28" t="s">
        <v>108</v>
      </c>
      <c r="G31" s="144">
        <v>100</v>
      </c>
      <c r="H31" s="81">
        <v>40380</v>
      </c>
      <c r="I31" s="81">
        <v>40384</v>
      </c>
      <c r="J31" s="83">
        <f t="shared" si="26"/>
        <v>6.25</v>
      </c>
      <c r="K31" s="32">
        <v>16</v>
      </c>
      <c r="L31" s="33">
        <f t="shared" si="27"/>
        <v>6.25</v>
      </c>
      <c r="M31" s="34">
        <v>1</v>
      </c>
      <c r="N31" s="34"/>
      <c r="O31" s="35">
        <f t="shared" si="28"/>
        <v>43.75</v>
      </c>
      <c r="P31" s="35">
        <f t="shared" si="29"/>
        <v>0</v>
      </c>
      <c r="Q31" s="34">
        <v>5</v>
      </c>
      <c r="R31" s="83">
        <f ca="1">IF(AND(O31&gt;0,Q31&gt;0),SUMIF('Исходные данные'!$C$13:H30,Q31,'Исходные данные'!$C$17:$H$17),IF(O31=0,0,IF(Q31=0,"РОТ")))</f>
        <v>179.78980233147493</v>
      </c>
      <c r="S31" s="34"/>
      <c r="T31" s="33"/>
      <c r="U31" s="130">
        <f ca="1">O31*R31*'Исходные данные'!$C$37%</f>
        <v>0</v>
      </c>
      <c r="V31" s="130">
        <f>P31*T31*'Исходные данные'!$C$38%</f>
        <v>0</v>
      </c>
      <c r="W31" s="130">
        <f t="shared" ca="1" si="30"/>
        <v>3146.3215408008114</v>
      </c>
      <c r="X31" s="131">
        <f t="shared" si="31"/>
        <v>0</v>
      </c>
      <c r="Y31" s="130">
        <f t="shared" ca="1" si="32"/>
        <v>1101.2125392802841</v>
      </c>
      <c r="Z31" s="131">
        <f t="shared" si="33"/>
        <v>0</v>
      </c>
      <c r="AA31" s="130">
        <f t="shared" ca="1" si="34"/>
        <v>786.58038520020284</v>
      </c>
      <c r="AB31" s="131">
        <f t="shared" si="35"/>
        <v>0</v>
      </c>
      <c r="AC31" s="129">
        <v>2.8</v>
      </c>
      <c r="AD31" s="130">
        <f t="shared" ca="1" si="36"/>
        <v>36119.771288393313</v>
      </c>
      <c r="AE31" s="130">
        <f t="shared" si="37"/>
        <v>0</v>
      </c>
      <c r="AF31" s="35">
        <f t="shared" ca="1" si="38"/>
        <v>5397.2072040127932</v>
      </c>
      <c r="AG31" s="73"/>
      <c r="AH31" s="35">
        <f t="shared" ca="1" si="39"/>
        <v>41516.97849240611</v>
      </c>
      <c r="AI31" s="35"/>
      <c r="AJ31" s="35">
        <f t="shared" ca="1" si="40"/>
        <v>12455.093547721832</v>
      </c>
      <c r="AK31" s="73"/>
      <c r="AL31" s="35">
        <f t="shared" ca="1" si="41"/>
        <v>53972.07204012794</v>
      </c>
      <c r="AM31" s="73"/>
      <c r="AN31" s="32">
        <v>3.6</v>
      </c>
      <c r="AO31" s="33" t="e">
        <f>Нормы!#REF!</f>
        <v>#REF!</v>
      </c>
      <c r="AP31" s="79" t="e">
        <f t="shared" si="42"/>
        <v>#REF!</v>
      </c>
      <c r="AQ31" s="33" t="s">
        <v>155</v>
      </c>
      <c r="AR31" s="83" t="e">
        <f>'Исходные данные'!#REF!</f>
        <v>#REF!</v>
      </c>
      <c r="AS31" s="36" t="e">
        <f t="shared" si="43"/>
        <v>#REF!</v>
      </c>
      <c r="AT31" s="151">
        <f>(1000/215*120)/2000</f>
        <v>0.27906976744186052</v>
      </c>
      <c r="AU31" s="79">
        <f>AT31*G31*D8</f>
        <v>284.1586867305063</v>
      </c>
      <c r="AV31" s="36">
        <f>5*200</f>
        <v>1000</v>
      </c>
      <c r="AW31" s="36">
        <f>AU31*AV31</f>
        <v>284158.68673050631</v>
      </c>
      <c r="AX31" s="36">
        <f>аморт!$G$11</f>
        <v>181.91312849162011</v>
      </c>
      <c r="AY31" s="36">
        <f t="shared" si="44"/>
        <v>1136.9570530726257</v>
      </c>
      <c r="AZ31" s="36">
        <f>аморт!G75</f>
        <v>91.807777777777801</v>
      </c>
      <c r="BA31" s="36">
        <f t="shared" si="45"/>
        <v>573.79861111111131</v>
      </c>
      <c r="BB31" s="38">
        <v>82.4</v>
      </c>
      <c r="BC31" s="36">
        <f t="shared" si="46"/>
        <v>2626.5</v>
      </c>
      <c r="BD31" s="38">
        <v>13.9</v>
      </c>
      <c r="BE31" s="36">
        <f t="shared" si="47"/>
        <v>443.06249999999994</v>
      </c>
      <c r="BF31" s="38">
        <f t="shared" si="48"/>
        <v>5.2868639999999996</v>
      </c>
      <c r="BG31" s="36">
        <f t="shared" si="49"/>
        <v>168.51878999999997</v>
      </c>
      <c r="BH31" s="36">
        <f>аморт!C75*10%/аморт!E75*L31*7</f>
        <v>17351.669999999998</v>
      </c>
      <c r="BI31" s="36" t="e">
        <f t="shared" ca="1" si="50"/>
        <v>#REF!</v>
      </c>
      <c r="BJ31" s="36" t="e">
        <f t="shared" ca="1" si="51"/>
        <v>#REF!</v>
      </c>
      <c r="BK31" s="38">
        <f t="shared" si="52"/>
        <v>0.4375</v>
      </c>
      <c r="BL31" s="38">
        <v>5.0999999999999996</v>
      </c>
      <c r="BM31" s="39">
        <f t="shared" si="53"/>
        <v>31.874999999999996</v>
      </c>
    </row>
    <row r="32" spans="1:65" ht="22.5" x14ac:dyDescent="0.2">
      <c r="A32" s="20">
        <f>A31+1</f>
        <v>5</v>
      </c>
      <c r="B32" s="27" t="s">
        <v>91</v>
      </c>
      <c r="C32" s="29">
        <v>4.6849379245724992E-2</v>
      </c>
      <c r="D32" s="30" t="s">
        <v>107</v>
      </c>
      <c r="E32" s="31" t="s">
        <v>207</v>
      </c>
      <c r="F32" s="28" t="s">
        <v>108</v>
      </c>
      <c r="G32" s="144">
        <v>20</v>
      </c>
      <c r="H32" s="81">
        <v>40385</v>
      </c>
      <c r="I32" s="81">
        <v>40386</v>
      </c>
      <c r="J32" s="83">
        <f t="shared" si="26"/>
        <v>0.14054813773717498</v>
      </c>
      <c r="K32" s="32">
        <v>142.30000000000001</v>
      </c>
      <c r="L32" s="33">
        <f t="shared" si="27"/>
        <v>0.14054813773717498</v>
      </c>
      <c r="M32" s="34">
        <v>1</v>
      </c>
      <c r="N32" s="34"/>
      <c r="O32" s="35">
        <f t="shared" si="28"/>
        <v>0.98383696416022481</v>
      </c>
      <c r="P32" s="35">
        <f t="shared" si="29"/>
        <v>0</v>
      </c>
      <c r="Q32" s="34">
        <v>2</v>
      </c>
      <c r="R32" s="83">
        <f ca="1">IF(AND(O32&gt;0,Q32&gt;0),SUMIF('Исходные данные'!$C$13:H31,Q32,'Исходные данные'!$C$17:$H$17),IF(O32=0,0,IF(Q32=0,"РОТ")))</f>
        <v>128.66557526609228</v>
      </c>
      <c r="S32" s="34"/>
      <c r="T32" s="33"/>
      <c r="U32" s="130">
        <f ca="1">O32*R32*'Исходные данные'!$C$37%</f>
        <v>0</v>
      </c>
      <c r="V32" s="130">
        <f>P32*T32*'Исходные данные'!$C$38%</f>
        <v>0</v>
      </c>
      <c r="W32" s="130">
        <f t="shared" ca="1" si="30"/>
        <v>50.634379584688453</v>
      </c>
      <c r="X32" s="131">
        <f t="shared" si="31"/>
        <v>0</v>
      </c>
      <c r="Y32" s="130">
        <f t="shared" ca="1" si="32"/>
        <v>17.722032854640958</v>
      </c>
      <c r="Z32" s="131">
        <f t="shared" si="33"/>
        <v>0</v>
      </c>
      <c r="AA32" s="130">
        <f t="shared" ca="1" si="34"/>
        <v>12.658594896172113</v>
      </c>
      <c r="AB32" s="131">
        <f t="shared" si="35"/>
        <v>0</v>
      </c>
      <c r="AC32" s="129">
        <v>2.8</v>
      </c>
      <c r="AD32" s="130">
        <f t="shared" ca="1" si="36"/>
        <v>581.28267763222334</v>
      </c>
      <c r="AE32" s="130">
        <f t="shared" si="37"/>
        <v>0</v>
      </c>
      <c r="AF32" s="35">
        <f t="shared" ca="1" si="38"/>
        <v>86.858331140447163</v>
      </c>
      <c r="AG32" s="73"/>
      <c r="AH32" s="35">
        <f t="shared" ca="1" si="39"/>
        <v>668.14100877267049</v>
      </c>
      <c r="AI32" s="35"/>
      <c r="AJ32" s="35">
        <f t="shared" ca="1" si="40"/>
        <v>200.44230263180114</v>
      </c>
      <c r="AK32" s="73"/>
      <c r="AL32" s="35">
        <f t="shared" ca="1" si="41"/>
        <v>868.5833114044716</v>
      </c>
      <c r="AM32" s="73"/>
      <c r="AN32" s="32">
        <v>0.3</v>
      </c>
      <c r="AO32" s="33" t="e">
        <f>Нормы!#REF!</f>
        <v>#REF!</v>
      </c>
      <c r="AP32" s="79" t="e">
        <f t="shared" si="42"/>
        <v>#REF!</v>
      </c>
      <c r="AQ32" s="33" t="s">
        <v>155</v>
      </c>
      <c r="AR32" s="83" t="e">
        <f>'Исходные данные'!#REF!</f>
        <v>#REF!</v>
      </c>
      <c r="AS32" s="36" t="e">
        <f t="shared" si="43"/>
        <v>#REF!</v>
      </c>
      <c r="AT32" s="36"/>
      <c r="AU32" s="36"/>
      <c r="AV32" s="36"/>
      <c r="AW32" s="36"/>
      <c r="AX32" s="36">
        <f>аморт!$G$11</f>
        <v>181.91312849162011</v>
      </c>
      <c r="AY32" s="36">
        <f t="shared" si="44"/>
        <v>25.567551439440635</v>
      </c>
      <c r="AZ32" s="36">
        <f>аморт!$G$40</f>
        <v>39.779508196721316</v>
      </c>
      <c r="BA32" s="36">
        <f t="shared" si="45"/>
        <v>5.5909357971498688</v>
      </c>
      <c r="BB32" s="38">
        <v>82.4</v>
      </c>
      <c r="BC32" s="36">
        <f t="shared" si="46"/>
        <v>59.06394940267041</v>
      </c>
      <c r="BD32" s="38">
        <v>13.9</v>
      </c>
      <c r="BE32" s="36">
        <f t="shared" si="47"/>
        <v>9.9634574841883339</v>
      </c>
      <c r="BF32" s="38">
        <f t="shared" si="48"/>
        <v>5.2868639999999996</v>
      </c>
      <c r="BG32" s="36">
        <f t="shared" si="49"/>
        <v>3.7896003373155298</v>
      </c>
      <c r="BH32" s="36">
        <f>аморт!$C$40*10%/аморт!$E$40*L32*7</f>
        <v>171.88773014757555</v>
      </c>
      <c r="BI32" s="36" t="e">
        <f t="shared" ca="1" si="50"/>
        <v>#REF!</v>
      </c>
      <c r="BJ32" s="36" t="e">
        <f t="shared" ca="1" si="51"/>
        <v>#REF!</v>
      </c>
      <c r="BK32" s="38">
        <f t="shared" si="52"/>
        <v>9.8383696416022483E-3</v>
      </c>
      <c r="BL32" s="38">
        <v>5.0999999999999996</v>
      </c>
      <c r="BM32" s="39">
        <f t="shared" si="53"/>
        <v>0.71679550245959234</v>
      </c>
    </row>
    <row r="33" spans="1:65" ht="22.5" x14ac:dyDescent="0.2">
      <c r="A33" s="20">
        <v>6</v>
      </c>
      <c r="B33" s="27" t="s">
        <v>92</v>
      </c>
      <c r="C33" s="29">
        <v>1.6508350251050572</v>
      </c>
      <c r="D33" s="30" t="s">
        <v>107</v>
      </c>
      <c r="E33" s="31" t="s">
        <v>209</v>
      </c>
      <c r="F33" s="28" t="s">
        <v>111</v>
      </c>
      <c r="G33" s="144">
        <v>116.23529411764707</v>
      </c>
      <c r="H33" s="81">
        <v>40387</v>
      </c>
      <c r="I33" s="81">
        <v>40389</v>
      </c>
      <c r="J33" s="83">
        <f t="shared" si="26"/>
        <v>2.4762525376575857</v>
      </c>
      <c r="K33" s="32">
        <v>23.47</v>
      </c>
      <c r="L33" s="33">
        <f t="shared" si="27"/>
        <v>4.9525050753151714</v>
      </c>
      <c r="M33" s="34">
        <v>2</v>
      </c>
      <c r="N33" s="34"/>
      <c r="O33" s="35">
        <f t="shared" si="28"/>
        <v>34.667535527206198</v>
      </c>
      <c r="P33" s="35">
        <f t="shared" si="29"/>
        <v>0</v>
      </c>
      <c r="Q33" s="138">
        <v>3</v>
      </c>
      <c r="R33" s="83">
        <f ca="1">IF(AND(O33&gt;0,Q33&gt;0),SUMIF('Исходные данные'!$C$13:H32,Q33,'Исходные данные'!$C$17:$H$17),IF(O33=0,0,IF(Q33=0,"РОТ")))</f>
        <v>138.29984794728838</v>
      </c>
      <c r="S33" s="34"/>
      <c r="T33" s="33"/>
      <c r="U33" s="130">
        <f ca="1">O33*R33*'Исходные данные'!$C$37%</f>
        <v>0</v>
      </c>
      <c r="V33" s="130">
        <f>P33*T33*'Исходные данные'!$C$38%</f>
        <v>0</v>
      </c>
      <c r="W33" s="130">
        <f t="shared" ca="1" si="30"/>
        <v>1917.8059568479341</v>
      </c>
      <c r="X33" s="131">
        <f t="shared" si="31"/>
        <v>0</v>
      </c>
      <c r="Y33" s="130">
        <f t="shared" ca="1" si="32"/>
        <v>671.232084896777</v>
      </c>
      <c r="Z33" s="131">
        <f t="shared" si="33"/>
        <v>0</v>
      </c>
      <c r="AA33" s="130">
        <f t="shared" ca="1" si="34"/>
        <v>479.45148921198353</v>
      </c>
      <c r="AB33" s="131">
        <f t="shared" si="35"/>
        <v>0</v>
      </c>
      <c r="AC33" s="129">
        <v>2.8</v>
      </c>
      <c r="AD33" s="130">
        <f t="shared" ca="1" si="36"/>
        <v>22016.412384614283</v>
      </c>
      <c r="AE33" s="130">
        <f t="shared" si="37"/>
        <v>0</v>
      </c>
      <c r="AF33" s="35">
        <f t="shared" ca="1" si="38"/>
        <v>3289.808747126272</v>
      </c>
      <c r="AG33" s="73"/>
      <c r="AH33" s="35">
        <f t="shared" ca="1" si="39"/>
        <v>25306.221131740556</v>
      </c>
      <c r="AI33" s="35"/>
      <c r="AJ33" s="35">
        <f t="shared" ca="1" si="40"/>
        <v>7591.8663395221665</v>
      </c>
      <c r="AK33" s="73"/>
      <c r="AL33" s="35">
        <f t="shared" ca="1" si="41"/>
        <v>32898.087471262726</v>
      </c>
      <c r="AM33" s="73"/>
      <c r="AN33" s="32">
        <v>1.4</v>
      </c>
      <c r="AO33" s="33" t="e">
        <f>Нормы!#REF!</f>
        <v>#REF!</v>
      </c>
      <c r="AP33" s="79" t="e">
        <f t="shared" si="42"/>
        <v>#REF!</v>
      </c>
      <c r="AQ33" s="33" t="s">
        <v>155</v>
      </c>
      <c r="AR33" s="83" t="e">
        <f>'Исходные данные'!#REF!</f>
        <v>#REF!</v>
      </c>
      <c r="AS33" s="36" t="e">
        <f t="shared" si="43"/>
        <v>#REF!</v>
      </c>
      <c r="AT33" s="36"/>
      <c r="AU33" s="36"/>
      <c r="AV33" s="36"/>
      <c r="AW33" s="36"/>
      <c r="AX33" s="36">
        <f>аморт!$G$11</f>
        <v>181.91312849162011</v>
      </c>
      <c r="AY33" s="36">
        <f t="shared" si="44"/>
        <v>900.92569212120952</v>
      </c>
      <c r="AZ33" s="36">
        <f>аморт!G69</f>
        <v>19.673123809523812</v>
      </c>
      <c r="BA33" s="36">
        <f t="shared" si="45"/>
        <v>97.431245513970424</v>
      </c>
      <c r="BB33" s="38">
        <v>82.4</v>
      </c>
      <c r="BC33" s="36">
        <f t="shared" si="46"/>
        <v>2081.2407328504473</v>
      </c>
      <c r="BD33" s="38">
        <v>13.9</v>
      </c>
      <c r="BE33" s="36">
        <f t="shared" si="47"/>
        <v>351.08308478909248</v>
      </c>
      <c r="BF33" s="38">
        <f t="shared" si="48"/>
        <v>5.2868639999999996</v>
      </c>
      <c r="BG33" s="36">
        <f t="shared" si="49"/>
        <v>133.53442604175541</v>
      </c>
      <c r="BH33" s="36">
        <f>аморт!C69*10%/аморт!E69*L33*7</f>
        <v>20051.350326775108</v>
      </c>
      <c r="BI33" s="36" t="e">
        <f t="shared" ca="1" si="50"/>
        <v>#REF!</v>
      </c>
      <c r="BJ33" s="36" t="e">
        <f t="shared" ca="1" si="51"/>
        <v>#REF!</v>
      </c>
      <c r="BK33" s="38">
        <f t="shared" si="52"/>
        <v>0.346675355272062</v>
      </c>
      <c r="BL33" s="38">
        <v>5.0999999999999996</v>
      </c>
      <c r="BM33" s="39">
        <f t="shared" si="53"/>
        <v>25.257775884107371</v>
      </c>
    </row>
    <row r="34" spans="1:65" ht="22.5" x14ac:dyDescent="0.2">
      <c r="A34" s="20">
        <v>7</v>
      </c>
      <c r="B34" s="27" t="s">
        <v>93</v>
      </c>
      <c r="C34" s="29">
        <v>0.96862745098039227</v>
      </c>
      <c r="D34" s="30" t="s">
        <v>107</v>
      </c>
      <c r="E34" s="31" t="s">
        <v>117</v>
      </c>
      <c r="F34" s="28" t="s">
        <v>111</v>
      </c>
      <c r="G34" s="144">
        <v>116.23529411764707</v>
      </c>
      <c r="H34" s="81">
        <v>40389</v>
      </c>
      <c r="I34" s="81">
        <v>40395</v>
      </c>
      <c r="J34" s="83">
        <f>L34/N34</f>
        <v>5.8117647058823536</v>
      </c>
      <c r="K34" s="32">
        <v>20</v>
      </c>
      <c r="L34" s="33">
        <f t="shared" si="27"/>
        <v>5.8117647058823536</v>
      </c>
      <c r="M34" s="34">
        <v>1</v>
      </c>
      <c r="N34" s="34">
        <v>1</v>
      </c>
      <c r="O34" s="35">
        <f t="shared" si="28"/>
        <v>40.682352941176475</v>
      </c>
      <c r="P34" s="35">
        <f t="shared" si="29"/>
        <v>40.682352941176475</v>
      </c>
      <c r="Q34" s="34">
        <v>4</v>
      </c>
      <c r="R34" s="83">
        <f ca="1">IF(AND(O34&gt;0,Q34&gt;0),SUMIF('Исходные данные'!$C$13:H33,Q34,'Исходные данные'!$C$17:$H$17),IF(O34=0,0,IF(Q34=0,"РОТ")))</f>
        <v>156.08125696908263</v>
      </c>
      <c r="S34" s="34">
        <v>4</v>
      </c>
      <c r="T34" s="83">
        <f ca="1">IF(AND(N34&gt;0,P34&gt;0),SUMIF('Исходные данные'!$C$13:$J$29,S34,'Исходные данные'!$C$33:$J$39),IF(N34=0,0,IF(S34=0,"РОТ")))</f>
        <v>123.48200709579322</v>
      </c>
      <c r="U34" s="130">
        <f ca="1">O34*R34*'Исходные данные'!$C$37%</f>
        <v>0</v>
      </c>
      <c r="V34" s="130">
        <f ca="1">P34*T34*'Исходные данные'!$C$38%</f>
        <v>0</v>
      </c>
      <c r="W34" s="130">
        <f t="shared" ca="1" si="30"/>
        <v>2539.9011134074722</v>
      </c>
      <c r="X34" s="131">
        <f t="shared" ca="1" si="31"/>
        <v>2009.415437822367</v>
      </c>
      <c r="Y34" s="130">
        <f t="shared" ca="1" si="32"/>
        <v>888.9653896926153</v>
      </c>
      <c r="Z34" s="131">
        <f t="shared" ca="1" si="33"/>
        <v>351.6477016189142</v>
      </c>
      <c r="AA34" s="130">
        <f t="shared" ca="1" si="34"/>
        <v>634.97527835186804</v>
      </c>
      <c r="AB34" s="131">
        <f t="shared" ca="1" si="35"/>
        <v>502.35385945559176</v>
      </c>
      <c r="AC34" s="129">
        <v>2.8</v>
      </c>
      <c r="AD34" s="130">
        <f t="shared" ca="1" si="36"/>
        <v>29158.064781917783</v>
      </c>
      <c r="AE34" s="130">
        <f t="shared" ca="1" si="37"/>
        <v>22083.475661667813</v>
      </c>
      <c r="AF34" s="35">
        <f t="shared" ca="1" si="38"/>
        <v>4356.9522087923124</v>
      </c>
      <c r="AG34" s="73">
        <f ca="1">AE34*$AF$15</f>
        <v>3299.8296965710524</v>
      </c>
      <c r="AH34" s="35">
        <f t="shared" ca="1" si="39"/>
        <v>33515.016990710094</v>
      </c>
      <c r="AI34" s="35">
        <f ca="1">AE34+AG34</f>
        <v>25383.305358238867</v>
      </c>
      <c r="AJ34" s="35">
        <f t="shared" ca="1" si="40"/>
        <v>10054.505097213028</v>
      </c>
      <c r="AK34" s="73">
        <f ca="1">AI34*$AJ$15</f>
        <v>7614.9916074716602</v>
      </c>
      <c r="AL34" s="35">
        <f t="shared" ca="1" si="41"/>
        <v>43569.52208792312</v>
      </c>
      <c r="AM34" s="73">
        <f ca="1">AK34+AI34</f>
        <v>32998.296965710528</v>
      </c>
      <c r="AN34" s="32">
        <v>0.8</v>
      </c>
      <c r="AO34" s="33" t="e">
        <f>Нормы!#REF!</f>
        <v>#REF!</v>
      </c>
      <c r="AP34" s="79" t="e">
        <f t="shared" si="42"/>
        <v>#REF!</v>
      </c>
      <c r="AQ34" s="33" t="s">
        <v>155</v>
      </c>
      <c r="AR34" s="83" t="e">
        <f>'Исходные данные'!#REF!</f>
        <v>#REF!</v>
      </c>
      <c r="AS34" s="36" t="e">
        <f t="shared" si="43"/>
        <v>#REF!</v>
      </c>
      <c r="AT34" s="36"/>
      <c r="AU34" s="36"/>
      <c r="AV34" s="36"/>
      <c r="AW34" s="36"/>
      <c r="AX34" s="36">
        <f>аморт!$G$11</f>
        <v>181.91312849162011</v>
      </c>
      <c r="AY34" s="36">
        <f t="shared" si="44"/>
        <v>1057.2362997042394</v>
      </c>
      <c r="AZ34" s="36">
        <f>аморт!G23</f>
        <v>48.426111111111105</v>
      </c>
      <c r="BA34" s="36">
        <f t="shared" si="45"/>
        <v>281.44116339869282</v>
      </c>
      <c r="BB34" s="38">
        <v>82.4</v>
      </c>
      <c r="BC34" s="36">
        <f t="shared" si="46"/>
        <v>2442.3360000000002</v>
      </c>
      <c r="BD34" s="38">
        <v>13.9</v>
      </c>
      <c r="BE34" s="36">
        <f t="shared" si="47"/>
        <v>411.99600000000004</v>
      </c>
      <c r="BF34" s="38">
        <f t="shared" si="48"/>
        <v>5.2868639999999996</v>
      </c>
      <c r="BG34" s="36">
        <f t="shared" si="49"/>
        <v>156.70264895999998</v>
      </c>
      <c r="BH34" s="36">
        <f>аморт!C23*10%/аморт!E23*L34*7</f>
        <v>44681.599101176478</v>
      </c>
      <c r="BI34" s="36" t="e">
        <f t="shared" ca="1" si="50"/>
        <v>#REF!</v>
      </c>
      <c r="BJ34" s="36" t="e">
        <f t="shared" ca="1" si="51"/>
        <v>#REF!</v>
      </c>
      <c r="BK34" s="38">
        <f t="shared" si="52"/>
        <v>0.8136470588235295</v>
      </c>
      <c r="BL34" s="38">
        <v>5.0999999999999996</v>
      </c>
      <c r="BM34" s="39">
        <f t="shared" si="53"/>
        <v>29.64</v>
      </c>
    </row>
    <row r="35" spans="1:65" x14ac:dyDescent="0.2">
      <c r="A35" s="20">
        <v>8</v>
      </c>
      <c r="B35" s="27" t="s">
        <v>94</v>
      </c>
      <c r="C35" s="29">
        <v>0.98839535814325741</v>
      </c>
      <c r="D35" s="30" t="s">
        <v>107</v>
      </c>
      <c r="E35" s="31" t="s">
        <v>210</v>
      </c>
      <c r="F35" s="28" t="s">
        <v>111</v>
      </c>
      <c r="G35" s="144">
        <v>116.23529411764707</v>
      </c>
      <c r="H35" s="81">
        <v>40395</v>
      </c>
      <c r="I35" s="81">
        <v>40400</v>
      </c>
      <c r="J35" s="83">
        <f>L35/N35</f>
        <v>5.9303721488595444</v>
      </c>
      <c r="K35" s="32">
        <v>19.600000000000001</v>
      </c>
      <c r="L35" s="33">
        <f t="shared" si="27"/>
        <v>5.9303721488595444</v>
      </c>
      <c r="M35" s="34">
        <v>1</v>
      </c>
      <c r="N35" s="34">
        <v>1</v>
      </c>
      <c r="O35" s="35">
        <f t="shared" si="28"/>
        <v>41.512605042016808</v>
      </c>
      <c r="P35" s="35">
        <f t="shared" si="29"/>
        <v>41.512605042016808</v>
      </c>
      <c r="Q35" s="34">
        <v>4</v>
      </c>
      <c r="R35" s="83">
        <f ca="1">IF(AND(O35&gt;0,Q35&gt;0),SUMIF('Исходные данные'!$C$13:H33,Q35,'Исходные данные'!$C$17:$H$17),IF(O35=0,0,IF(Q35=0,"РОТ")))</f>
        <v>156.08125696908263</v>
      </c>
      <c r="S35" s="34">
        <v>4</v>
      </c>
      <c r="T35" s="83">
        <f ca="1">IF(AND(N35&gt;0,P35&gt;0),SUMIF('Исходные данные'!$C$13:$J$29,S35,'Исходные данные'!$C$33:$J$39),IF(N35=0,0,IF(S35=0,"РОТ")))</f>
        <v>123.48200709579322</v>
      </c>
      <c r="U35" s="130">
        <f ca="1">O35*R35*'Исходные данные'!$C$37%</f>
        <v>0</v>
      </c>
      <c r="V35" s="130">
        <f ca="1">P35*T35*'Исходные данные'!$C$38%</f>
        <v>0</v>
      </c>
      <c r="W35" s="130">
        <f t="shared" ca="1" si="30"/>
        <v>2591.7358300076248</v>
      </c>
      <c r="X35" s="131">
        <f t="shared" ca="1" si="31"/>
        <v>2050.4239161452724</v>
      </c>
      <c r="Y35" s="130">
        <f t="shared" ca="1" si="32"/>
        <v>907.1075405026686</v>
      </c>
      <c r="Z35" s="131">
        <f t="shared" ca="1" si="33"/>
        <v>358.82418532542266</v>
      </c>
      <c r="AA35" s="130">
        <f t="shared" ca="1" si="34"/>
        <v>647.93395750190621</v>
      </c>
      <c r="AB35" s="131">
        <f t="shared" ca="1" si="35"/>
        <v>512.6059790363181</v>
      </c>
      <c r="AC35" s="129">
        <v>2.8</v>
      </c>
      <c r="AD35" s="130">
        <f t="shared" ca="1" si="36"/>
        <v>29753.127328487528</v>
      </c>
      <c r="AE35" s="130">
        <f t="shared" ca="1" si="37"/>
        <v>22534.158838436542</v>
      </c>
      <c r="AF35" s="35">
        <f t="shared" ca="1" si="38"/>
        <v>4445.8696008084808</v>
      </c>
      <c r="AG35" s="73">
        <f ca="1">AE35*$AF$15</f>
        <v>3367.1731597663797</v>
      </c>
      <c r="AH35" s="35">
        <f t="shared" ca="1" si="39"/>
        <v>34198.996929296009</v>
      </c>
      <c r="AI35" s="35">
        <f ca="1">AE35+AG35</f>
        <v>25901.331998202921</v>
      </c>
      <c r="AJ35" s="35">
        <f t="shared" ca="1" si="40"/>
        <v>10259.699078788803</v>
      </c>
      <c r="AK35" s="73">
        <f ca="1">AI35*$AJ$15</f>
        <v>7770.3995994608758</v>
      </c>
      <c r="AL35" s="35">
        <f t="shared" ca="1" si="41"/>
        <v>44458.696008084808</v>
      </c>
      <c r="AM35" s="73">
        <f ca="1">AK35+AI35</f>
        <v>33671.731597663798</v>
      </c>
      <c r="AN35" s="32">
        <v>2.5</v>
      </c>
      <c r="AO35" s="33" t="e">
        <f>Нормы!#REF!</f>
        <v>#REF!</v>
      </c>
      <c r="AP35" s="79" t="e">
        <f t="shared" si="42"/>
        <v>#REF!</v>
      </c>
      <c r="AQ35" s="33" t="s">
        <v>155</v>
      </c>
      <c r="AR35" s="83" t="e">
        <f>'Исходные данные'!#REF!</f>
        <v>#REF!</v>
      </c>
      <c r="AS35" s="36" t="e">
        <f t="shared" si="43"/>
        <v>#REF!</v>
      </c>
      <c r="AT35" s="36"/>
      <c r="AU35" s="36"/>
      <c r="AV35" s="36"/>
      <c r="AW35" s="36"/>
      <c r="AX35" s="36">
        <f>аморт!$G$11</f>
        <v>181.91312849162011</v>
      </c>
      <c r="AY35" s="36">
        <f t="shared" si="44"/>
        <v>1078.8125507186116</v>
      </c>
      <c r="AZ35" s="36">
        <f>аморт!G73</f>
        <v>16.941761627906978</v>
      </c>
      <c r="BA35" s="36">
        <f t="shared" si="45"/>
        <v>100.47095131075687</v>
      </c>
      <c r="BB35" s="38">
        <v>82.4</v>
      </c>
      <c r="BC35" s="36">
        <f t="shared" si="46"/>
        <v>2492.1795918367347</v>
      </c>
      <c r="BD35" s="38">
        <v>13.9</v>
      </c>
      <c r="BE35" s="36">
        <f t="shared" si="47"/>
        <v>420.40408163265306</v>
      </c>
      <c r="BF35" s="38">
        <f t="shared" si="48"/>
        <v>5.2868639999999996</v>
      </c>
      <c r="BG35" s="36">
        <f t="shared" si="49"/>
        <v>159.90066220408161</v>
      </c>
      <c r="BH35" s="36">
        <f>аморт!C73*10%/аморт!E73*L35*7</f>
        <v>9677.3620302521031</v>
      </c>
      <c r="BI35" s="36" t="e">
        <f t="shared" ca="1" si="50"/>
        <v>#REF!</v>
      </c>
      <c r="BJ35" s="36" t="e">
        <f t="shared" ca="1" si="51"/>
        <v>#REF!</v>
      </c>
      <c r="BK35" s="38">
        <f t="shared" si="52"/>
        <v>0.83025210084033618</v>
      </c>
      <c r="BL35" s="38">
        <v>5.0999999999999996</v>
      </c>
      <c r="BM35" s="39">
        <f t="shared" si="53"/>
        <v>30.244897959183675</v>
      </c>
    </row>
    <row r="36" spans="1:65" s="54" customFormat="1" x14ac:dyDescent="0.2">
      <c r="A36" s="52"/>
      <c r="B36" s="53" t="s">
        <v>22</v>
      </c>
      <c r="C36" s="53"/>
      <c r="D36" s="53"/>
      <c r="E36" s="53"/>
      <c r="F36" s="55"/>
      <c r="G36" s="146"/>
      <c r="H36" s="56"/>
      <c r="I36" s="56"/>
      <c r="J36" s="65">
        <f>SUM(J28:J35)</f>
        <v>34.55735022854936</v>
      </c>
      <c r="K36" s="65"/>
      <c r="L36" s="65">
        <f>SUM(L28:L35)</f>
        <v>48.144713877318054</v>
      </c>
      <c r="M36" s="65">
        <f t="shared" ref="M36:BM36" si="54">SUM(M28:M35)</f>
        <v>11</v>
      </c>
      <c r="N36" s="65">
        <f t="shared" si="54"/>
        <v>2</v>
      </c>
      <c r="O36" s="65">
        <f t="shared" si="54"/>
        <v>337.01299714122638</v>
      </c>
      <c r="P36" s="65">
        <f t="shared" si="54"/>
        <v>82.194957983193291</v>
      </c>
      <c r="Q36" s="65"/>
      <c r="R36" s="65"/>
      <c r="S36" s="65"/>
      <c r="T36" s="65"/>
      <c r="U36" s="65">
        <f t="shared" ca="1" si="54"/>
        <v>0</v>
      </c>
      <c r="V36" s="65">
        <f t="shared" ca="1" si="54"/>
        <v>0</v>
      </c>
      <c r="W36" s="65">
        <f t="shared" ca="1" si="54"/>
        <v>20553.83183129222</v>
      </c>
      <c r="X36" s="65">
        <f t="shared" ca="1" si="54"/>
        <v>4059.8393539676395</v>
      </c>
      <c r="Y36" s="65">
        <f t="shared" ca="1" si="54"/>
        <v>7193.8411409522787</v>
      </c>
      <c r="Z36" s="65">
        <f t="shared" ca="1" si="54"/>
        <v>710.4718869443368</v>
      </c>
      <c r="AA36" s="65">
        <f t="shared" ca="1" si="54"/>
        <v>5138.457957823055</v>
      </c>
      <c r="AB36" s="65">
        <f t="shared" ca="1" si="54"/>
        <v>1014.9598384919099</v>
      </c>
      <c r="AC36" s="65"/>
      <c r="AD36" s="65">
        <f t="shared" ca="1" si="54"/>
        <v>235957.98942323471</v>
      </c>
      <c r="AE36" s="65">
        <f t="shared" ca="1" si="54"/>
        <v>44617.634500104352</v>
      </c>
      <c r="AF36" s="65">
        <f t="shared" ca="1" si="54"/>
        <v>35258.090373586791</v>
      </c>
      <c r="AG36" s="65">
        <f t="shared" ca="1" si="54"/>
        <v>6667.0028563374326</v>
      </c>
      <c r="AH36" s="65">
        <f t="shared" ca="1" si="54"/>
        <v>271216.07979682146</v>
      </c>
      <c r="AI36" s="65">
        <f t="shared" ca="1" si="54"/>
        <v>51284.637356441788</v>
      </c>
      <c r="AJ36" s="65">
        <f t="shared" ca="1" si="54"/>
        <v>81364.823939046444</v>
      </c>
      <c r="AK36" s="65">
        <f t="shared" ca="1" si="54"/>
        <v>15385.391206932536</v>
      </c>
      <c r="AL36" s="65">
        <f t="shared" ca="1" si="54"/>
        <v>352580.90373586793</v>
      </c>
      <c r="AM36" s="65">
        <f t="shared" ca="1" si="54"/>
        <v>66670.028563374333</v>
      </c>
      <c r="AN36" s="65"/>
      <c r="AO36" s="65"/>
      <c r="AP36" s="65" t="e">
        <f t="shared" si="54"/>
        <v>#REF!</v>
      </c>
      <c r="AQ36" s="65"/>
      <c r="AR36" s="65"/>
      <c r="AS36" s="65" t="e">
        <f t="shared" si="54"/>
        <v>#REF!</v>
      </c>
      <c r="AT36" s="65"/>
      <c r="AU36" s="65">
        <f>SUM(AU28:AU35)</f>
        <v>284.1586867305063</v>
      </c>
      <c r="AV36" s="65"/>
      <c r="AW36" s="65">
        <f>SUM(AW28:AW35)</f>
        <v>284158.68673050631</v>
      </c>
      <c r="AX36" s="65"/>
      <c r="AY36" s="65">
        <f t="shared" si="54"/>
        <v>8758.1555217568457</v>
      </c>
      <c r="AZ36" s="65"/>
      <c r="BA36" s="65">
        <f t="shared" si="54"/>
        <v>2992.0962880840621</v>
      </c>
      <c r="BB36" s="65"/>
      <c r="BC36" s="65">
        <f t="shared" si="54"/>
        <v>20232.334559804141</v>
      </c>
      <c r="BD36" s="65"/>
      <c r="BE36" s="65">
        <f t="shared" si="54"/>
        <v>3412.9787667630771</v>
      </c>
      <c r="BF36" s="65"/>
      <c r="BG36" s="65">
        <f t="shared" si="54"/>
        <v>1298.1262284002953</v>
      </c>
      <c r="BH36" s="65">
        <f t="shared" si="54"/>
        <v>177137.8023216846</v>
      </c>
      <c r="BI36" s="65" t="e">
        <f t="shared" ca="1" si="54"/>
        <v>#REF!</v>
      </c>
      <c r="BJ36" s="65"/>
      <c r="BK36" s="65"/>
      <c r="BL36" s="65"/>
      <c r="BM36" s="65">
        <f t="shared" si="54"/>
        <v>245.53804077432204</v>
      </c>
    </row>
    <row r="37" spans="1:65" s="7" customFormat="1" x14ac:dyDescent="0.2">
      <c r="A37" s="21"/>
      <c r="B37" s="473" t="s">
        <v>99</v>
      </c>
      <c r="C37" s="473"/>
      <c r="D37" s="473"/>
      <c r="E37" s="473"/>
      <c r="F37" s="22"/>
      <c r="G37" s="147"/>
      <c r="H37" s="23"/>
      <c r="I37" s="23"/>
      <c r="J37" s="23"/>
      <c r="K37" s="23"/>
      <c r="L37" s="33"/>
      <c r="M37" s="23"/>
      <c r="N37" s="23"/>
      <c r="O37" s="35"/>
      <c r="P37" s="41"/>
      <c r="Q37" s="25"/>
      <c r="R37" s="23"/>
      <c r="S37" s="2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79"/>
      <c r="AQ37" s="26"/>
      <c r="AR37" s="26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x14ac:dyDescent="0.2">
      <c r="A38" s="19">
        <v>1</v>
      </c>
      <c r="B38" s="27" t="s">
        <v>78</v>
      </c>
      <c r="C38" s="29">
        <v>4.166666666666667</v>
      </c>
      <c r="D38" s="30" t="s">
        <v>107</v>
      </c>
      <c r="E38" s="31" t="s">
        <v>202</v>
      </c>
      <c r="F38" s="28" t="s">
        <v>108</v>
      </c>
      <c r="G38" s="144">
        <v>100</v>
      </c>
      <c r="H38" s="81">
        <v>40374</v>
      </c>
      <c r="I38" s="81">
        <v>40377</v>
      </c>
      <c r="J38" s="83">
        <v>4</v>
      </c>
      <c r="K38" s="32">
        <v>6</v>
      </c>
      <c r="L38" s="33">
        <f t="shared" ref="L38:L45" si="55">G38/K38</f>
        <v>16.666666666666668</v>
      </c>
      <c r="M38" s="30">
        <v>4</v>
      </c>
      <c r="N38" s="30"/>
      <c r="O38" s="35">
        <f>IF(M38=0,0,L38*$O$15)</f>
        <v>116.66666666666667</v>
      </c>
      <c r="P38" s="35">
        <f t="shared" ref="P38:P45" si="56">IF(N38=0,0,L38*$O$15)</f>
        <v>0</v>
      </c>
      <c r="Q38" s="85">
        <v>4</v>
      </c>
      <c r="R38" s="83">
        <f ca="1">IF(AND(O38&gt;0,Q38&gt;0),SUMIF('Исходные данные'!$C$13:H34,Q38,'Исходные данные'!$C$17:$H$17),IF(O38=0,0,IF(Q38=0,"РОТ")))</f>
        <v>156.08125696908263</v>
      </c>
      <c r="S38" s="85"/>
      <c r="T38" s="30"/>
      <c r="U38" s="130">
        <f ca="1">O38*R38*'Исходные данные'!$C$37%</f>
        <v>0</v>
      </c>
      <c r="V38" s="130">
        <f>P38*T38*'Исходные данные'!$C$38%</f>
        <v>0</v>
      </c>
      <c r="W38" s="130">
        <f t="shared" ref="W38:W45" ca="1" si="57">O38*R38*$W$15</f>
        <v>7283.7919918905236</v>
      </c>
      <c r="X38" s="131">
        <f t="shared" ref="X38:X45" si="58">P38*T38*$W$15</f>
        <v>0</v>
      </c>
      <c r="Y38" s="130">
        <f t="shared" ref="Y38:Y45" ca="1" si="59">(O38*R38+U38+W38)*$Y$15</f>
        <v>2549.3271971616832</v>
      </c>
      <c r="Z38" s="131">
        <f t="shared" ref="Z38:Z45" si="60">(P38*T38+V38+X38)*$Z$15</f>
        <v>0</v>
      </c>
      <c r="AA38" s="130">
        <f t="shared" ref="AA38:AA45" ca="1" si="61">(O38*R38+U38)*$AA$15</f>
        <v>1820.9479979726309</v>
      </c>
      <c r="AB38" s="131">
        <f t="shared" ref="AB38:AB45" si="62">(P38*T38+V38)*$AA$15</f>
        <v>0</v>
      </c>
      <c r="AC38" s="129">
        <v>2.8</v>
      </c>
      <c r="AD38" s="130">
        <f t="shared" ref="AD38:AD45" ca="1" si="63">(O38*R38+U38+W38+Y38+AA38)*AC38</f>
        <v>83617.932066903202</v>
      </c>
      <c r="AE38" s="130">
        <f t="shared" ref="AE38:AE45" si="64">(P38*T38+V38+X38+Z38+AB38)*AC38</f>
        <v>0</v>
      </c>
      <c r="AF38" s="35">
        <f t="shared" ref="AF38:AF45" ca="1" si="65">AD38*$AF$15</f>
        <v>12494.633527238408</v>
      </c>
      <c r="AG38" s="73">
        <f t="shared" ref="AG38:AG45" ca="1" si="66">AE38*$AF$15</f>
        <v>0</v>
      </c>
      <c r="AH38" s="35">
        <f t="shared" ref="AH38:AH45" ca="1" si="67">AD38+AF38</f>
        <v>96112.565594141604</v>
      </c>
      <c r="AI38" s="35">
        <f t="shared" ref="AI38:AI45" ca="1" si="68">AE38+AG38</f>
        <v>0</v>
      </c>
      <c r="AJ38" s="35">
        <f t="shared" ref="AJ38:AJ45" ca="1" si="69">AH38*$AJ$15</f>
        <v>28833.769678242479</v>
      </c>
      <c r="AK38" s="73">
        <f t="shared" ref="AK38:AK45" ca="1" si="70">AI38*$AJ$15</f>
        <v>0</v>
      </c>
      <c r="AL38" s="35">
        <f t="shared" ref="AL38:AL45" ca="1" si="71">AH38+AJ38</f>
        <v>124946.33527238408</v>
      </c>
      <c r="AM38" s="73">
        <f t="shared" ref="AM38:AM45" ca="1" si="72">AK38+AI38</f>
        <v>0</v>
      </c>
      <c r="AN38" s="32">
        <v>6.5</v>
      </c>
      <c r="AO38" s="33" t="e">
        <f>Нормы!#REF!</f>
        <v>#REF!</v>
      </c>
      <c r="AP38" s="79" t="e">
        <f>(G38*AN38)*AO38/100</f>
        <v>#REF!</v>
      </c>
      <c r="AQ38" s="33" t="s">
        <v>155</v>
      </c>
      <c r="AR38" s="83" t="e">
        <f>'Исходные данные'!#REF!</f>
        <v>#REF!</v>
      </c>
      <c r="AS38" s="36" t="e">
        <f>AP38*AR38</f>
        <v>#REF!</v>
      </c>
      <c r="AT38" s="36"/>
      <c r="AU38" s="36"/>
      <c r="AV38" s="36"/>
      <c r="AW38" s="36"/>
      <c r="AX38" s="36">
        <f>аморт!$G$11</f>
        <v>181.91312849162011</v>
      </c>
      <c r="AY38" s="36">
        <f>AX38*L38</f>
        <v>3031.8854748603353</v>
      </c>
      <c r="AZ38" s="36">
        <f>аморт!$G$54</f>
        <v>43.453374999999994</v>
      </c>
      <c r="BA38" s="36">
        <f>AZ38*L38</f>
        <v>724.22291666666661</v>
      </c>
      <c r="BB38" s="38">
        <v>82.4</v>
      </c>
      <c r="BC38" s="36">
        <f>BB38*BM38</f>
        <v>7004.0000000000009</v>
      </c>
      <c r="BD38" s="38">
        <v>13.9</v>
      </c>
      <c r="BE38" s="36">
        <f>BD38*BM38</f>
        <v>1181.5</v>
      </c>
      <c r="BF38" s="38">
        <f>4.8*1.045*1.054</f>
        <v>5.2868639999999996</v>
      </c>
      <c r="BG38" s="36">
        <f>BF38*BM38</f>
        <v>449.38343999999995</v>
      </c>
      <c r="BH38" s="36">
        <f>аморт!$C$54*10%/аморт!$E$54*L38*7</f>
        <v>64890.373333333344</v>
      </c>
      <c r="BI38" s="36" t="e">
        <f t="shared" ref="BI38:BI45" ca="1" si="73">AL38+AM38+AS38+AY38+BA38+BC38+BE38+BG38+BH38+AW38</f>
        <v>#REF!</v>
      </c>
      <c r="BJ38" s="36" t="e">
        <f t="shared" ref="BJ38:BJ45" ca="1" si="74">BI38/$D$5</f>
        <v>#REF!</v>
      </c>
      <c r="BK38" s="38">
        <f t="shared" ref="BK38:BK45" si="75">(O38+P38)/$D$5</f>
        <v>1.1666666666666667</v>
      </c>
      <c r="BL38" s="38">
        <v>5.0999999999999996</v>
      </c>
      <c r="BM38" s="39">
        <f>BL38*L38</f>
        <v>85</v>
      </c>
    </row>
    <row r="39" spans="1:65" x14ac:dyDescent="0.2">
      <c r="A39" s="19">
        <v>2</v>
      </c>
      <c r="B39" s="27" t="s">
        <v>86</v>
      </c>
      <c r="C39" s="29">
        <v>0.41666666666666669</v>
      </c>
      <c r="D39" s="30" t="s">
        <v>107</v>
      </c>
      <c r="E39" s="31" t="s">
        <v>203</v>
      </c>
      <c r="F39" s="28" t="s">
        <v>108</v>
      </c>
      <c r="G39" s="144">
        <v>20</v>
      </c>
      <c r="H39" s="81">
        <v>40376</v>
      </c>
      <c r="I39" s="81">
        <v>40378</v>
      </c>
      <c r="J39" s="83">
        <v>3</v>
      </c>
      <c r="K39" s="32">
        <v>16</v>
      </c>
      <c r="L39" s="33">
        <f t="shared" si="55"/>
        <v>1.25</v>
      </c>
      <c r="M39" s="30">
        <v>1</v>
      </c>
      <c r="N39" s="30"/>
      <c r="O39" s="35">
        <f t="shared" ref="O39:O45" si="76">IF(M39=0,0,L39*$O$15)</f>
        <v>8.75</v>
      </c>
      <c r="P39" s="35">
        <f t="shared" si="56"/>
        <v>0</v>
      </c>
      <c r="Q39" s="85">
        <v>2</v>
      </c>
      <c r="R39" s="83">
        <f ca="1">IF(AND(O39&gt;0,Q39&gt;0),SUMIF('Исходные данные'!$C$13:H34,Q39,'Исходные данные'!$C$17:$H$17),IF(O39=0,0,IF(Q39=0,"РОТ")))</f>
        <v>128.66557526609228</v>
      </c>
      <c r="S39" s="85"/>
      <c r="T39" s="30"/>
      <c r="U39" s="130">
        <f ca="1">O39*R39*'Исходные данные'!$C$37%</f>
        <v>0</v>
      </c>
      <c r="V39" s="130">
        <f>P39*T39*'Исходные данные'!$C$38%</f>
        <v>0</v>
      </c>
      <c r="W39" s="130">
        <f t="shared" ca="1" si="57"/>
        <v>450.32951343132299</v>
      </c>
      <c r="X39" s="131">
        <f t="shared" si="58"/>
        <v>0</v>
      </c>
      <c r="Y39" s="130">
        <f t="shared" ca="1" si="59"/>
        <v>157.61532970096306</v>
      </c>
      <c r="Z39" s="131">
        <f t="shared" si="60"/>
        <v>0</v>
      </c>
      <c r="AA39" s="130">
        <f t="shared" ca="1" si="61"/>
        <v>112.58237835783075</v>
      </c>
      <c r="AB39" s="131">
        <f t="shared" si="62"/>
        <v>0</v>
      </c>
      <c r="AC39" s="129">
        <v>2.8</v>
      </c>
      <c r="AD39" s="130">
        <f t="shared" ca="1" si="63"/>
        <v>5169.7828141915879</v>
      </c>
      <c r="AE39" s="130">
        <f t="shared" si="64"/>
        <v>0</v>
      </c>
      <c r="AF39" s="35">
        <f t="shared" ca="1" si="65"/>
        <v>772.49628258035216</v>
      </c>
      <c r="AG39" s="73">
        <f t="shared" ca="1" si="66"/>
        <v>0</v>
      </c>
      <c r="AH39" s="35">
        <f t="shared" ca="1" si="67"/>
        <v>5942.2790967719402</v>
      </c>
      <c r="AI39" s="35">
        <f t="shared" ca="1" si="68"/>
        <v>0</v>
      </c>
      <c r="AJ39" s="35">
        <f t="shared" ca="1" si="69"/>
        <v>1782.6837290315821</v>
      </c>
      <c r="AK39" s="73">
        <f t="shared" ca="1" si="70"/>
        <v>0</v>
      </c>
      <c r="AL39" s="35">
        <f t="shared" ca="1" si="71"/>
        <v>7724.9628258035227</v>
      </c>
      <c r="AM39" s="73">
        <f t="shared" ca="1" si="72"/>
        <v>0</v>
      </c>
      <c r="AN39" s="33">
        <v>1.8</v>
      </c>
      <c r="AO39" s="33" t="e">
        <f>Нормы!#REF!</f>
        <v>#REF!</v>
      </c>
      <c r="AP39" s="79" t="e">
        <f>(G39*AN39)*AO39/100</f>
        <v>#REF!</v>
      </c>
      <c r="AQ39" s="33" t="s">
        <v>155</v>
      </c>
      <c r="AR39" s="83" t="e">
        <f>'Исходные данные'!#REF!</f>
        <v>#REF!</v>
      </c>
      <c r="AS39" s="36" t="e">
        <f>AP39*AR39</f>
        <v>#REF!</v>
      </c>
      <c r="AT39" s="36"/>
      <c r="AU39" s="36"/>
      <c r="AV39" s="36"/>
      <c r="AW39" s="36"/>
      <c r="AX39" s="36">
        <f>аморт!$G$11</f>
        <v>181.91312849162011</v>
      </c>
      <c r="AY39" s="36">
        <f>AX39*L39</f>
        <v>227.39141061452514</v>
      </c>
      <c r="AZ39" s="36">
        <f>аморт!$G$38</f>
        <v>144.06779999999998</v>
      </c>
      <c r="BA39" s="36">
        <f>AZ39*L39</f>
        <v>180.08474999999999</v>
      </c>
      <c r="BB39" s="38">
        <v>82.4</v>
      </c>
      <c r="BC39" s="36">
        <f>BB39*BM39</f>
        <v>525.30000000000007</v>
      </c>
      <c r="BD39" s="38">
        <v>13.9</v>
      </c>
      <c r="BE39" s="36">
        <f>BD39*BM39</f>
        <v>88.612499999999997</v>
      </c>
      <c r="BF39" s="38">
        <f>4.8*1.045*1.054</f>
        <v>5.2868639999999996</v>
      </c>
      <c r="BG39" s="36">
        <f>BF39*BM39</f>
        <v>33.703758000000001</v>
      </c>
      <c r="BH39" s="36">
        <f>аморт!$C$38*10%/аморт!$E$38*L39*7</f>
        <v>3025.4237999999996</v>
      </c>
      <c r="BI39" s="36" t="e">
        <f t="shared" ca="1" si="73"/>
        <v>#REF!</v>
      </c>
      <c r="BJ39" s="36" t="e">
        <f t="shared" ca="1" si="74"/>
        <v>#REF!</v>
      </c>
      <c r="BK39" s="38">
        <f t="shared" si="75"/>
        <v>8.7499999999999994E-2</v>
      </c>
      <c r="BL39" s="38">
        <v>5.0999999999999996</v>
      </c>
      <c r="BM39" s="39">
        <f>BL39*L39</f>
        <v>6.375</v>
      </c>
    </row>
    <row r="40" spans="1:65" x14ac:dyDescent="0.2">
      <c r="A40" s="19">
        <v>3</v>
      </c>
      <c r="B40" s="27" t="s">
        <v>87</v>
      </c>
      <c r="C40" s="29">
        <v>2.3809523809523809</v>
      </c>
      <c r="D40" s="30" t="s">
        <v>107</v>
      </c>
      <c r="E40" s="31" t="s">
        <v>203</v>
      </c>
      <c r="F40" s="28" t="s">
        <v>108</v>
      </c>
      <c r="G40" s="144">
        <v>100</v>
      </c>
      <c r="H40" s="81">
        <v>40377</v>
      </c>
      <c r="I40" s="81">
        <v>40379</v>
      </c>
      <c r="J40" s="83">
        <v>3</v>
      </c>
      <c r="K40" s="32">
        <v>14</v>
      </c>
      <c r="L40" s="33">
        <f t="shared" si="55"/>
        <v>7.1428571428571432</v>
      </c>
      <c r="M40" s="30">
        <v>3</v>
      </c>
      <c r="N40" s="30"/>
      <c r="O40" s="35">
        <f t="shared" si="76"/>
        <v>50</v>
      </c>
      <c r="P40" s="35">
        <f t="shared" si="56"/>
        <v>0</v>
      </c>
      <c r="Q40" s="85">
        <v>2</v>
      </c>
      <c r="R40" s="83">
        <f ca="1">IF(AND(O40&gt;0,Q40&gt;0),SUMIF('Исходные данные'!$C$13:H35,Q40,'Исходные данные'!$C$17:$H$17),IF(O40=0,0,IF(Q40=0,"РОТ")))</f>
        <v>128.66557526609228</v>
      </c>
      <c r="S40" s="85"/>
      <c r="T40" s="30"/>
      <c r="U40" s="130">
        <f ca="1">O40*R40*'Исходные данные'!$C$37%</f>
        <v>0</v>
      </c>
      <c r="V40" s="130">
        <f>P40*T40*'Исходные данные'!$C$38%</f>
        <v>0</v>
      </c>
      <c r="W40" s="130">
        <f t="shared" ca="1" si="57"/>
        <v>2573.3115053218457</v>
      </c>
      <c r="X40" s="131">
        <f t="shared" si="58"/>
        <v>0</v>
      </c>
      <c r="Y40" s="130">
        <f t="shared" ca="1" si="59"/>
        <v>900.65902686264599</v>
      </c>
      <c r="Z40" s="131">
        <f t="shared" si="60"/>
        <v>0</v>
      </c>
      <c r="AA40" s="130">
        <f t="shared" ca="1" si="61"/>
        <v>643.32787633046144</v>
      </c>
      <c r="AB40" s="131">
        <f t="shared" si="62"/>
        <v>0</v>
      </c>
      <c r="AC40" s="129">
        <v>2.8</v>
      </c>
      <c r="AD40" s="130">
        <f t="shared" ca="1" si="63"/>
        <v>29541.616081094784</v>
      </c>
      <c r="AE40" s="130">
        <f t="shared" si="64"/>
        <v>0</v>
      </c>
      <c r="AF40" s="35">
        <f t="shared" ca="1" si="65"/>
        <v>4414.2644718877254</v>
      </c>
      <c r="AG40" s="73">
        <f t="shared" ca="1" si="66"/>
        <v>0</v>
      </c>
      <c r="AH40" s="35">
        <f t="shared" ca="1" si="67"/>
        <v>33955.880552982511</v>
      </c>
      <c r="AI40" s="35">
        <f t="shared" ca="1" si="68"/>
        <v>0</v>
      </c>
      <c r="AJ40" s="35">
        <f t="shared" ca="1" si="69"/>
        <v>10186.764165894752</v>
      </c>
      <c r="AK40" s="73">
        <f t="shared" ca="1" si="70"/>
        <v>0</v>
      </c>
      <c r="AL40" s="35">
        <f t="shared" ca="1" si="71"/>
        <v>44142.644718877265</v>
      </c>
      <c r="AM40" s="73">
        <f t="shared" ca="1" si="72"/>
        <v>0</v>
      </c>
      <c r="AN40" s="32">
        <v>2.8</v>
      </c>
      <c r="AO40" s="33" t="e">
        <f>Нормы!#REF!</f>
        <v>#REF!</v>
      </c>
      <c r="AP40" s="79" t="e">
        <f>(G40*AN40)*AO40/100</f>
        <v>#REF!</v>
      </c>
      <c r="AQ40" s="33" t="s">
        <v>155</v>
      </c>
      <c r="AR40" s="83" t="e">
        <f>'Исходные данные'!#REF!</f>
        <v>#REF!</v>
      </c>
      <c r="AS40" s="36" t="e">
        <f>AP40*AR40</f>
        <v>#REF!</v>
      </c>
      <c r="AT40" s="36"/>
      <c r="AU40" s="36"/>
      <c r="AV40" s="36"/>
      <c r="AW40" s="36"/>
      <c r="AX40" s="36">
        <f>аморт!$G$11</f>
        <v>181.91312849162011</v>
      </c>
      <c r="AY40" s="36">
        <f>AX40*L40</f>
        <v>1299.3794892258579</v>
      </c>
      <c r="AZ40" s="36">
        <f>аморт!$G$38</f>
        <v>144.06779999999998</v>
      </c>
      <c r="BA40" s="36">
        <f>AZ40*L40</f>
        <v>1029.0557142857142</v>
      </c>
      <c r="BB40" s="38">
        <v>82.4</v>
      </c>
      <c r="BC40" s="36">
        <f>BB40*BM40</f>
        <v>3001.7142857142862</v>
      </c>
      <c r="BD40" s="38">
        <v>13.9</v>
      </c>
      <c r="BE40" s="36">
        <f>BD40*BM40</f>
        <v>506.35714285714289</v>
      </c>
      <c r="BF40" s="38">
        <f>4.8*1.045*1.054</f>
        <v>5.2868639999999996</v>
      </c>
      <c r="BG40" s="36">
        <f>BF40*BM40</f>
        <v>192.59290285714286</v>
      </c>
      <c r="BH40" s="36">
        <f>аморт!$C$38*10%/аморт!$E$38*L40*7</f>
        <v>17288.135999999999</v>
      </c>
      <c r="BI40" s="36" t="e">
        <f t="shared" ca="1" si="73"/>
        <v>#REF!</v>
      </c>
      <c r="BJ40" s="36" t="e">
        <f t="shared" ca="1" si="74"/>
        <v>#REF!</v>
      </c>
      <c r="BK40" s="38">
        <f t="shared" si="75"/>
        <v>0.5</v>
      </c>
      <c r="BL40" s="38">
        <v>5.0999999999999996</v>
      </c>
      <c r="BM40" s="39">
        <f>BL40*L40</f>
        <v>36.428571428571431</v>
      </c>
    </row>
    <row r="41" spans="1:65" x14ac:dyDescent="0.2">
      <c r="A41" s="19">
        <v>4</v>
      </c>
      <c r="B41" s="27" t="s">
        <v>95</v>
      </c>
      <c r="C41" s="144">
        <v>5</v>
      </c>
      <c r="D41" s="30" t="s">
        <v>120</v>
      </c>
      <c r="E41" s="31" t="s">
        <v>206</v>
      </c>
      <c r="F41" s="28" t="s">
        <v>108</v>
      </c>
      <c r="G41" s="144">
        <v>100</v>
      </c>
      <c r="H41" s="82">
        <v>40379</v>
      </c>
      <c r="I41" s="82">
        <v>40386</v>
      </c>
      <c r="J41" s="83">
        <f>L41/N41</f>
        <v>83.333333333333343</v>
      </c>
      <c r="K41" s="32">
        <v>1.2</v>
      </c>
      <c r="L41" s="33">
        <f t="shared" si="55"/>
        <v>83.333333333333343</v>
      </c>
      <c r="M41" s="30"/>
      <c r="N41" s="30">
        <v>1</v>
      </c>
      <c r="O41" s="35">
        <f t="shared" si="76"/>
        <v>0</v>
      </c>
      <c r="P41" s="35">
        <f t="shared" si="56"/>
        <v>583.33333333333337</v>
      </c>
      <c r="Q41" s="85"/>
      <c r="R41" s="30"/>
      <c r="S41" s="85">
        <v>2</v>
      </c>
      <c r="T41" s="83">
        <f ca="1">IF(AND(N41&gt;0,P41&gt;0),SUMIF('Исходные данные'!$C$13:$J$29,S41,'Исходные данные'!$C$33:$J$39),IF(N41=0,0,IF(S41=0,"РОТ")))</f>
        <v>105.700598073999</v>
      </c>
      <c r="U41" s="130">
        <f>O41*R41*'Исходные данные'!$C$37%</f>
        <v>0</v>
      </c>
      <c r="V41" s="130">
        <f ca="1">P41*T41*'Исходные данные'!$C$38%</f>
        <v>0</v>
      </c>
      <c r="W41" s="130">
        <f t="shared" si="57"/>
        <v>0</v>
      </c>
      <c r="X41" s="131">
        <f t="shared" ca="1" si="58"/>
        <v>24663.472883933104</v>
      </c>
      <c r="Y41" s="130">
        <f t="shared" si="59"/>
        <v>0</v>
      </c>
      <c r="Z41" s="131">
        <f t="shared" ca="1" si="60"/>
        <v>4316.1077546882934</v>
      </c>
      <c r="AA41" s="130">
        <f t="shared" si="61"/>
        <v>0</v>
      </c>
      <c r="AB41" s="131">
        <f t="shared" ca="1" si="62"/>
        <v>6165.8682209832759</v>
      </c>
      <c r="AC41" s="129">
        <v>2.8</v>
      </c>
      <c r="AD41" s="130">
        <f t="shared" si="63"/>
        <v>0</v>
      </c>
      <c r="AE41" s="130">
        <f t="shared" ca="1" si="64"/>
        <v>271051.56699442479</v>
      </c>
      <c r="AF41" s="35">
        <f t="shared" ca="1" si="65"/>
        <v>0</v>
      </c>
      <c r="AG41" s="73">
        <f t="shared" ca="1" si="66"/>
        <v>40501.958286523244</v>
      </c>
      <c r="AH41" s="35">
        <f t="shared" ca="1" si="67"/>
        <v>0</v>
      </c>
      <c r="AI41" s="35">
        <f t="shared" ca="1" si="68"/>
        <v>311553.52528094803</v>
      </c>
      <c r="AJ41" s="35">
        <f t="shared" ca="1" si="69"/>
        <v>0</v>
      </c>
      <c r="AK41" s="73">
        <f t="shared" ca="1" si="70"/>
        <v>93466.057584284412</v>
      </c>
      <c r="AL41" s="35">
        <f t="shared" ca="1" si="71"/>
        <v>0</v>
      </c>
      <c r="AM41" s="73">
        <f t="shared" ca="1" si="72"/>
        <v>405019.58286523243</v>
      </c>
      <c r="AN41" s="30"/>
      <c r="AO41" s="30"/>
      <c r="AP41" s="79"/>
      <c r="AQ41" s="37"/>
      <c r="AR41" s="37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>
        <f t="shared" ca="1" si="73"/>
        <v>405019.58286523243</v>
      </c>
      <c r="BJ41" s="36">
        <f t="shared" ca="1" si="74"/>
        <v>4050.1958286523241</v>
      </c>
      <c r="BK41" s="38">
        <f t="shared" si="75"/>
        <v>5.8333333333333339</v>
      </c>
      <c r="BL41" s="36"/>
      <c r="BM41" s="36"/>
    </row>
    <row r="42" spans="1:65" x14ac:dyDescent="0.2">
      <c r="A42" s="19">
        <v>5</v>
      </c>
      <c r="B42" s="27" t="s">
        <v>96</v>
      </c>
      <c r="C42" s="144">
        <v>5</v>
      </c>
      <c r="D42" s="30" t="s">
        <v>120</v>
      </c>
      <c r="E42" s="31" t="s">
        <v>211</v>
      </c>
      <c r="F42" s="28" t="s">
        <v>108</v>
      </c>
      <c r="G42" s="144">
        <v>20</v>
      </c>
      <c r="H42" s="82">
        <v>40387</v>
      </c>
      <c r="I42" s="82">
        <v>40389</v>
      </c>
      <c r="J42" s="83">
        <f>L42/N42</f>
        <v>8</v>
      </c>
      <c r="K42" s="32">
        <v>2.5</v>
      </c>
      <c r="L42" s="33">
        <f t="shared" si="55"/>
        <v>8</v>
      </c>
      <c r="M42" s="30"/>
      <c r="N42" s="30">
        <v>1</v>
      </c>
      <c r="O42" s="35">
        <f t="shared" si="76"/>
        <v>0</v>
      </c>
      <c r="P42" s="35">
        <f t="shared" si="56"/>
        <v>56</v>
      </c>
      <c r="Q42" s="85"/>
      <c r="R42" s="30"/>
      <c r="S42" s="85">
        <v>2</v>
      </c>
      <c r="T42" s="83">
        <f ca="1">IF(AND(N42&gt;0,P42&gt;0),SUMIF('Исходные данные'!$C$13:$J$29,S42,'Исходные данные'!$C$33:$J$39),IF(N42=0,0,IF(S42=0,"РОТ")))</f>
        <v>105.700598073999</v>
      </c>
      <c r="U42" s="130">
        <f>O42*R42*'Исходные данные'!$C$37%</f>
        <v>0</v>
      </c>
      <c r="V42" s="130">
        <f ca="1">P42*T42*'Исходные данные'!$C$38%</f>
        <v>0</v>
      </c>
      <c r="W42" s="130">
        <f t="shared" si="57"/>
        <v>0</v>
      </c>
      <c r="X42" s="131">
        <f t="shared" ca="1" si="58"/>
        <v>2367.6933968575777</v>
      </c>
      <c r="Y42" s="130">
        <f t="shared" si="59"/>
        <v>0</v>
      </c>
      <c r="Z42" s="131">
        <f t="shared" ca="1" si="60"/>
        <v>414.34634445007617</v>
      </c>
      <c r="AA42" s="130">
        <f t="shared" si="61"/>
        <v>0</v>
      </c>
      <c r="AB42" s="131">
        <f t="shared" ca="1" si="62"/>
        <v>591.92334921439442</v>
      </c>
      <c r="AC42" s="129">
        <v>2.8</v>
      </c>
      <c r="AD42" s="130">
        <f t="shared" si="63"/>
        <v>0</v>
      </c>
      <c r="AE42" s="130">
        <f t="shared" ca="1" si="64"/>
        <v>26020.950431464778</v>
      </c>
      <c r="AF42" s="35">
        <f t="shared" ca="1" si="65"/>
        <v>0</v>
      </c>
      <c r="AG42" s="73">
        <f t="shared" ca="1" si="66"/>
        <v>3888.1879955062309</v>
      </c>
      <c r="AH42" s="35">
        <f t="shared" ca="1" si="67"/>
        <v>0</v>
      </c>
      <c r="AI42" s="35">
        <f t="shared" ca="1" si="68"/>
        <v>29909.138426971011</v>
      </c>
      <c r="AJ42" s="35">
        <f t="shared" ca="1" si="69"/>
        <v>0</v>
      </c>
      <c r="AK42" s="73">
        <f t="shared" ca="1" si="70"/>
        <v>8972.7415280913028</v>
      </c>
      <c r="AL42" s="35">
        <f t="shared" ca="1" si="71"/>
        <v>0</v>
      </c>
      <c r="AM42" s="73">
        <f t="shared" ca="1" si="72"/>
        <v>38881.879955062315</v>
      </c>
      <c r="AN42" s="30"/>
      <c r="AO42" s="30"/>
      <c r="AP42" s="79"/>
      <c r="AQ42" s="37"/>
      <c r="AR42" s="37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>
        <f t="shared" ca="1" si="73"/>
        <v>38881.879955062315</v>
      </c>
      <c r="BJ42" s="36">
        <f t="shared" ca="1" si="74"/>
        <v>388.81879955062317</v>
      </c>
      <c r="BK42" s="38">
        <f t="shared" si="75"/>
        <v>0.56000000000000005</v>
      </c>
      <c r="BL42" s="36"/>
      <c r="BM42" s="36"/>
    </row>
    <row r="43" spans="1:65" x14ac:dyDescent="0.2">
      <c r="A43" s="19">
        <v>6</v>
      </c>
      <c r="B43" s="27" t="s">
        <v>97</v>
      </c>
      <c r="C43" s="144">
        <v>5</v>
      </c>
      <c r="D43" s="30" t="s">
        <v>120</v>
      </c>
      <c r="E43" s="31" t="s">
        <v>206</v>
      </c>
      <c r="F43" s="28" t="s">
        <v>111</v>
      </c>
      <c r="G43" s="144">
        <v>116.23529411764707</v>
      </c>
      <c r="H43" s="82">
        <v>40391</v>
      </c>
      <c r="I43" s="82">
        <v>40400</v>
      </c>
      <c r="J43" s="83">
        <f>L43/N43</f>
        <v>38.745098039215691</v>
      </c>
      <c r="K43" s="32">
        <v>3</v>
      </c>
      <c r="L43" s="33">
        <f t="shared" si="55"/>
        <v>38.745098039215691</v>
      </c>
      <c r="M43" s="30"/>
      <c r="N43" s="30">
        <v>1</v>
      </c>
      <c r="O43" s="35">
        <f t="shared" si="76"/>
        <v>0</v>
      </c>
      <c r="P43" s="35">
        <f t="shared" si="56"/>
        <v>271.21568627450984</v>
      </c>
      <c r="Q43" s="85"/>
      <c r="R43" s="30"/>
      <c r="S43" s="85">
        <v>4</v>
      </c>
      <c r="T43" s="83">
        <f ca="1">IF(AND(N43&gt;0,P43&gt;0),SUMIF('Исходные данные'!$C$13:$J$29,S43,'Исходные данные'!$C$33:$J$39),IF(N43=0,0,IF(S43=0,"РОТ")))</f>
        <v>123.48200709579322</v>
      </c>
      <c r="U43" s="130">
        <f>O43*R43*'Исходные данные'!$C$37%</f>
        <v>0</v>
      </c>
      <c r="V43" s="130">
        <f ca="1">P43*T43*'Исходные данные'!$C$38%</f>
        <v>0</v>
      </c>
      <c r="W43" s="130">
        <f t="shared" si="57"/>
        <v>0</v>
      </c>
      <c r="X43" s="131">
        <f t="shared" ca="1" si="58"/>
        <v>13396.102918815783</v>
      </c>
      <c r="Y43" s="130">
        <f t="shared" si="59"/>
        <v>0</v>
      </c>
      <c r="Z43" s="131">
        <f t="shared" ca="1" si="60"/>
        <v>2344.3180107927619</v>
      </c>
      <c r="AA43" s="130">
        <f t="shared" si="61"/>
        <v>0</v>
      </c>
      <c r="AB43" s="131">
        <f t="shared" ca="1" si="62"/>
        <v>3349.0257297039457</v>
      </c>
      <c r="AC43" s="129">
        <v>2.8</v>
      </c>
      <c r="AD43" s="130">
        <f t="shared" si="63"/>
        <v>0</v>
      </c>
      <c r="AE43" s="130">
        <f t="shared" ca="1" si="64"/>
        <v>147223.17107778543</v>
      </c>
      <c r="AF43" s="35">
        <f t="shared" ca="1" si="65"/>
        <v>0</v>
      </c>
      <c r="AG43" s="73">
        <f t="shared" ca="1" si="66"/>
        <v>21998.864643807017</v>
      </c>
      <c r="AH43" s="35">
        <f t="shared" ca="1" si="67"/>
        <v>0</v>
      </c>
      <c r="AI43" s="35">
        <f t="shared" ca="1" si="68"/>
        <v>169222.03572159246</v>
      </c>
      <c r="AJ43" s="35">
        <f t="shared" ca="1" si="69"/>
        <v>0</v>
      </c>
      <c r="AK43" s="73">
        <f t="shared" ca="1" si="70"/>
        <v>50766.610716477735</v>
      </c>
      <c r="AL43" s="35">
        <f t="shared" ca="1" si="71"/>
        <v>0</v>
      </c>
      <c r="AM43" s="73">
        <f t="shared" ca="1" si="72"/>
        <v>219988.64643807019</v>
      </c>
      <c r="AN43" s="30"/>
      <c r="AO43" s="30"/>
      <c r="AP43" s="79"/>
      <c r="AQ43" s="37"/>
      <c r="AR43" s="37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>
        <f t="shared" ca="1" si="73"/>
        <v>219988.64643807019</v>
      </c>
      <c r="BJ43" s="36">
        <f t="shared" ca="1" si="74"/>
        <v>2199.8864643807019</v>
      </c>
      <c r="BK43" s="38">
        <f t="shared" si="75"/>
        <v>2.7121568627450983</v>
      </c>
      <c r="BL43" s="36"/>
      <c r="BM43" s="36"/>
    </row>
    <row r="44" spans="1:65" x14ac:dyDescent="0.2">
      <c r="A44" s="19">
        <v>7</v>
      </c>
      <c r="B44" s="27" t="s">
        <v>96</v>
      </c>
      <c r="C44" s="144">
        <v>5</v>
      </c>
      <c r="D44" s="30" t="s">
        <v>120</v>
      </c>
      <c r="E44" s="31" t="s">
        <v>211</v>
      </c>
      <c r="F44" s="28" t="s">
        <v>108</v>
      </c>
      <c r="G44" s="144">
        <v>20</v>
      </c>
      <c r="H44" s="82">
        <v>40401</v>
      </c>
      <c r="I44" s="82">
        <v>40404</v>
      </c>
      <c r="J44" s="83">
        <f>L44/N44</f>
        <v>8</v>
      </c>
      <c r="K44" s="32">
        <v>2.5</v>
      </c>
      <c r="L44" s="33">
        <f t="shared" si="55"/>
        <v>8</v>
      </c>
      <c r="M44" s="30"/>
      <c r="N44" s="30">
        <v>1</v>
      </c>
      <c r="O44" s="35">
        <f t="shared" si="76"/>
        <v>0</v>
      </c>
      <c r="P44" s="35">
        <f t="shared" si="56"/>
        <v>56</v>
      </c>
      <c r="Q44" s="85"/>
      <c r="R44" s="30"/>
      <c r="S44" s="85">
        <v>2</v>
      </c>
      <c r="T44" s="83">
        <f ca="1">IF(AND(N44&gt;0,P44&gt;0),SUMIF('Исходные данные'!$C$13:$J$29,S44,'Исходные данные'!$C$33:$J$39),IF(N44=0,0,IF(S44=0,"РОТ")))</f>
        <v>105.700598073999</v>
      </c>
      <c r="U44" s="130">
        <f>O44*R44*'Исходные данные'!$C$37%</f>
        <v>0</v>
      </c>
      <c r="V44" s="130">
        <f ca="1">P44*T44*'Исходные данные'!$C$38%</f>
        <v>0</v>
      </c>
      <c r="W44" s="130">
        <f t="shared" si="57"/>
        <v>0</v>
      </c>
      <c r="X44" s="131">
        <f t="shared" ca="1" si="58"/>
        <v>2367.6933968575777</v>
      </c>
      <c r="Y44" s="130">
        <f t="shared" si="59"/>
        <v>0</v>
      </c>
      <c r="Z44" s="131">
        <f t="shared" ca="1" si="60"/>
        <v>414.34634445007617</v>
      </c>
      <c r="AA44" s="130">
        <f t="shared" si="61"/>
        <v>0</v>
      </c>
      <c r="AB44" s="131">
        <f t="shared" ca="1" si="62"/>
        <v>591.92334921439442</v>
      </c>
      <c r="AC44" s="129">
        <v>2.8</v>
      </c>
      <c r="AD44" s="130">
        <f t="shared" si="63"/>
        <v>0</v>
      </c>
      <c r="AE44" s="130">
        <f t="shared" ca="1" si="64"/>
        <v>26020.950431464778</v>
      </c>
      <c r="AF44" s="35">
        <f t="shared" ca="1" si="65"/>
        <v>0</v>
      </c>
      <c r="AG44" s="73">
        <f t="shared" ca="1" si="66"/>
        <v>3888.1879955062309</v>
      </c>
      <c r="AH44" s="35">
        <f t="shared" ca="1" si="67"/>
        <v>0</v>
      </c>
      <c r="AI44" s="35">
        <f t="shared" ca="1" si="68"/>
        <v>29909.138426971011</v>
      </c>
      <c r="AJ44" s="35">
        <f t="shared" ca="1" si="69"/>
        <v>0</v>
      </c>
      <c r="AK44" s="73">
        <f t="shared" ca="1" si="70"/>
        <v>8972.7415280913028</v>
      </c>
      <c r="AL44" s="35">
        <f t="shared" ca="1" si="71"/>
        <v>0</v>
      </c>
      <c r="AM44" s="73">
        <f t="shared" ca="1" si="72"/>
        <v>38881.879955062315</v>
      </c>
      <c r="AN44" s="30"/>
      <c r="AO44" s="30"/>
      <c r="AP44" s="79"/>
      <c r="AQ44" s="37"/>
      <c r="AR44" s="37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 t="shared" ca="1" si="73"/>
        <v>38881.879955062315</v>
      </c>
      <c r="BJ44" s="36">
        <f t="shared" ca="1" si="74"/>
        <v>388.81879955062317</v>
      </c>
      <c r="BK44" s="38">
        <f t="shared" si="75"/>
        <v>0.56000000000000005</v>
      </c>
      <c r="BL44" s="36"/>
      <c r="BM44" s="36"/>
    </row>
    <row r="45" spans="1:65" x14ac:dyDescent="0.2">
      <c r="A45" s="19">
        <v>8</v>
      </c>
      <c r="B45" s="27" t="s">
        <v>98</v>
      </c>
      <c r="C45" s="144">
        <v>5</v>
      </c>
      <c r="D45" s="30" t="s">
        <v>120</v>
      </c>
      <c r="E45" s="31" t="s">
        <v>206</v>
      </c>
      <c r="F45" s="28" t="s">
        <v>111</v>
      </c>
      <c r="G45" s="144">
        <v>116.23529411764707</v>
      </c>
      <c r="H45" s="82">
        <v>40404</v>
      </c>
      <c r="I45" s="82">
        <v>40408</v>
      </c>
      <c r="J45" s="83">
        <f>L45/N45</f>
        <v>19.372549019607845</v>
      </c>
      <c r="K45" s="32">
        <v>6</v>
      </c>
      <c r="L45" s="33">
        <f t="shared" si="55"/>
        <v>19.372549019607845</v>
      </c>
      <c r="M45" s="30"/>
      <c r="N45" s="30">
        <v>1</v>
      </c>
      <c r="O45" s="35">
        <f t="shared" si="76"/>
        <v>0</v>
      </c>
      <c r="P45" s="35">
        <f t="shared" si="56"/>
        <v>135.60784313725492</v>
      </c>
      <c r="Q45" s="85"/>
      <c r="R45" s="30"/>
      <c r="S45" s="85">
        <v>2</v>
      </c>
      <c r="T45" s="83">
        <f ca="1">IF(AND(N45&gt;0,P45&gt;0),SUMIF('Исходные данные'!$C$13:$J$29,S45,'Исходные данные'!$C$33:$J$39),IF(N45=0,0,IF(S45=0,"РОТ")))</f>
        <v>105.700598073999</v>
      </c>
      <c r="U45" s="130">
        <f>O45*R45*'Исходные данные'!$C$37%</f>
        <v>0</v>
      </c>
      <c r="V45" s="130">
        <f ca="1">P45*T45*'Исходные данные'!$C$38%</f>
        <v>0</v>
      </c>
      <c r="W45" s="130">
        <f t="shared" si="57"/>
        <v>0</v>
      </c>
      <c r="X45" s="131">
        <f t="shared" ca="1" si="58"/>
        <v>5733.5320492531546</v>
      </c>
      <c r="Y45" s="130">
        <f t="shared" si="59"/>
        <v>0</v>
      </c>
      <c r="Z45" s="131">
        <f t="shared" ca="1" si="60"/>
        <v>1003.3681086193021</v>
      </c>
      <c r="AA45" s="130">
        <f t="shared" si="61"/>
        <v>0</v>
      </c>
      <c r="AB45" s="131">
        <f t="shared" ca="1" si="62"/>
        <v>1433.3830123132886</v>
      </c>
      <c r="AC45" s="129">
        <v>2.8</v>
      </c>
      <c r="AD45" s="130">
        <f t="shared" si="63"/>
        <v>0</v>
      </c>
      <c r="AE45" s="130">
        <f t="shared" ca="1" si="64"/>
        <v>63011.517221292175</v>
      </c>
      <c r="AF45" s="35">
        <f t="shared" ca="1" si="65"/>
        <v>0</v>
      </c>
      <c r="AG45" s="73">
        <f t="shared" ca="1" si="66"/>
        <v>9415.514067549404</v>
      </c>
      <c r="AH45" s="35">
        <f t="shared" ca="1" si="67"/>
        <v>0</v>
      </c>
      <c r="AI45" s="35">
        <f t="shared" ca="1" si="68"/>
        <v>72427.031288841579</v>
      </c>
      <c r="AJ45" s="35">
        <f t="shared" ca="1" si="69"/>
        <v>0</v>
      </c>
      <c r="AK45" s="73">
        <f t="shared" ca="1" si="70"/>
        <v>21728.109386652472</v>
      </c>
      <c r="AL45" s="35">
        <f t="shared" ca="1" si="71"/>
        <v>0</v>
      </c>
      <c r="AM45" s="73">
        <f t="shared" ca="1" si="72"/>
        <v>94155.140675494054</v>
      </c>
      <c r="AN45" s="30"/>
      <c r="AO45" s="30"/>
      <c r="AP45" s="79"/>
      <c r="AQ45" s="37"/>
      <c r="AR45" s="37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 t="shared" ca="1" si="73"/>
        <v>94155.140675494054</v>
      </c>
      <c r="BJ45" s="36">
        <f t="shared" ca="1" si="74"/>
        <v>941.55140675494056</v>
      </c>
      <c r="BK45" s="38">
        <f t="shared" si="75"/>
        <v>1.3560784313725491</v>
      </c>
      <c r="BL45" s="36"/>
      <c r="BM45" s="36"/>
    </row>
    <row r="46" spans="1:65" s="54" customFormat="1" x14ac:dyDescent="0.2">
      <c r="A46" s="52"/>
      <c r="B46" s="53" t="s">
        <v>22</v>
      </c>
      <c r="C46" s="53"/>
      <c r="D46" s="53"/>
      <c r="E46" s="53"/>
      <c r="F46" s="55"/>
      <c r="G46" s="146"/>
      <c r="H46" s="56"/>
      <c r="I46" s="56"/>
      <c r="J46" s="65">
        <f>SUM(J38:J45)</f>
        <v>167.45098039215688</v>
      </c>
      <c r="K46" s="65"/>
      <c r="L46" s="65">
        <f>SUM(L38:L45)</f>
        <v>182.5105042016807</v>
      </c>
      <c r="M46" s="65">
        <f t="shared" ref="M46:BM46" si="77">SUM(M38:M45)</f>
        <v>8</v>
      </c>
      <c r="N46" s="65">
        <f t="shared" si="77"/>
        <v>5</v>
      </c>
      <c r="O46" s="65">
        <f t="shared" si="77"/>
        <v>175.41666666666669</v>
      </c>
      <c r="P46" s="65">
        <f t="shared" si="77"/>
        <v>1102.1568627450981</v>
      </c>
      <c r="Q46" s="65"/>
      <c r="R46" s="65"/>
      <c r="S46" s="65"/>
      <c r="T46" s="65"/>
      <c r="U46" s="65">
        <f t="shared" ca="1" si="77"/>
        <v>0</v>
      </c>
      <c r="V46" s="65">
        <f t="shared" ca="1" si="77"/>
        <v>0</v>
      </c>
      <c r="W46" s="65">
        <f t="shared" ca="1" si="77"/>
        <v>10307.433010643692</v>
      </c>
      <c r="X46" s="65">
        <f t="shared" ca="1" si="77"/>
        <v>48528.494645717197</v>
      </c>
      <c r="Y46" s="65">
        <f t="shared" ca="1" si="77"/>
        <v>3607.6015537252924</v>
      </c>
      <c r="Z46" s="65">
        <f t="shared" ca="1" si="77"/>
        <v>8492.4865630005097</v>
      </c>
      <c r="AA46" s="65">
        <f t="shared" ca="1" si="77"/>
        <v>2576.858252660923</v>
      </c>
      <c r="AB46" s="65">
        <f t="shared" ca="1" si="77"/>
        <v>12132.123661429299</v>
      </c>
      <c r="AC46" s="65"/>
      <c r="AD46" s="65">
        <f t="shared" ca="1" si="77"/>
        <v>118329.33096218956</v>
      </c>
      <c r="AE46" s="65">
        <f t="shared" ca="1" si="77"/>
        <v>533328.15615643188</v>
      </c>
      <c r="AF46" s="65">
        <f t="shared" ca="1" si="77"/>
        <v>17681.394281706485</v>
      </c>
      <c r="AG46" s="65">
        <f t="shared" ca="1" si="77"/>
        <v>79692.712988892134</v>
      </c>
      <c r="AH46" s="65">
        <f t="shared" ca="1" si="77"/>
        <v>136010.72524389604</v>
      </c>
      <c r="AI46" s="65">
        <f t="shared" ca="1" si="77"/>
        <v>613020.86914532422</v>
      </c>
      <c r="AJ46" s="65">
        <f t="shared" ca="1" si="77"/>
        <v>40803.217573168811</v>
      </c>
      <c r="AK46" s="65">
        <f t="shared" ca="1" si="77"/>
        <v>183906.26074359723</v>
      </c>
      <c r="AL46" s="65">
        <f t="shared" ca="1" si="77"/>
        <v>176813.94281706488</v>
      </c>
      <c r="AM46" s="65">
        <f t="shared" ca="1" si="77"/>
        <v>796927.12988892128</v>
      </c>
      <c r="AN46" s="65"/>
      <c r="AO46" s="65"/>
      <c r="AP46" s="65" t="e">
        <f t="shared" si="77"/>
        <v>#REF!</v>
      </c>
      <c r="AQ46" s="65"/>
      <c r="AR46" s="65"/>
      <c r="AS46" s="65" t="e">
        <f t="shared" si="77"/>
        <v>#REF!</v>
      </c>
      <c r="AT46" s="65"/>
      <c r="AU46" s="65"/>
      <c r="AV46" s="65"/>
      <c r="AW46" s="65"/>
      <c r="AX46" s="65"/>
      <c r="AY46" s="65">
        <f t="shared" si="77"/>
        <v>4558.6563747007185</v>
      </c>
      <c r="AZ46" s="65"/>
      <c r="BA46" s="65">
        <f t="shared" si="77"/>
        <v>1933.3633809523808</v>
      </c>
      <c r="BB46" s="65"/>
      <c r="BC46" s="65">
        <f t="shared" si="77"/>
        <v>10531.014285714287</v>
      </c>
      <c r="BD46" s="65"/>
      <c r="BE46" s="65">
        <f t="shared" si="77"/>
        <v>1776.4696428571428</v>
      </c>
      <c r="BF46" s="65"/>
      <c r="BG46" s="65">
        <f t="shared" si="77"/>
        <v>675.68010085714286</v>
      </c>
      <c r="BH46" s="65">
        <f t="shared" si="77"/>
        <v>85203.933133333339</v>
      </c>
      <c r="BI46" s="65" t="e">
        <f t="shared" ca="1" si="77"/>
        <v>#REF!</v>
      </c>
      <c r="BJ46" s="65"/>
      <c r="BK46" s="65"/>
      <c r="BL46" s="65"/>
      <c r="BM46" s="65">
        <f t="shared" si="77"/>
        <v>127.80357142857143</v>
      </c>
    </row>
    <row r="47" spans="1:65" s="7" customFormat="1" ht="11.25" customHeight="1" x14ac:dyDescent="0.2">
      <c r="A47" s="21"/>
      <c r="B47" s="473" t="s">
        <v>487</v>
      </c>
      <c r="C47" s="473"/>
      <c r="D47" s="473"/>
      <c r="E47" s="473"/>
      <c r="F47" s="22"/>
      <c r="G47" s="147"/>
      <c r="H47" s="23"/>
      <c r="I47" s="23"/>
      <c r="J47" s="23"/>
      <c r="K47" s="23"/>
      <c r="L47" s="33"/>
      <c r="M47" s="23"/>
      <c r="N47" s="23"/>
      <c r="O47" s="35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79"/>
      <c r="AQ47" s="26"/>
      <c r="AR47" s="2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3"/>
    </row>
    <row r="48" spans="1:65" x14ac:dyDescent="0.2">
      <c r="A48" s="19">
        <v>1</v>
      </c>
      <c r="B48" s="27" t="s">
        <v>78</v>
      </c>
      <c r="C48" s="29">
        <v>10.288065843621398</v>
      </c>
      <c r="D48" s="30" t="s">
        <v>187</v>
      </c>
      <c r="E48" s="31" t="s">
        <v>488</v>
      </c>
      <c r="F48" s="28" t="s">
        <v>108</v>
      </c>
      <c r="G48" s="144">
        <v>100</v>
      </c>
      <c r="H48" s="81">
        <v>40374</v>
      </c>
      <c r="I48" s="81">
        <v>40377</v>
      </c>
      <c r="J48" s="83">
        <f>L48/M48</f>
        <v>30.864197530864196</v>
      </c>
      <c r="K48" s="32">
        <v>3.24</v>
      </c>
      <c r="L48" s="33">
        <f t="shared" ref="L48:L55" si="78">G48/K48</f>
        <v>30.864197530864196</v>
      </c>
      <c r="M48" s="34">
        <v>1</v>
      </c>
      <c r="N48" s="34"/>
      <c r="O48" s="35">
        <f t="shared" ref="O48:O55" si="79">IF(M48=0,0,L48*$O$15)</f>
        <v>216.04938271604937</v>
      </c>
      <c r="P48" s="35">
        <f t="shared" ref="P48:P55" si="80">IF(N48=0,0,L48*$O$15)</f>
        <v>0</v>
      </c>
      <c r="Q48" s="34">
        <v>4</v>
      </c>
      <c r="R48" s="83">
        <f ca="1">IF(AND(O48&gt;0,Q48&gt;0),SUMIF('Исходные данные'!$C$13:H43,Q48,'Исходные данные'!$C$17:$H$17),IF(O48=0,0,IF(Q48=0,"РОТ")))</f>
        <v>156.08125696908263</v>
      </c>
      <c r="S48" s="34"/>
      <c r="T48" s="83">
        <f>IF(AND(N48&gt;0,P48&gt;0),SUMIF('Исходные данные'!$C$13:$J$29,S48,'Исходные данные'!$C$33:$J$39),IF(N48=0,0,IF(S48=0,"РОТ")))</f>
        <v>0</v>
      </c>
      <c r="U48" s="130">
        <f ca="1">O48*R48*'Исходные данные'!$C$37%</f>
        <v>0</v>
      </c>
      <c r="V48" s="130">
        <f>P48*T48*'Исходные данные'!$C$38%</f>
        <v>0</v>
      </c>
      <c r="W48" s="130">
        <f t="shared" ref="W48:W55" ca="1" si="81">O48*R48*$W$15</f>
        <v>13488.503688686153</v>
      </c>
      <c r="X48" s="131">
        <f t="shared" ref="X48:X55" si="82">P48*T48*$W$15</f>
        <v>0</v>
      </c>
      <c r="Y48" s="130">
        <f t="shared" ref="Y48:Y55" ca="1" si="83">(O48*R48+U48+W48)*$Y$15</f>
        <v>4720.9762910401541</v>
      </c>
      <c r="Z48" s="131">
        <f t="shared" ref="Z48:Z55" si="84">(P48*T48+V48+X48)*$Z$15</f>
        <v>0</v>
      </c>
      <c r="AA48" s="130">
        <f t="shared" ref="AA48:AA55" ca="1" si="85">(O48*R48+U48)*$AA$15</f>
        <v>3372.1259221715381</v>
      </c>
      <c r="AB48" s="131">
        <f t="shared" ref="AB48:AB55" si="86">(P48*T48+V48)*$AA$15</f>
        <v>0</v>
      </c>
      <c r="AC48" s="129">
        <v>2.8</v>
      </c>
      <c r="AD48" s="130">
        <f t="shared" ref="AD48:AD55" ca="1" si="87">(O48*R48+U48+W48+Y48+AA48)*AC48</f>
        <v>154848.02234611704</v>
      </c>
      <c r="AE48" s="130">
        <f t="shared" ref="AE48:AE55" si="88">(P48*T48+V48+X48+Z48+AB48)*AC48</f>
        <v>0</v>
      </c>
      <c r="AF48" s="35">
        <f t="shared" ref="AF48:AF55" ca="1" si="89">AD48*$AF$15</f>
        <v>23138.210235626681</v>
      </c>
      <c r="AG48" s="73">
        <f t="shared" ref="AG48:AG55" ca="1" si="90">AE48*$AF$15</f>
        <v>0</v>
      </c>
      <c r="AH48" s="35">
        <f t="shared" ref="AH48:AH55" ca="1" si="91">AD48+AF48</f>
        <v>177986.23258174371</v>
      </c>
      <c r="AI48" s="35">
        <f t="shared" ref="AI48:AI55" ca="1" si="92">AE48+AG48</f>
        <v>0</v>
      </c>
      <c r="AJ48" s="35">
        <f t="shared" ref="AJ48:AJ55" ca="1" si="93">AH48*$AJ$15</f>
        <v>53395.869774523111</v>
      </c>
      <c r="AK48" s="73">
        <f t="shared" ref="AK48:AK55" ca="1" si="94">AI48*$AJ$15</f>
        <v>0</v>
      </c>
      <c r="AL48" s="35">
        <f t="shared" ref="AL48:AL55" ca="1" si="95">AH48+AJ48</f>
        <v>231382.10235626681</v>
      </c>
      <c r="AM48" s="73">
        <f t="shared" ref="AM48:AM55" ca="1" si="96">AK48+AI48</f>
        <v>0</v>
      </c>
      <c r="AN48" s="32">
        <v>2.0329999999999999</v>
      </c>
      <c r="AO48" s="33" t="e">
        <f>Нормы!#REF!</f>
        <v>#REF!</v>
      </c>
      <c r="AP48" s="79" t="e">
        <f>(G48*AN48)*AO48/100</f>
        <v>#REF!</v>
      </c>
      <c r="AQ48" s="33" t="s">
        <v>155</v>
      </c>
      <c r="AR48" s="83" t="e">
        <f>'Исходные данные'!#REF!</f>
        <v>#REF!</v>
      </c>
      <c r="AS48" s="36" t="e">
        <f>AP48*AR48</f>
        <v>#REF!</v>
      </c>
      <c r="AT48" s="36"/>
      <c r="AU48" s="36"/>
      <c r="AV48" s="36"/>
      <c r="AW48" s="36"/>
      <c r="AX48" s="36"/>
      <c r="AY48" s="36"/>
      <c r="AZ48" s="36">
        <f>аморт!G47</f>
        <v>86.069866071428578</v>
      </c>
      <c r="BA48" s="36">
        <f>AZ48*L48</f>
        <v>2656.4773478835978</v>
      </c>
      <c r="BB48" s="36"/>
      <c r="BC48" s="36"/>
      <c r="BD48" s="36"/>
      <c r="BE48" s="36"/>
      <c r="BF48" s="36"/>
      <c r="BG48" s="36"/>
      <c r="BH48" s="36">
        <f>аморт!C47*10%/аморт!E47*L48*7</f>
        <v>133291.40740740739</v>
      </c>
      <c r="BI48" s="36" t="e">
        <f t="shared" ref="BI48:BI55" ca="1" si="97">AL48+AM48+AS48+AY48+BA48+BC48+BE48+BG48+BH48+AW48</f>
        <v>#REF!</v>
      </c>
      <c r="BJ48" s="36" t="e">
        <f t="shared" ref="BJ48:BJ55" ca="1" si="98">BI48/$D$5</f>
        <v>#REF!</v>
      </c>
      <c r="BK48" s="38">
        <f t="shared" ref="BK48:BK55" si="99">(O48+P48)/$D$5</f>
        <v>2.1604938271604937</v>
      </c>
      <c r="BL48" s="38"/>
      <c r="BM48" s="39"/>
    </row>
    <row r="49" spans="1:65" x14ac:dyDescent="0.2">
      <c r="A49" s="20">
        <f>A48+1</f>
        <v>2</v>
      </c>
      <c r="B49" s="27" t="s">
        <v>86</v>
      </c>
      <c r="C49" s="29">
        <v>8.8183421516754841</v>
      </c>
      <c r="D49" s="30" t="s">
        <v>187</v>
      </c>
      <c r="E49" s="31" t="s">
        <v>489</v>
      </c>
      <c r="F49" s="28" t="s">
        <v>108</v>
      </c>
      <c r="G49" s="144">
        <v>100</v>
      </c>
      <c r="H49" s="81">
        <v>40376</v>
      </c>
      <c r="I49" s="81">
        <v>40378</v>
      </c>
      <c r="J49" s="83">
        <f>L49/M49</f>
        <v>26.455026455026452</v>
      </c>
      <c r="K49" s="32">
        <v>3.7800000000000002</v>
      </c>
      <c r="L49" s="33">
        <f t="shared" si="78"/>
        <v>26.455026455026452</v>
      </c>
      <c r="M49" s="34">
        <v>1</v>
      </c>
      <c r="N49" s="34"/>
      <c r="O49" s="35">
        <f t="shared" si="79"/>
        <v>185.18518518518516</v>
      </c>
      <c r="P49" s="35">
        <f t="shared" si="80"/>
        <v>0</v>
      </c>
      <c r="Q49" s="34">
        <v>1</v>
      </c>
      <c r="R49" s="83">
        <f ca="1">IF(AND(O49&gt;0,Q49&gt;0),SUMIF('Исходные данные'!$C$13:H43,Q49,'Исходные данные'!$C$17:$H$17),IF(O49=0,0,IF(Q49=0,"РОТ")))</f>
        <v>116.56701469842878</v>
      </c>
      <c r="S49" s="34"/>
      <c r="T49" s="83">
        <f>IF(AND(N49&gt;0,P49&gt;0),SUMIF('Исходные данные'!$C$13:$J$29,S49,'Исходные данные'!$C$33:$J$39),IF(N49=0,0,IF(S49=0,"РОТ")))</f>
        <v>0</v>
      </c>
      <c r="U49" s="130">
        <f ca="1">O49*R49*'Исходные данные'!$C$37%</f>
        <v>0</v>
      </c>
      <c r="V49" s="130">
        <f>P49*T49*'Исходные данные'!$C$38%</f>
        <v>0</v>
      </c>
      <c r="W49" s="130">
        <f t="shared" ca="1" si="81"/>
        <v>8634.5936813650933</v>
      </c>
      <c r="X49" s="131">
        <f t="shared" si="82"/>
        <v>0</v>
      </c>
      <c r="Y49" s="130">
        <f t="shared" ca="1" si="83"/>
        <v>3022.1077884777828</v>
      </c>
      <c r="Z49" s="131">
        <f t="shared" si="84"/>
        <v>0</v>
      </c>
      <c r="AA49" s="130">
        <f t="shared" ca="1" si="85"/>
        <v>2158.6484203412733</v>
      </c>
      <c r="AB49" s="131">
        <f t="shared" si="86"/>
        <v>0</v>
      </c>
      <c r="AC49" s="129">
        <v>2.8</v>
      </c>
      <c r="AD49" s="130">
        <f t="shared" ca="1" si="87"/>
        <v>99125.135462071281</v>
      </c>
      <c r="AE49" s="130">
        <f t="shared" si="88"/>
        <v>0</v>
      </c>
      <c r="AF49" s="35">
        <f t="shared" ca="1" si="89"/>
        <v>14811.801850654329</v>
      </c>
      <c r="AG49" s="73">
        <f t="shared" ca="1" si="90"/>
        <v>0</v>
      </c>
      <c r="AH49" s="35">
        <f t="shared" ca="1" si="91"/>
        <v>113936.93731272561</v>
      </c>
      <c r="AI49" s="35">
        <f t="shared" ca="1" si="92"/>
        <v>0</v>
      </c>
      <c r="AJ49" s="35">
        <f t="shared" ca="1" si="93"/>
        <v>34181.081193817685</v>
      </c>
      <c r="AK49" s="73">
        <f t="shared" ca="1" si="94"/>
        <v>0</v>
      </c>
      <c r="AL49" s="35">
        <f t="shared" ca="1" si="95"/>
        <v>148118.0185065433</v>
      </c>
      <c r="AM49" s="73">
        <f t="shared" ca="1" si="96"/>
        <v>0</v>
      </c>
      <c r="AN49" s="33">
        <v>2.3719999999999999</v>
      </c>
      <c r="AO49" s="33" t="e">
        <f>Нормы!#REF!</f>
        <v>#REF!</v>
      </c>
      <c r="AP49" s="79" t="e">
        <f>(G49*AN49)*AO49/100</f>
        <v>#REF!</v>
      </c>
      <c r="AQ49" s="33" t="s">
        <v>155</v>
      </c>
      <c r="AR49" s="83" t="e">
        <f>'Исходные данные'!#REF!</f>
        <v>#REF!</v>
      </c>
      <c r="AS49" s="36" t="e">
        <f>AP49*AR49</f>
        <v>#REF!</v>
      </c>
      <c r="AT49" s="36"/>
      <c r="AU49" s="36"/>
      <c r="AV49" s="36"/>
      <c r="AW49" s="36"/>
      <c r="AX49" s="36"/>
      <c r="AY49" s="36"/>
      <c r="AZ49" s="36"/>
      <c r="BA49" s="36">
        <f>AZ49*L49</f>
        <v>0</v>
      </c>
      <c r="BB49" s="36"/>
      <c r="BC49" s="36"/>
      <c r="BD49" s="36"/>
      <c r="BE49" s="36"/>
      <c r="BF49" s="36"/>
      <c r="BG49" s="36"/>
      <c r="BH49" s="36"/>
      <c r="BI49" s="36" t="e">
        <f t="shared" ca="1" si="97"/>
        <v>#REF!</v>
      </c>
      <c r="BJ49" s="36" t="e">
        <f t="shared" ca="1" si="98"/>
        <v>#REF!</v>
      </c>
      <c r="BK49" s="38">
        <f t="shared" si="99"/>
        <v>1.8518518518518516</v>
      </c>
      <c r="BL49" s="38"/>
      <c r="BM49" s="39"/>
    </row>
    <row r="50" spans="1:65" x14ac:dyDescent="0.2">
      <c r="A50" s="20">
        <f>A49+1</f>
        <v>3</v>
      </c>
      <c r="B50" s="27" t="s">
        <v>102</v>
      </c>
      <c r="C50" s="29">
        <v>8.8183421516754841</v>
      </c>
      <c r="D50" s="30" t="s">
        <v>187</v>
      </c>
      <c r="E50" s="31" t="s">
        <v>490</v>
      </c>
      <c r="F50" s="28" t="s">
        <v>108</v>
      </c>
      <c r="G50" s="144">
        <v>100</v>
      </c>
      <c r="H50" s="81">
        <v>40377</v>
      </c>
      <c r="I50" s="81">
        <v>40379</v>
      </c>
      <c r="J50" s="83">
        <f>L50/M50</f>
        <v>26.455026455026452</v>
      </c>
      <c r="K50" s="32">
        <v>3.7800000000000002</v>
      </c>
      <c r="L50" s="33">
        <f t="shared" si="78"/>
        <v>26.455026455026452</v>
      </c>
      <c r="M50" s="34">
        <v>1</v>
      </c>
      <c r="N50" s="34"/>
      <c r="O50" s="35">
        <f t="shared" si="79"/>
        <v>185.18518518518516</v>
      </c>
      <c r="P50" s="35">
        <f t="shared" si="80"/>
        <v>0</v>
      </c>
      <c r="Q50" s="34">
        <v>2</v>
      </c>
      <c r="R50" s="83">
        <f ca="1">IF(AND(O50&gt;0,Q50&gt;0),SUMIF('Исходные данные'!$C$13:H44,Q50,'Исходные данные'!$C$17:$H$17),IF(O50=0,0,IF(Q50=0,"РОТ")))</f>
        <v>128.66557526609228</v>
      </c>
      <c r="S50" s="34"/>
      <c r="T50" s="83">
        <f>IF(AND(N50&gt;0,P50&gt;0),SUMIF('Исходные данные'!$C$13:$J$29,S50,'Исходные данные'!$C$33:$J$39),IF(N50=0,0,IF(S50=0,"РОТ")))</f>
        <v>0</v>
      </c>
      <c r="U50" s="130">
        <f ca="1">O50*R50*'Исходные данные'!$C$37%</f>
        <v>0</v>
      </c>
      <c r="V50" s="130">
        <f>P50*T50*'Исходные данные'!$C$38%</f>
        <v>0</v>
      </c>
      <c r="W50" s="130">
        <f t="shared" ca="1" si="81"/>
        <v>9530.7833530438711</v>
      </c>
      <c r="X50" s="131">
        <f t="shared" si="82"/>
        <v>0</v>
      </c>
      <c r="Y50" s="130">
        <f t="shared" ca="1" si="83"/>
        <v>3335.7741735653553</v>
      </c>
      <c r="Z50" s="131">
        <f t="shared" si="84"/>
        <v>0</v>
      </c>
      <c r="AA50" s="130">
        <f t="shared" ca="1" si="85"/>
        <v>2382.6958382609678</v>
      </c>
      <c r="AB50" s="131">
        <f t="shared" si="86"/>
        <v>0</v>
      </c>
      <c r="AC50" s="129">
        <v>2.8</v>
      </c>
      <c r="AD50" s="130">
        <f t="shared" ca="1" si="87"/>
        <v>109413.39289294364</v>
      </c>
      <c r="AE50" s="130">
        <f t="shared" si="88"/>
        <v>0</v>
      </c>
      <c r="AF50" s="35">
        <f t="shared" ca="1" si="89"/>
        <v>16349.127673658242</v>
      </c>
      <c r="AG50" s="73">
        <f t="shared" ca="1" si="90"/>
        <v>0</v>
      </c>
      <c r="AH50" s="35">
        <f t="shared" ca="1" si="91"/>
        <v>125762.52056660187</v>
      </c>
      <c r="AI50" s="35">
        <f t="shared" ca="1" si="92"/>
        <v>0</v>
      </c>
      <c r="AJ50" s="35">
        <f t="shared" ca="1" si="93"/>
        <v>37728.756169980559</v>
      </c>
      <c r="AK50" s="73">
        <f t="shared" ca="1" si="94"/>
        <v>0</v>
      </c>
      <c r="AL50" s="35">
        <f t="shared" ca="1" si="95"/>
        <v>163491.27673658243</v>
      </c>
      <c r="AM50" s="73">
        <f t="shared" ca="1" si="96"/>
        <v>0</v>
      </c>
      <c r="AN50" s="33">
        <v>2.3719999999999999</v>
      </c>
      <c r="AO50" s="33" t="e">
        <f>Нормы!#REF!</f>
        <v>#REF!</v>
      </c>
      <c r="AP50" s="79" t="e">
        <f>(G50*AN50)*AO50/100</f>
        <v>#REF!</v>
      </c>
      <c r="AQ50" s="33" t="s">
        <v>155</v>
      </c>
      <c r="AR50" s="83" t="e">
        <f>'Исходные данные'!#REF!</f>
        <v>#REF!</v>
      </c>
      <c r="AS50" s="36" t="e">
        <f>AP50*AR50</f>
        <v>#REF!</v>
      </c>
      <c r="AT50" s="36"/>
      <c r="AU50" s="36"/>
      <c r="AV50" s="36"/>
      <c r="AW50" s="36"/>
      <c r="AX50" s="36"/>
      <c r="AY50" s="36"/>
      <c r="AZ50" s="36">
        <f>аморт!G39</f>
        <v>97.318579234972674</v>
      </c>
      <c r="BA50" s="36">
        <f>AZ50*L50</f>
        <v>2574.5655882267902</v>
      </c>
      <c r="BB50" s="36"/>
      <c r="BC50" s="36"/>
      <c r="BD50" s="36"/>
      <c r="BE50" s="36"/>
      <c r="BF50" s="36"/>
      <c r="BG50" s="36"/>
      <c r="BH50" s="36">
        <f>аморт!C39*10%/аморт!E39*L50*7</f>
        <v>79152.444444444438</v>
      </c>
      <c r="BI50" s="36" t="e">
        <f t="shared" ca="1" si="97"/>
        <v>#REF!</v>
      </c>
      <c r="BJ50" s="36" t="e">
        <f t="shared" ca="1" si="98"/>
        <v>#REF!</v>
      </c>
      <c r="BK50" s="38">
        <f t="shared" si="99"/>
        <v>1.8518518518518516</v>
      </c>
      <c r="BL50" s="38"/>
      <c r="BM50" s="39"/>
    </row>
    <row r="51" spans="1:65" x14ac:dyDescent="0.2">
      <c r="A51" s="20">
        <f>A50+1</f>
        <v>4</v>
      </c>
      <c r="B51" s="27" t="s">
        <v>95</v>
      </c>
      <c r="C51" s="29">
        <v>10</v>
      </c>
      <c r="D51" s="30" t="s">
        <v>120</v>
      </c>
      <c r="E51" s="31" t="s">
        <v>206</v>
      </c>
      <c r="F51" s="28" t="s">
        <v>108</v>
      </c>
      <c r="G51" s="144">
        <v>100</v>
      </c>
      <c r="H51" s="81">
        <v>40378</v>
      </c>
      <c r="I51" s="81">
        <v>40388</v>
      </c>
      <c r="J51" s="83">
        <f>L51/N51</f>
        <v>83.333333333333343</v>
      </c>
      <c r="K51" s="32">
        <v>1.2</v>
      </c>
      <c r="L51" s="33">
        <f t="shared" si="78"/>
        <v>83.333333333333343</v>
      </c>
      <c r="M51" s="34"/>
      <c r="N51" s="34">
        <v>1</v>
      </c>
      <c r="O51" s="35">
        <f t="shared" si="79"/>
        <v>0</v>
      </c>
      <c r="P51" s="35">
        <f t="shared" si="80"/>
        <v>583.33333333333337</v>
      </c>
      <c r="Q51" s="34"/>
      <c r="R51" s="33"/>
      <c r="S51" s="34">
        <v>2</v>
      </c>
      <c r="T51" s="83">
        <f ca="1">IF(AND(N51&gt;0,P51&gt;0),SUMIF('Исходные данные'!$C$13:$J$29,S51,'Исходные данные'!$C$33:$J$39),IF(N51=0,0,IF(S51=0,"РОТ")))</f>
        <v>105.700598073999</v>
      </c>
      <c r="U51" s="130">
        <f>O51*R51*'Исходные данные'!$C$37%</f>
        <v>0</v>
      </c>
      <c r="V51" s="130">
        <f ca="1">P51*T51*'Исходные данные'!$C$38%</f>
        <v>0</v>
      </c>
      <c r="W51" s="130">
        <f t="shared" si="81"/>
        <v>0</v>
      </c>
      <c r="X51" s="131">
        <f t="shared" ca="1" si="82"/>
        <v>24663.472883933104</v>
      </c>
      <c r="Y51" s="130">
        <f t="shared" si="83"/>
        <v>0</v>
      </c>
      <c r="Z51" s="131">
        <f t="shared" ca="1" si="84"/>
        <v>4316.1077546882934</v>
      </c>
      <c r="AA51" s="130">
        <f t="shared" si="85"/>
        <v>0</v>
      </c>
      <c r="AB51" s="131">
        <f t="shared" ca="1" si="86"/>
        <v>6165.8682209832759</v>
      </c>
      <c r="AC51" s="129">
        <v>2.8</v>
      </c>
      <c r="AD51" s="130">
        <f t="shared" si="87"/>
        <v>0</v>
      </c>
      <c r="AE51" s="130">
        <f t="shared" ca="1" si="88"/>
        <v>271051.56699442479</v>
      </c>
      <c r="AF51" s="35">
        <f t="shared" ca="1" si="89"/>
        <v>0</v>
      </c>
      <c r="AG51" s="73">
        <f t="shared" ca="1" si="90"/>
        <v>40501.958286523244</v>
      </c>
      <c r="AH51" s="35">
        <f t="shared" ca="1" si="91"/>
        <v>0</v>
      </c>
      <c r="AI51" s="35">
        <f t="shared" ca="1" si="92"/>
        <v>311553.52528094803</v>
      </c>
      <c r="AJ51" s="35">
        <f t="shared" ca="1" si="93"/>
        <v>0</v>
      </c>
      <c r="AK51" s="73">
        <f t="shared" ca="1" si="94"/>
        <v>93466.057584284412</v>
      </c>
      <c r="AL51" s="35">
        <f t="shared" ca="1" si="95"/>
        <v>0</v>
      </c>
      <c r="AM51" s="73">
        <f t="shared" ca="1" si="96"/>
        <v>405019.58286523243</v>
      </c>
      <c r="AN51" s="32"/>
      <c r="AO51" s="32"/>
      <c r="AP51" s="79"/>
      <c r="AQ51" s="37"/>
      <c r="AR51" s="37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>
        <f t="shared" ca="1" si="97"/>
        <v>405019.58286523243</v>
      </c>
      <c r="BJ51" s="36">
        <f t="shared" ca="1" si="98"/>
        <v>4050.1958286523241</v>
      </c>
      <c r="BK51" s="38">
        <f t="shared" si="99"/>
        <v>5.8333333333333339</v>
      </c>
      <c r="BL51" s="38"/>
      <c r="BM51" s="39"/>
    </row>
    <row r="52" spans="1:65" x14ac:dyDescent="0.2">
      <c r="A52" s="20">
        <f>A51+1</f>
        <v>5</v>
      </c>
      <c r="B52" s="27" t="s">
        <v>96</v>
      </c>
      <c r="C52" s="29">
        <v>10</v>
      </c>
      <c r="D52" s="30" t="s">
        <v>120</v>
      </c>
      <c r="E52" s="31" t="s">
        <v>211</v>
      </c>
      <c r="F52" s="28" t="s">
        <v>108</v>
      </c>
      <c r="G52" s="144">
        <v>100</v>
      </c>
      <c r="H52" s="81">
        <v>40378</v>
      </c>
      <c r="I52" s="81">
        <v>40388</v>
      </c>
      <c r="J52" s="83">
        <f>L52/N52</f>
        <v>40</v>
      </c>
      <c r="K52" s="32">
        <v>2.5</v>
      </c>
      <c r="L52" s="33">
        <f t="shared" si="78"/>
        <v>40</v>
      </c>
      <c r="M52" s="34"/>
      <c r="N52" s="34">
        <v>1</v>
      </c>
      <c r="O52" s="35">
        <f t="shared" si="79"/>
        <v>0</v>
      </c>
      <c r="P52" s="35">
        <f t="shared" si="80"/>
        <v>280</v>
      </c>
      <c r="Q52" s="34"/>
      <c r="R52" s="33"/>
      <c r="S52" s="34">
        <v>2</v>
      </c>
      <c r="T52" s="83">
        <f ca="1">IF(AND(N52&gt;0,P52&gt;0),SUMIF('Исходные данные'!$C$13:$J$29,S52,'Исходные данные'!$C$33:$J$39),IF(N52=0,0,IF(S52=0,"РОТ")))</f>
        <v>105.700598073999</v>
      </c>
      <c r="U52" s="130">
        <f>O52*R52*'Исходные данные'!$C$37%</f>
        <v>0</v>
      </c>
      <c r="V52" s="130">
        <f ca="1">P52*T52*'Исходные данные'!$C$38%</f>
        <v>0</v>
      </c>
      <c r="W52" s="130">
        <f t="shared" si="81"/>
        <v>0</v>
      </c>
      <c r="X52" s="131">
        <f t="shared" ca="1" si="82"/>
        <v>11838.466984287888</v>
      </c>
      <c r="Y52" s="130">
        <f t="shared" si="83"/>
        <v>0</v>
      </c>
      <c r="Z52" s="131">
        <f t="shared" ca="1" si="84"/>
        <v>2071.7317222503802</v>
      </c>
      <c r="AA52" s="130">
        <f t="shared" si="85"/>
        <v>0</v>
      </c>
      <c r="AB52" s="131">
        <f t="shared" ca="1" si="86"/>
        <v>2959.6167460719721</v>
      </c>
      <c r="AC52" s="129">
        <v>2.8</v>
      </c>
      <c r="AD52" s="130">
        <f t="shared" si="87"/>
        <v>0</v>
      </c>
      <c r="AE52" s="130">
        <f t="shared" ca="1" si="88"/>
        <v>130104.75215732388</v>
      </c>
      <c r="AF52" s="35">
        <f t="shared" ca="1" si="89"/>
        <v>0</v>
      </c>
      <c r="AG52" s="73">
        <f t="shared" ca="1" si="90"/>
        <v>19440.93997753115</v>
      </c>
      <c r="AH52" s="35">
        <f t="shared" ca="1" si="91"/>
        <v>0</v>
      </c>
      <c r="AI52" s="35">
        <f t="shared" ca="1" si="92"/>
        <v>149545.69213485502</v>
      </c>
      <c r="AJ52" s="35">
        <f t="shared" ca="1" si="93"/>
        <v>0</v>
      </c>
      <c r="AK52" s="73">
        <f t="shared" ca="1" si="94"/>
        <v>44863.707640456509</v>
      </c>
      <c r="AL52" s="35">
        <f t="shared" ca="1" si="95"/>
        <v>0</v>
      </c>
      <c r="AM52" s="73">
        <f t="shared" ca="1" si="96"/>
        <v>194409.39977531153</v>
      </c>
      <c r="AN52" s="32"/>
      <c r="AO52" s="32"/>
      <c r="AP52" s="79"/>
      <c r="AQ52" s="37"/>
      <c r="AR52" s="37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>
        <f t="shared" ca="1" si="97"/>
        <v>194409.39977531153</v>
      </c>
      <c r="BJ52" s="36">
        <f t="shared" ca="1" si="98"/>
        <v>1944.0939977531152</v>
      </c>
      <c r="BK52" s="38">
        <f t="shared" si="99"/>
        <v>2.8</v>
      </c>
      <c r="BL52" s="38"/>
      <c r="BM52" s="39"/>
    </row>
    <row r="53" spans="1:65" x14ac:dyDescent="0.2">
      <c r="A53" s="20">
        <v>6</v>
      </c>
      <c r="B53" s="27" t="s">
        <v>103</v>
      </c>
      <c r="C53" s="29">
        <v>10</v>
      </c>
      <c r="D53" s="30" t="s">
        <v>120</v>
      </c>
      <c r="E53" s="31" t="s">
        <v>215</v>
      </c>
      <c r="F53" s="28" t="s">
        <v>111</v>
      </c>
      <c r="G53" s="144">
        <v>11.528532312613063</v>
      </c>
      <c r="H53" s="81">
        <v>40389</v>
      </c>
      <c r="I53" s="81">
        <v>40397</v>
      </c>
      <c r="J53" s="83">
        <f>L53/N53</f>
        <v>1.9214220521021772</v>
      </c>
      <c r="K53" s="32">
        <v>3</v>
      </c>
      <c r="L53" s="33">
        <f>G53/K53</f>
        <v>3.8428441042043544</v>
      </c>
      <c r="M53" s="34"/>
      <c r="N53" s="34">
        <v>2</v>
      </c>
      <c r="O53" s="35">
        <f t="shared" si="79"/>
        <v>0</v>
      </c>
      <c r="P53" s="35">
        <f t="shared" si="80"/>
        <v>26.899908729430482</v>
      </c>
      <c r="Q53" s="34"/>
      <c r="R53" s="33"/>
      <c r="S53" s="34">
        <v>3</v>
      </c>
      <c r="T53" s="83">
        <f ca="1">IF(AND(N53&gt;0,P53&gt;0),SUMIF('Исходные данные'!$C$13:$J$29,S53,'Исходные данные'!$C$33:$J$39),IF(N53=0,0,IF(S53=0,"РОТ")))</f>
        <v>113.60344652812975</v>
      </c>
      <c r="U53" s="130">
        <f>O53*R53*'Исходные данные'!$C$37%</f>
        <v>0</v>
      </c>
      <c r="V53" s="130">
        <f ca="1">P53*T53*'Исходные данные'!$C$38%</f>
        <v>0</v>
      </c>
      <c r="W53" s="130">
        <f t="shared" si="81"/>
        <v>0</v>
      </c>
      <c r="X53" s="131">
        <f t="shared" ca="1" si="82"/>
        <v>1222.3689371821706</v>
      </c>
      <c r="Y53" s="130">
        <f t="shared" si="83"/>
        <v>0</v>
      </c>
      <c r="Z53" s="131">
        <f t="shared" ca="1" si="84"/>
        <v>213.91456400687986</v>
      </c>
      <c r="AA53" s="130">
        <f t="shared" si="85"/>
        <v>0</v>
      </c>
      <c r="AB53" s="131">
        <f t="shared" ca="1" si="86"/>
        <v>305.59223429554265</v>
      </c>
      <c r="AC53" s="129">
        <v>2.8</v>
      </c>
      <c r="AD53" s="130">
        <f t="shared" si="87"/>
        <v>0</v>
      </c>
      <c r="AE53" s="130">
        <f t="shared" ca="1" si="88"/>
        <v>13433.834619632054</v>
      </c>
      <c r="AF53" s="35">
        <f t="shared" ca="1" si="89"/>
        <v>0</v>
      </c>
      <c r="AG53" s="73">
        <f t="shared" ca="1" si="90"/>
        <v>2007.354598335824</v>
      </c>
      <c r="AH53" s="35">
        <f t="shared" ca="1" si="91"/>
        <v>0</v>
      </c>
      <c r="AI53" s="35">
        <f t="shared" ca="1" si="92"/>
        <v>15441.189217967878</v>
      </c>
      <c r="AJ53" s="35">
        <f t="shared" ca="1" si="93"/>
        <v>0</v>
      </c>
      <c r="AK53" s="73">
        <f t="shared" ca="1" si="94"/>
        <v>4632.3567653903629</v>
      </c>
      <c r="AL53" s="35">
        <f t="shared" ca="1" si="95"/>
        <v>0</v>
      </c>
      <c r="AM53" s="73">
        <f t="shared" ca="1" si="96"/>
        <v>20073.545983358243</v>
      </c>
      <c r="AN53" s="32"/>
      <c r="AO53" s="32"/>
      <c r="AP53" s="79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>
        <f t="shared" ca="1" si="97"/>
        <v>20073.545983358243</v>
      </c>
      <c r="BJ53" s="36">
        <f t="shared" ca="1" si="98"/>
        <v>200.73545983358244</v>
      </c>
      <c r="BK53" s="38">
        <f t="shared" si="99"/>
        <v>0.26899908729430483</v>
      </c>
      <c r="BL53" s="38"/>
      <c r="BM53" s="39"/>
    </row>
    <row r="54" spans="1:65" x14ac:dyDescent="0.2">
      <c r="A54" s="20">
        <v>7</v>
      </c>
      <c r="B54" s="27" t="s">
        <v>97</v>
      </c>
      <c r="C54" s="29">
        <v>10</v>
      </c>
      <c r="D54" s="30" t="s">
        <v>120</v>
      </c>
      <c r="E54" s="31" t="s">
        <v>206</v>
      </c>
      <c r="F54" s="28" t="s">
        <v>111</v>
      </c>
      <c r="G54" s="144">
        <v>11.528532312613063</v>
      </c>
      <c r="H54" s="81">
        <v>40397</v>
      </c>
      <c r="I54" s="81">
        <v>40405</v>
      </c>
      <c r="J54" s="83">
        <f>L54/N54</f>
        <v>3.8428441042043544</v>
      </c>
      <c r="K54" s="32">
        <v>3</v>
      </c>
      <c r="L54" s="33">
        <f t="shared" si="78"/>
        <v>3.8428441042043544</v>
      </c>
      <c r="M54" s="34"/>
      <c r="N54" s="34">
        <v>1</v>
      </c>
      <c r="O54" s="35">
        <f t="shared" si="79"/>
        <v>0</v>
      </c>
      <c r="P54" s="35">
        <f t="shared" si="80"/>
        <v>26.899908729430482</v>
      </c>
      <c r="Q54" s="34"/>
      <c r="R54" s="33"/>
      <c r="S54" s="34">
        <v>4</v>
      </c>
      <c r="T54" s="83">
        <f ca="1">IF(AND(N54&gt;0,P54&gt;0),SUMIF('Исходные данные'!$C$13:$J$29,S54,'Исходные данные'!$C$33:$J$39),IF(N54=0,0,IF(S54=0,"РОТ")))</f>
        <v>123.48200709579322</v>
      </c>
      <c r="U54" s="130">
        <f>O54*R54*'Исходные данные'!$C$37%</f>
        <v>0</v>
      </c>
      <c r="V54" s="130">
        <f ca="1">P54*T54*'Исходные данные'!$C$38%</f>
        <v>0</v>
      </c>
      <c r="W54" s="130">
        <f t="shared" si="81"/>
        <v>0</v>
      </c>
      <c r="X54" s="131">
        <f t="shared" ca="1" si="82"/>
        <v>1328.66188824149</v>
      </c>
      <c r="Y54" s="130">
        <f t="shared" si="83"/>
        <v>0</v>
      </c>
      <c r="Z54" s="131">
        <f t="shared" ca="1" si="84"/>
        <v>232.51583044226072</v>
      </c>
      <c r="AA54" s="130">
        <f t="shared" si="85"/>
        <v>0</v>
      </c>
      <c r="AB54" s="131">
        <f t="shared" ca="1" si="86"/>
        <v>332.16547206037251</v>
      </c>
      <c r="AC54" s="129">
        <v>2.8</v>
      </c>
      <c r="AD54" s="130">
        <f t="shared" si="87"/>
        <v>0</v>
      </c>
      <c r="AE54" s="130">
        <f t="shared" ca="1" si="88"/>
        <v>14601.994151773972</v>
      </c>
      <c r="AF54" s="35">
        <f t="shared" ca="1" si="89"/>
        <v>0</v>
      </c>
      <c r="AG54" s="73">
        <f t="shared" ca="1" si="90"/>
        <v>2181.9071721041564</v>
      </c>
      <c r="AH54" s="35">
        <f t="shared" ca="1" si="91"/>
        <v>0</v>
      </c>
      <c r="AI54" s="35">
        <f t="shared" ca="1" si="92"/>
        <v>16783.901323878126</v>
      </c>
      <c r="AJ54" s="35">
        <f t="shared" ca="1" si="93"/>
        <v>0</v>
      </c>
      <c r="AK54" s="73">
        <f t="shared" ca="1" si="94"/>
        <v>5035.1703971634379</v>
      </c>
      <c r="AL54" s="35">
        <f t="shared" ca="1" si="95"/>
        <v>0</v>
      </c>
      <c r="AM54" s="73">
        <f t="shared" ca="1" si="96"/>
        <v>21819.071721041564</v>
      </c>
      <c r="AN54" s="32"/>
      <c r="AO54" s="32"/>
      <c r="AP54" s="79"/>
      <c r="AQ54" s="37"/>
      <c r="AR54" s="37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>
        <f t="shared" ca="1" si="97"/>
        <v>21819.071721041564</v>
      </c>
      <c r="BJ54" s="36">
        <f t="shared" ca="1" si="98"/>
        <v>218.19071721041564</v>
      </c>
      <c r="BK54" s="38">
        <f t="shared" si="99"/>
        <v>0.26899908729430483</v>
      </c>
      <c r="BL54" s="38"/>
      <c r="BM54" s="39"/>
    </row>
    <row r="55" spans="1:65" x14ac:dyDescent="0.2">
      <c r="A55" s="20">
        <v>8</v>
      </c>
      <c r="B55" s="27" t="s">
        <v>98</v>
      </c>
      <c r="C55" s="29">
        <v>10</v>
      </c>
      <c r="D55" s="30" t="s">
        <v>120</v>
      </c>
      <c r="E55" s="31" t="s">
        <v>206</v>
      </c>
      <c r="F55" s="28" t="s">
        <v>111</v>
      </c>
      <c r="G55" s="144">
        <v>11.528532312613063</v>
      </c>
      <c r="H55" s="81">
        <v>40397</v>
      </c>
      <c r="I55" s="81">
        <v>40410</v>
      </c>
      <c r="J55" s="83">
        <f>L55/N55</f>
        <v>1.9214220521021772</v>
      </c>
      <c r="K55" s="32">
        <v>6</v>
      </c>
      <c r="L55" s="33">
        <f t="shared" si="78"/>
        <v>1.9214220521021772</v>
      </c>
      <c r="M55" s="34"/>
      <c r="N55" s="34">
        <v>1</v>
      </c>
      <c r="O55" s="35">
        <f t="shared" si="79"/>
        <v>0</v>
      </c>
      <c r="P55" s="35">
        <f t="shared" si="80"/>
        <v>13.449954364715241</v>
      </c>
      <c r="Q55" s="34"/>
      <c r="R55" s="33"/>
      <c r="S55" s="34">
        <v>2</v>
      </c>
      <c r="T55" s="83">
        <f ca="1">IF(AND(N55&gt;0,P55&gt;0),SUMIF('Исходные данные'!$C$13:$J$29,S55,'Исходные данные'!$C$33:$J$39),IF(N55=0,0,IF(S55=0,"РОТ")))</f>
        <v>105.700598073999</v>
      </c>
      <c r="U55" s="130">
        <f>O55*R55*'Исходные данные'!$C$37%</f>
        <v>0</v>
      </c>
      <c r="V55" s="130">
        <f ca="1">P55*T55*'Исходные данные'!$C$38%</f>
        <v>0</v>
      </c>
      <c r="W55" s="130">
        <f t="shared" si="81"/>
        <v>0</v>
      </c>
      <c r="X55" s="131">
        <f t="shared" ca="1" si="82"/>
        <v>568.66728816735781</v>
      </c>
      <c r="Y55" s="130">
        <f t="shared" si="83"/>
        <v>0</v>
      </c>
      <c r="Z55" s="131">
        <f t="shared" ca="1" si="84"/>
        <v>99.51677542928762</v>
      </c>
      <c r="AA55" s="130">
        <f t="shared" si="85"/>
        <v>0</v>
      </c>
      <c r="AB55" s="131">
        <f t="shared" ca="1" si="86"/>
        <v>142.16682204183945</v>
      </c>
      <c r="AC55" s="129">
        <v>2.8</v>
      </c>
      <c r="AD55" s="130">
        <f t="shared" si="87"/>
        <v>0</v>
      </c>
      <c r="AE55" s="130">
        <f t="shared" ca="1" si="88"/>
        <v>6249.6534969592622</v>
      </c>
      <c r="AF55" s="35">
        <f t="shared" ca="1" si="89"/>
        <v>0</v>
      </c>
      <c r="AG55" s="73">
        <f t="shared" ca="1" si="90"/>
        <v>933.8562696605793</v>
      </c>
      <c r="AH55" s="35">
        <f t="shared" ca="1" si="91"/>
        <v>0</v>
      </c>
      <c r="AI55" s="35">
        <f t="shared" ca="1" si="92"/>
        <v>7183.5097666198417</v>
      </c>
      <c r="AJ55" s="35">
        <f t="shared" ca="1" si="93"/>
        <v>0</v>
      </c>
      <c r="AK55" s="73">
        <f t="shared" ca="1" si="94"/>
        <v>2155.0529299859522</v>
      </c>
      <c r="AL55" s="35">
        <f t="shared" ca="1" si="95"/>
        <v>0</v>
      </c>
      <c r="AM55" s="73">
        <f t="shared" ca="1" si="96"/>
        <v>9338.5626966057935</v>
      </c>
      <c r="AN55" s="32"/>
      <c r="AO55" s="32"/>
      <c r="AP55" s="79"/>
      <c r="AQ55" s="37"/>
      <c r="AR55" s="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>
        <f t="shared" ca="1" si="97"/>
        <v>9338.5626966057935</v>
      </c>
      <c r="BJ55" s="36">
        <f t="shared" ca="1" si="98"/>
        <v>93.385626966057941</v>
      </c>
      <c r="BK55" s="38">
        <f t="shared" si="99"/>
        <v>0.13449954364715241</v>
      </c>
      <c r="BL55" s="38"/>
      <c r="BM55" s="39"/>
    </row>
    <row r="56" spans="1:65" s="62" customFormat="1" x14ac:dyDescent="0.2">
      <c r="A56" s="59"/>
      <c r="B56" s="53" t="s">
        <v>22</v>
      </c>
      <c r="C56" s="53"/>
      <c r="D56" s="53"/>
      <c r="E56" s="53"/>
      <c r="F56" s="60"/>
      <c r="G56" s="148"/>
      <c r="H56" s="61"/>
      <c r="I56" s="61"/>
      <c r="J56" s="57">
        <f>SUM(J48:J55)</f>
        <v>214.79327198265912</v>
      </c>
      <c r="K56" s="57"/>
      <c r="L56" s="57">
        <f>SUM(L48:L55)</f>
        <v>216.71469403476129</v>
      </c>
      <c r="M56" s="57">
        <f t="shared" ref="M56:BM56" si="100">SUM(M48:M55)</f>
        <v>3</v>
      </c>
      <c r="N56" s="57">
        <f t="shared" si="100"/>
        <v>6</v>
      </c>
      <c r="O56" s="57">
        <f t="shared" si="100"/>
        <v>586.41975308641963</v>
      </c>
      <c r="P56" s="57">
        <f t="shared" si="100"/>
        <v>930.58310515690971</v>
      </c>
      <c r="Q56" s="57"/>
      <c r="R56" s="57"/>
      <c r="S56" s="57"/>
      <c r="T56" s="57"/>
      <c r="U56" s="57">
        <f t="shared" ca="1" si="100"/>
        <v>0</v>
      </c>
      <c r="V56" s="57">
        <f t="shared" ca="1" si="100"/>
        <v>0</v>
      </c>
      <c r="W56" s="57">
        <f t="shared" ca="1" si="100"/>
        <v>31653.880723095121</v>
      </c>
      <c r="X56" s="57">
        <f t="shared" ca="1" si="100"/>
        <v>39621.637981812011</v>
      </c>
      <c r="Y56" s="57">
        <f t="shared" ca="1" si="100"/>
        <v>11078.858253083294</v>
      </c>
      <c r="Z56" s="57">
        <f t="shared" ca="1" si="100"/>
        <v>6933.7866468171023</v>
      </c>
      <c r="AA56" s="57">
        <f t="shared" ca="1" si="100"/>
        <v>7913.4701807737802</v>
      </c>
      <c r="AB56" s="57">
        <f t="shared" ca="1" si="100"/>
        <v>9905.4094954530028</v>
      </c>
      <c r="AC56" s="57"/>
      <c r="AD56" s="57">
        <f t="shared" ca="1" si="100"/>
        <v>363386.55070113193</v>
      </c>
      <c r="AE56" s="57">
        <f t="shared" ca="1" si="100"/>
        <v>435441.80142011394</v>
      </c>
      <c r="AF56" s="57">
        <f t="shared" ca="1" si="100"/>
        <v>54299.139759939251</v>
      </c>
      <c r="AG56" s="57">
        <f t="shared" ca="1" si="100"/>
        <v>65066.01630415496</v>
      </c>
      <c r="AH56" s="57">
        <f t="shared" ca="1" si="100"/>
        <v>417685.69046107121</v>
      </c>
      <c r="AI56" s="57">
        <f t="shared" ca="1" si="100"/>
        <v>500507.81772426888</v>
      </c>
      <c r="AJ56" s="57">
        <f t="shared" ca="1" si="100"/>
        <v>125305.70713832136</v>
      </c>
      <c r="AK56" s="57">
        <f t="shared" ca="1" si="100"/>
        <v>150152.34531728068</v>
      </c>
      <c r="AL56" s="57">
        <f t="shared" ca="1" si="100"/>
        <v>542991.39759939257</v>
      </c>
      <c r="AM56" s="57">
        <f t="shared" ca="1" si="100"/>
        <v>650660.16304154962</v>
      </c>
      <c r="AN56" s="57"/>
      <c r="AO56" s="57"/>
      <c r="AP56" s="57" t="e">
        <f t="shared" si="100"/>
        <v>#REF!</v>
      </c>
      <c r="AQ56" s="57"/>
      <c r="AR56" s="57"/>
      <c r="AS56" s="57" t="e">
        <f t="shared" si="100"/>
        <v>#REF!</v>
      </c>
      <c r="AT56" s="57"/>
      <c r="AU56" s="57"/>
      <c r="AV56" s="57"/>
      <c r="AW56" s="57"/>
      <c r="AX56" s="57"/>
      <c r="AY56" s="57">
        <f t="shared" si="100"/>
        <v>0</v>
      </c>
      <c r="AZ56" s="57"/>
      <c r="BA56" s="57">
        <f t="shared" si="100"/>
        <v>5231.0429361103879</v>
      </c>
      <c r="BB56" s="57"/>
      <c r="BC56" s="57">
        <f t="shared" si="100"/>
        <v>0</v>
      </c>
      <c r="BD56" s="57"/>
      <c r="BE56" s="57">
        <f t="shared" si="100"/>
        <v>0</v>
      </c>
      <c r="BF56" s="57"/>
      <c r="BG56" s="57">
        <f t="shared" si="100"/>
        <v>0</v>
      </c>
      <c r="BH56" s="57">
        <f t="shared" si="100"/>
        <v>212443.85185185182</v>
      </c>
      <c r="BI56" s="57" t="e">
        <f t="shared" ca="1" si="100"/>
        <v>#REF!</v>
      </c>
      <c r="BJ56" s="57"/>
      <c r="BK56" s="57"/>
      <c r="BL56" s="57"/>
      <c r="BM56" s="57">
        <f t="shared" si="100"/>
        <v>0</v>
      </c>
    </row>
    <row r="57" spans="1:65" ht="11.25" customHeight="1" x14ac:dyDescent="0.2">
      <c r="A57" s="20"/>
      <c r="B57" s="473" t="s">
        <v>104</v>
      </c>
      <c r="C57" s="473"/>
      <c r="D57" s="473"/>
      <c r="E57" s="473"/>
      <c r="F57" s="28"/>
      <c r="G57" s="144"/>
      <c r="H57" s="29"/>
      <c r="I57" s="29"/>
      <c r="J57" s="29"/>
      <c r="K57" s="32"/>
      <c r="L57" s="33"/>
      <c r="M57" s="34"/>
      <c r="N57" s="34"/>
      <c r="O57" s="35"/>
      <c r="P57" s="35"/>
      <c r="Q57" s="34"/>
      <c r="R57" s="33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2"/>
      <c r="AN57" s="32"/>
      <c r="AO57" s="32"/>
      <c r="AP57" s="79"/>
      <c r="AQ57" s="37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8"/>
      <c r="BM57" s="39"/>
    </row>
    <row r="58" spans="1:65" x14ac:dyDescent="0.2">
      <c r="A58" s="20">
        <v>1</v>
      </c>
      <c r="B58" s="27" t="s">
        <v>78</v>
      </c>
      <c r="C58" s="29">
        <v>10</v>
      </c>
      <c r="D58" s="30" t="s">
        <v>120</v>
      </c>
      <c r="E58" s="31" t="s">
        <v>216</v>
      </c>
      <c r="F58" s="28" t="s">
        <v>108</v>
      </c>
      <c r="G58" s="144">
        <v>100</v>
      </c>
      <c r="H58" s="81">
        <v>40374</v>
      </c>
      <c r="I58" s="81">
        <v>40384</v>
      </c>
      <c r="J58" s="83">
        <f>L58/N58</f>
        <v>166.66666666666669</v>
      </c>
      <c r="K58" s="32">
        <v>0.6</v>
      </c>
      <c r="L58" s="33">
        <f>G58/K58</f>
        <v>166.66666666666669</v>
      </c>
      <c r="M58" s="34"/>
      <c r="N58" s="34">
        <v>1</v>
      </c>
      <c r="O58" s="35">
        <f t="shared" ref="O58:O64" si="101">IF(M58=0,0,L58*$O$15)</f>
        <v>0</v>
      </c>
      <c r="P58" s="35">
        <f t="shared" ref="P58:P64" si="102">IF(N58=0,0,L58*$O$15)</f>
        <v>1166.6666666666667</v>
      </c>
      <c r="Q58" s="34"/>
      <c r="R58" s="33"/>
      <c r="S58" s="34">
        <v>4</v>
      </c>
      <c r="T58" s="83">
        <f ca="1">IF(AND(N58&gt;0,P58&gt;0),SUMIF('Исходные данные'!$C$13:$J$29,S58,'Исходные данные'!$C$33:$J$39),IF(N58=0,0,IF(S58=0,"РОТ")))</f>
        <v>123.48200709579322</v>
      </c>
      <c r="U58" s="130">
        <f>O58*R58*'Исходные данные'!$C$37%</f>
        <v>0</v>
      </c>
      <c r="V58" s="130">
        <f ca="1">P58*T58*'Исходные данные'!$C$38%</f>
        <v>0</v>
      </c>
      <c r="W58" s="130">
        <f t="shared" ref="W58:W64" si="103">O58*R58*$W$15</f>
        <v>0</v>
      </c>
      <c r="X58" s="131">
        <f t="shared" ref="X58:X64" ca="1" si="104">P58*T58*$W$15</f>
        <v>57624.936644703514</v>
      </c>
      <c r="Y58" s="130">
        <f t="shared" ref="Y58:Y64" si="105">(O58*R58+U58+W58)*$Y$15</f>
        <v>0</v>
      </c>
      <c r="Z58" s="131"/>
      <c r="AA58" s="130">
        <f t="shared" ref="AA58:AA64" si="106">(O58*R58+U58)*$AA$15</f>
        <v>0</v>
      </c>
      <c r="AB58" s="131"/>
      <c r="AC58" s="129">
        <v>2.8</v>
      </c>
      <c r="AD58" s="130">
        <f t="shared" ref="AD58:AD64" si="107">(O58*R58+U58+W58+Y58+AA58)*AC58</f>
        <v>0</v>
      </c>
      <c r="AE58" s="130">
        <f t="shared" ref="AE58:AE64" ca="1" si="108">(P58*T58+V58+X58+Z58+AB58)*AC58</f>
        <v>564724.37911809445</v>
      </c>
      <c r="AF58" s="35">
        <f t="shared" ref="AF58:AF64" ca="1" si="109">AD58*$AF$15</f>
        <v>0</v>
      </c>
      <c r="AG58" s="73">
        <f t="shared" ref="AG58:AG64" ca="1" si="110">AE58*$AF$15</f>
        <v>84384.10262684169</v>
      </c>
      <c r="AH58" s="35">
        <f t="shared" ref="AH58:AH64" ca="1" si="111">AD58+AF58</f>
        <v>0</v>
      </c>
      <c r="AI58" s="35">
        <f t="shared" ref="AI58:AI64" ca="1" si="112">AE58+AG58</f>
        <v>649108.4817449362</v>
      </c>
      <c r="AJ58" s="35">
        <f t="shared" ref="AJ58:AJ64" ca="1" si="113">AH58*$AJ$15</f>
        <v>0</v>
      </c>
      <c r="AK58" s="73">
        <f t="shared" ref="AK58:AK64" ca="1" si="114">AI58*$AJ$15</f>
        <v>194732.54452348084</v>
      </c>
      <c r="AL58" s="35">
        <f t="shared" ref="AL58:AL64" ca="1" si="115">AH58+AJ58</f>
        <v>0</v>
      </c>
      <c r="AM58" s="73">
        <f t="shared" ref="AM58:AM64" ca="1" si="116">AK58+AI58</f>
        <v>843841.02626841702</v>
      </c>
      <c r="AN58" s="32"/>
      <c r="AO58" s="32"/>
      <c r="AP58" s="79"/>
      <c r="AQ58" s="37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>
        <f t="shared" ref="BI58:BI64" ca="1" si="117">AL58+AM58+AS58+AY58+BA58+BC58+BE58+BG58+BH58+AW58</f>
        <v>843841.02626841702</v>
      </c>
      <c r="BJ58" s="36">
        <f t="shared" ref="BJ58:BJ64" ca="1" si="118">BI58/$D$5</f>
        <v>8438.4102626841704</v>
      </c>
      <c r="BK58" s="38">
        <f t="shared" ref="BK58:BK64" si="119">(O58+P58)/$D$5</f>
        <v>11.666666666666668</v>
      </c>
      <c r="BL58" s="38"/>
      <c r="BM58" s="39"/>
    </row>
    <row r="59" spans="1:65" x14ac:dyDescent="0.2">
      <c r="A59" s="20">
        <v>2</v>
      </c>
      <c r="B59" s="27" t="s">
        <v>86</v>
      </c>
      <c r="C59" s="29">
        <v>10</v>
      </c>
      <c r="D59" s="30" t="s">
        <v>120</v>
      </c>
      <c r="E59" s="31" t="s">
        <v>211</v>
      </c>
      <c r="F59" s="28" t="s">
        <v>108</v>
      </c>
      <c r="G59" s="144">
        <v>20</v>
      </c>
      <c r="H59" s="81">
        <v>40376</v>
      </c>
      <c r="I59" s="81">
        <v>40386</v>
      </c>
      <c r="J59" s="83">
        <f t="shared" ref="J59:J64" si="120">L59/N59</f>
        <v>12.5</v>
      </c>
      <c r="K59" s="32">
        <v>1.6</v>
      </c>
      <c r="L59" s="33">
        <f t="shared" ref="L59:L64" si="121">G59/K59</f>
        <v>12.5</v>
      </c>
      <c r="M59" s="34"/>
      <c r="N59" s="34">
        <v>1</v>
      </c>
      <c r="O59" s="35">
        <f t="shared" si="101"/>
        <v>0</v>
      </c>
      <c r="P59" s="35">
        <f t="shared" si="102"/>
        <v>87.5</v>
      </c>
      <c r="Q59" s="34"/>
      <c r="R59" s="33"/>
      <c r="S59" s="34">
        <v>1</v>
      </c>
      <c r="T59" s="83">
        <f ca="1">IF(AND(N59&gt;0,P59&gt;0),SUMIF('Исходные данные'!$C$13:$J$29,S59,'Исходные данные'!$C$33:$J$39),IF(N59=0,0,IF(S59=0,"РОТ")))</f>
        <v>98.785605676634574</v>
      </c>
      <c r="U59" s="130">
        <f>O59*R59*'Исходные данные'!$C$37%</f>
        <v>0</v>
      </c>
      <c r="V59" s="130">
        <f ca="1">P59*T59*'Исходные данные'!$C$38%</f>
        <v>0</v>
      </c>
      <c r="W59" s="130">
        <f t="shared" si="103"/>
        <v>0</v>
      </c>
      <c r="X59" s="131">
        <f t="shared" ca="1" si="104"/>
        <v>3457.49619868221</v>
      </c>
      <c r="Y59" s="130">
        <f t="shared" si="105"/>
        <v>0</v>
      </c>
      <c r="Z59" s="131"/>
      <c r="AA59" s="130">
        <f t="shared" si="106"/>
        <v>0</v>
      </c>
      <c r="AB59" s="131"/>
      <c r="AC59" s="129">
        <v>2.8</v>
      </c>
      <c r="AD59" s="130">
        <f t="shared" si="107"/>
        <v>0</v>
      </c>
      <c r="AE59" s="130">
        <f t="shared" ca="1" si="108"/>
        <v>33883.462747085658</v>
      </c>
      <c r="AF59" s="35">
        <f t="shared" ca="1" si="109"/>
        <v>0</v>
      </c>
      <c r="AG59" s="73">
        <f t="shared" ca="1" si="110"/>
        <v>5063.0461576104999</v>
      </c>
      <c r="AH59" s="35">
        <f t="shared" ca="1" si="111"/>
        <v>0</v>
      </c>
      <c r="AI59" s="35">
        <f t="shared" ca="1" si="112"/>
        <v>38946.508904696158</v>
      </c>
      <c r="AJ59" s="35">
        <f t="shared" ca="1" si="113"/>
        <v>0</v>
      </c>
      <c r="AK59" s="73">
        <f t="shared" ca="1" si="114"/>
        <v>11683.952671408848</v>
      </c>
      <c r="AL59" s="35">
        <f t="shared" ca="1" si="115"/>
        <v>0</v>
      </c>
      <c r="AM59" s="73">
        <f t="shared" ca="1" si="116"/>
        <v>50630.461576105008</v>
      </c>
      <c r="AN59" s="32"/>
      <c r="AO59" s="32"/>
      <c r="AP59" s="79"/>
      <c r="AQ59" s="37"/>
      <c r="AR59" s="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f t="shared" ca="1" si="117"/>
        <v>50630.461576105008</v>
      </c>
      <c r="BJ59" s="36">
        <f t="shared" ca="1" si="118"/>
        <v>506.30461576105006</v>
      </c>
      <c r="BK59" s="38">
        <f t="shared" si="119"/>
        <v>0.875</v>
      </c>
      <c r="BL59" s="38"/>
      <c r="BM59" s="39"/>
    </row>
    <row r="60" spans="1:65" x14ac:dyDescent="0.2">
      <c r="A60" s="20">
        <v>3</v>
      </c>
      <c r="B60" s="27" t="s">
        <v>102</v>
      </c>
      <c r="C60" s="29">
        <v>10</v>
      </c>
      <c r="D60" s="30" t="s">
        <v>120</v>
      </c>
      <c r="E60" s="31" t="s">
        <v>211</v>
      </c>
      <c r="F60" s="28" t="s">
        <v>108</v>
      </c>
      <c r="G60" s="144">
        <v>100</v>
      </c>
      <c r="H60" s="81">
        <v>40377</v>
      </c>
      <c r="I60" s="81">
        <v>40387</v>
      </c>
      <c r="J60" s="83">
        <f t="shared" si="120"/>
        <v>125</v>
      </c>
      <c r="K60" s="32">
        <v>0.8</v>
      </c>
      <c r="L60" s="33">
        <f t="shared" si="121"/>
        <v>125</v>
      </c>
      <c r="M60" s="34"/>
      <c r="N60" s="34">
        <v>1</v>
      </c>
      <c r="O60" s="35">
        <f t="shared" si="101"/>
        <v>0</v>
      </c>
      <c r="P60" s="35">
        <f t="shared" si="102"/>
        <v>875</v>
      </c>
      <c r="Q60" s="34"/>
      <c r="R60" s="33"/>
      <c r="S60" s="34">
        <v>2</v>
      </c>
      <c r="T60" s="83">
        <f ca="1">IF(AND(N60&gt;0,P60&gt;0),SUMIF('Исходные данные'!$C$13:$J$29,S60,'Исходные данные'!$C$33:$J$39),IF(N60=0,0,IF(S60=0,"РОТ")))</f>
        <v>105.700598073999</v>
      </c>
      <c r="U60" s="130">
        <f>O60*R60*'Исходные данные'!$C$37%</f>
        <v>0</v>
      </c>
      <c r="V60" s="130">
        <f ca="1">P60*T60*'Исходные данные'!$C$38%</f>
        <v>0</v>
      </c>
      <c r="W60" s="130">
        <f t="shared" si="103"/>
        <v>0</v>
      </c>
      <c r="X60" s="131">
        <f t="shared" ca="1" si="104"/>
        <v>36995.209325899654</v>
      </c>
      <c r="Y60" s="130">
        <f t="shared" si="105"/>
        <v>0</v>
      </c>
      <c r="Z60" s="131"/>
      <c r="AA60" s="130">
        <f t="shared" si="106"/>
        <v>0</v>
      </c>
      <c r="AB60" s="131"/>
      <c r="AC60" s="129">
        <v>2.8</v>
      </c>
      <c r="AD60" s="130">
        <f t="shared" si="107"/>
        <v>0</v>
      </c>
      <c r="AE60" s="130">
        <f t="shared" ca="1" si="108"/>
        <v>362553.0513938166</v>
      </c>
      <c r="AF60" s="35">
        <f t="shared" ca="1" si="109"/>
        <v>0</v>
      </c>
      <c r="AG60" s="73">
        <f t="shared" ca="1" si="110"/>
        <v>54174.593886432362</v>
      </c>
      <c r="AH60" s="35">
        <f t="shared" ca="1" si="111"/>
        <v>0</v>
      </c>
      <c r="AI60" s="35">
        <f t="shared" ca="1" si="112"/>
        <v>416727.64528024895</v>
      </c>
      <c r="AJ60" s="35">
        <f t="shared" ca="1" si="113"/>
        <v>0</v>
      </c>
      <c r="AK60" s="73">
        <f t="shared" ca="1" si="114"/>
        <v>125018.29358407468</v>
      </c>
      <c r="AL60" s="35">
        <f t="shared" ca="1" si="115"/>
        <v>0</v>
      </c>
      <c r="AM60" s="73">
        <f t="shared" ca="1" si="116"/>
        <v>541745.93886432366</v>
      </c>
      <c r="AN60" s="32"/>
      <c r="AO60" s="32"/>
      <c r="AP60" s="79"/>
      <c r="AQ60" s="37"/>
      <c r="AR60" s="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>
        <f t="shared" ca="1" si="117"/>
        <v>541745.93886432366</v>
      </c>
      <c r="BJ60" s="36">
        <f t="shared" ca="1" si="118"/>
        <v>5417.4593886432367</v>
      </c>
      <c r="BK60" s="38">
        <f t="shared" si="119"/>
        <v>8.75</v>
      </c>
      <c r="BL60" s="38"/>
      <c r="BM60" s="39"/>
    </row>
    <row r="61" spans="1:65" x14ac:dyDescent="0.2">
      <c r="A61" s="20">
        <v>4</v>
      </c>
      <c r="B61" s="27" t="s">
        <v>95</v>
      </c>
      <c r="C61" s="29">
        <v>10</v>
      </c>
      <c r="D61" s="30" t="s">
        <v>120</v>
      </c>
      <c r="E61" s="31" t="s">
        <v>206</v>
      </c>
      <c r="F61" s="28" t="s">
        <v>108</v>
      </c>
      <c r="G61" s="144">
        <v>100</v>
      </c>
      <c r="H61" s="81">
        <v>40378</v>
      </c>
      <c r="I61" s="81">
        <v>40388</v>
      </c>
      <c r="J61" s="83">
        <f t="shared" si="120"/>
        <v>28.571428571428573</v>
      </c>
      <c r="K61" s="32">
        <v>3.5</v>
      </c>
      <c r="L61" s="33">
        <f t="shared" si="121"/>
        <v>28.571428571428573</v>
      </c>
      <c r="M61" s="34"/>
      <c r="N61" s="34">
        <v>1</v>
      </c>
      <c r="O61" s="35">
        <f t="shared" si="101"/>
        <v>0</v>
      </c>
      <c r="P61" s="35">
        <f t="shared" si="102"/>
        <v>200</v>
      </c>
      <c r="Q61" s="34"/>
      <c r="R61" s="33"/>
      <c r="S61" s="34">
        <v>2</v>
      </c>
      <c r="T61" s="83">
        <f ca="1">IF(AND(N61&gt;0,P61&gt;0),SUMIF('Исходные данные'!$C$13:$J$29,S61,'Исходные данные'!$C$33:$J$39),IF(N61=0,0,IF(S61=0,"РОТ")))</f>
        <v>105.700598073999</v>
      </c>
      <c r="U61" s="130">
        <f>O61*R61*'Исходные данные'!$C$37%</f>
        <v>0</v>
      </c>
      <c r="V61" s="130">
        <f ca="1">P61*T61*'Исходные данные'!$C$38%</f>
        <v>0</v>
      </c>
      <c r="W61" s="130">
        <f t="shared" si="103"/>
        <v>0</v>
      </c>
      <c r="X61" s="131">
        <f t="shared" ca="1" si="104"/>
        <v>8456.0478459199203</v>
      </c>
      <c r="Y61" s="130">
        <f t="shared" si="105"/>
        <v>0</v>
      </c>
      <c r="Z61" s="131"/>
      <c r="AA61" s="130">
        <f t="shared" si="106"/>
        <v>0</v>
      </c>
      <c r="AB61" s="131"/>
      <c r="AC61" s="129">
        <v>2.8</v>
      </c>
      <c r="AD61" s="130">
        <f t="shared" si="107"/>
        <v>0</v>
      </c>
      <c r="AE61" s="130">
        <f t="shared" ca="1" si="108"/>
        <v>82869.268890015213</v>
      </c>
      <c r="AF61" s="35">
        <f t="shared" ca="1" si="109"/>
        <v>0</v>
      </c>
      <c r="AG61" s="73">
        <f t="shared" ca="1" si="110"/>
        <v>12382.764316898823</v>
      </c>
      <c r="AH61" s="35">
        <f t="shared" ca="1" si="111"/>
        <v>0</v>
      </c>
      <c r="AI61" s="35">
        <f t="shared" ca="1" si="112"/>
        <v>95252.033206914042</v>
      </c>
      <c r="AJ61" s="35">
        <f t="shared" ca="1" si="113"/>
        <v>0</v>
      </c>
      <c r="AK61" s="73">
        <f t="shared" ca="1" si="114"/>
        <v>28575.609962074213</v>
      </c>
      <c r="AL61" s="35">
        <f t="shared" ca="1" si="115"/>
        <v>0</v>
      </c>
      <c r="AM61" s="73">
        <f t="shared" ca="1" si="116"/>
        <v>123827.64316898826</v>
      </c>
      <c r="AN61" s="32"/>
      <c r="AO61" s="32"/>
      <c r="AP61" s="79"/>
      <c r="AQ61" s="37"/>
      <c r="AR61" s="37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>
        <f t="shared" ca="1" si="117"/>
        <v>123827.64316898826</v>
      </c>
      <c r="BJ61" s="36">
        <f t="shared" ca="1" si="118"/>
        <v>1238.2764316898827</v>
      </c>
      <c r="BK61" s="38">
        <f t="shared" si="119"/>
        <v>2</v>
      </c>
      <c r="BL61" s="38"/>
      <c r="BM61" s="39"/>
    </row>
    <row r="62" spans="1:65" x14ac:dyDescent="0.2">
      <c r="A62" s="20">
        <v>5</v>
      </c>
      <c r="B62" s="27" t="s">
        <v>103</v>
      </c>
      <c r="C62" s="29">
        <v>10</v>
      </c>
      <c r="D62" s="30" t="s">
        <v>120</v>
      </c>
      <c r="E62" s="31" t="s">
        <v>215</v>
      </c>
      <c r="F62" s="28" t="s">
        <v>111</v>
      </c>
      <c r="G62" s="144">
        <v>139.48235294117649</v>
      </c>
      <c r="H62" s="81">
        <v>40389</v>
      </c>
      <c r="I62" s="81">
        <v>40397</v>
      </c>
      <c r="J62" s="83">
        <f t="shared" si="120"/>
        <v>19.926050420168071</v>
      </c>
      <c r="K62" s="32">
        <v>3.5</v>
      </c>
      <c r="L62" s="33">
        <f t="shared" si="121"/>
        <v>39.852100840336142</v>
      </c>
      <c r="M62" s="34"/>
      <c r="N62" s="34">
        <v>2</v>
      </c>
      <c r="O62" s="35">
        <f t="shared" si="101"/>
        <v>0</v>
      </c>
      <c r="P62" s="35">
        <f t="shared" si="102"/>
        <v>278.96470588235297</v>
      </c>
      <c r="Q62" s="34"/>
      <c r="R62" s="33"/>
      <c r="S62" s="34">
        <v>3</v>
      </c>
      <c r="T62" s="83">
        <f ca="1">IF(AND(N62&gt;0,P62&gt;0),SUMIF('Исходные данные'!$C$13:$J$29,S62,'Исходные данные'!$C$33:$J$39),IF(N62=0,0,IF(S62=0,"РОТ")))</f>
        <v>113.60344652812975</v>
      </c>
      <c r="U62" s="130">
        <f>O62*R62*'Исходные данные'!$C$37%</f>
        <v>0</v>
      </c>
      <c r="V62" s="130">
        <f ca="1">P62*T62*'Исходные данные'!$C$38%</f>
        <v>0</v>
      </c>
      <c r="W62" s="130">
        <f t="shared" si="103"/>
        <v>0</v>
      </c>
      <c r="X62" s="131">
        <f t="shared" ca="1" si="104"/>
        <v>12676.540819176531</v>
      </c>
      <c r="Y62" s="130">
        <f t="shared" si="105"/>
        <v>0</v>
      </c>
      <c r="Z62" s="131"/>
      <c r="AA62" s="130">
        <f t="shared" si="106"/>
        <v>0</v>
      </c>
      <c r="AB62" s="131"/>
      <c r="AC62" s="129">
        <v>2.8</v>
      </c>
      <c r="AD62" s="130">
        <f t="shared" si="107"/>
        <v>0</v>
      </c>
      <c r="AE62" s="130">
        <f t="shared" ca="1" si="108"/>
        <v>124230.10002792999</v>
      </c>
      <c r="AF62" s="35">
        <f t="shared" ca="1" si="109"/>
        <v>0</v>
      </c>
      <c r="AG62" s="73">
        <f t="shared" ca="1" si="110"/>
        <v>18563.118394978042</v>
      </c>
      <c r="AH62" s="35">
        <f t="shared" ca="1" si="111"/>
        <v>0</v>
      </c>
      <c r="AI62" s="35">
        <f t="shared" ca="1" si="112"/>
        <v>142793.21842290804</v>
      </c>
      <c r="AJ62" s="35">
        <f t="shared" ca="1" si="113"/>
        <v>0</v>
      </c>
      <c r="AK62" s="73">
        <f t="shared" ca="1" si="114"/>
        <v>42837.965526872409</v>
      </c>
      <c r="AL62" s="35">
        <f t="shared" ca="1" si="115"/>
        <v>0</v>
      </c>
      <c r="AM62" s="73">
        <f t="shared" ca="1" si="116"/>
        <v>185631.18394978045</v>
      </c>
      <c r="AN62" s="32"/>
      <c r="AO62" s="32"/>
      <c r="AP62" s="79"/>
      <c r="AQ62" s="37"/>
      <c r="AR62" s="37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>
        <f t="shared" ca="1" si="117"/>
        <v>185631.18394978045</v>
      </c>
      <c r="BJ62" s="36">
        <f t="shared" ca="1" si="118"/>
        <v>1856.3118394978044</v>
      </c>
      <c r="BK62" s="38">
        <f t="shared" si="119"/>
        <v>2.7896470588235296</v>
      </c>
      <c r="BL62" s="38"/>
      <c r="BM62" s="39"/>
    </row>
    <row r="63" spans="1:65" x14ac:dyDescent="0.2">
      <c r="A63" s="20">
        <v>6</v>
      </c>
      <c r="B63" s="27" t="s">
        <v>97</v>
      </c>
      <c r="C63" s="29">
        <v>10</v>
      </c>
      <c r="D63" s="30" t="s">
        <v>120</v>
      </c>
      <c r="E63" s="31" t="s">
        <v>206</v>
      </c>
      <c r="F63" s="28" t="s">
        <v>111</v>
      </c>
      <c r="G63" s="144">
        <v>139.48235294117649</v>
      </c>
      <c r="H63" s="81">
        <v>40397</v>
      </c>
      <c r="I63" s="81">
        <v>40405</v>
      </c>
      <c r="J63" s="83">
        <f t="shared" si="120"/>
        <v>19.926050420168071</v>
      </c>
      <c r="K63" s="32">
        <v>7</v>
      </c>
      <c r="L63" s="33">
        <f t="shared" si="121"/>
        <v>19.926050420168071</v>
      </c>
      <c r="M63" s="34"/>
      <c r="N63" s="34">
        <v>1</v>
      </c>
      <c r="O63" s="35">
        <f t="shared" si="101"/>
        <v>0</v>
      </c>
      <c r="P63" s="35">
        <f t="shared" si="102"/>
        <v>139.48235294117649</v>
      </c>
      <c r="Q63" s="34"/>
      <c r="R63" s="33"/>
      <c r="S63" s="34">
        <v>3</v>
      </c>
      <c r="T63" s="83">
        <f ca="1">IF(AND(N63&gt;0,P63&gt;0),SUMIF('Исходные данные'!$C$13:$J$29,S63,'Исходные данные'!$C$33:$J$39),IF(N63=0,0,IF(S63=0,"РОТ")))</f>
        <v>113.60344652812975</v>
      </c>
      <c r="U63" s="130">
        <f>O63*R63*'Исходные данные'!$C$37%</f>
        <v>0</v>
      </c>
      <c r="V63" s="130">
        <f ca="1">P63*T63*'Исходные данные'!$C$38%</f>
        <v>0</v>
      </c>
      <c r="W63" s="130">
        <f t="shared" si="103"/>
        <v>0</v>
      </c>
      <c r="X63" s="131">
        <f t="shared" ca="1" si="104"/>
        <v>6338.2704095882655</v>
      </c>
      <c r="Y63" s="130">
        <f t="shared" si="105"/>
        <v>0</v>
      </c>
      <c r="Z63" s="131"/>
      <c r="AA63" s="130">
        <f t="shared" si="106"/>
        <v>0</v>
      </c>
      <c r="AB63" s="131"/>
      <c r="AC63" s="129">
        <v>2.8</v>
      </c>
      <c r="AD63" s="130">
        <f t="shared" si="107"/>
        <v>0</v>
      </c>
      <c r="AE63" s="130">
        <f t="shared" ca="1" si="108"/>
        <v>62115.050013964996</v>
      </c>
      <c r="AF63" s="35">
        <f t="shared" ca="1" si="109"/>
        <v>0</v>
      </c>
      <c r="AG63" s="73">
        <f t="shared" ca="1" si="110"/>
        <v>9281.5591974890212</v>
      </c>
      <c r="AH63" s="35">
        <f t="shared" ca="1" si="111"/>
        <v>0</v>
      </c>
      <c r="AI63" s="35">
        <f t="shared" ca="1" si="112"/>
        <v>71396.609211454022</v>
      </c>
      <c r="AJ63" s="35">
        <f t="shared" ca="1" si="113"/>
        <v>0</v>
      </c>
      <c r="AK63" s="73">
        <f t="shared" ca="1" si="114"/>
        <v>21418.982763436205</v>
      </c>
      <c r="AL63" s="35">
        <f t="shared" ca="1" si="115"/>
        <v>0</v>
      </c>
      <c r="AM63" s="73">
        <f t="shared" ca="1" si="116"/>
        <v>92815.591974890223</v>
      </c>
      <c r="AN63" s="32"/>
      <c r="AO63" s="32"/>
      <c r="AP63" s="79"/>
      <c r="AQ63" s="37"/>
      <c r="AR63" s="37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>
        <f t="shared" ca="1" si="117"/>
        <v>92815.591974890223</v>
      </c>
      <c r="BJ63" s="36">
        <f t="shared" ca="1" si="118"/>
        <v>928.15591974890219</v>
      </c>
      <c r="BK63" s="38">
        <f t="shared" si="119"/>
        <v>1.3948235294117648</v>
      </c>
      <c r="BL63" s="38"/>
      <c r="BM63" s="39"/>
    </row>
    <row r="64" spans="1:65" x14ac:dyDescent="0.2">
      <c r="A64" s="20">
        <v>7</v>
      </c>
      <c r="B64" s="27" t="s">
        <v>98</v>
      </c>
      <c r="C64" s="29">
        <v>10</v>
      </c>
      <c r="D64" s="30" t="s">
        <v>120</v>
      </c>
      <c r="E64" s="31" t="s">
        <v>206</v>
      </c>
      <c r="F64" s="28" t="s">
        <v>111</v>
      </c>
      <c r="G64" s="144">
        <v>139.48235294117649</v>
      </c>
      <c r="H64" s="81">
        <v>40397</v>
      </c>
      <c r="I64" s="81">
        <v>40410</v>
      </c>
      <c r="J64" s="83">
        <f t="shared" si="120"/>
        <v>12.680213903743317</v>
      </c>
      <c r="K64" s="32">
        <v>11</v>
      </c>
      <c r="L64" s="33">
        <f t="shared" si="121"/>
        <v>12.680213903743317</v>
      </c>
      <c r="M64" s="34"/>
      <c r="N64" s="34">
        <v>1</v>
      </c>
      <c r="O64" s="35">
        <f t="shared" si="101"/>
        <v>0</v>
      </c>
      <c r="P64" s="35">
        <f t="shared" si="102"/>
        <v>88.761497326203212</v>
      </c>
      <c r="Q64" s="34"/>
      <c r="R64" s="33"/>
      <c r="S64" s="34">
        <v>2</v>
      </c>
      <c r="T64" s="83">
        <f ca="1">IF(AND(N64&gt;0,P64&gt;0),SUMIF('Исходные данные'!$C$13:$J$29,S64,'Исходные данные'!$C$33:$J$39),IF(N64=0,0,IF(S64=0,"РОТ")))</f>
        <v>105.700598073999</v>
      </c>
      <c r="U64" s="130">
        <f>O64*R64*'Исходные данные'!$C$37%</f>
        <v>0</v>
      </c>
      <c r="V64" s="130">
        <f ca="1">P64*T64*'Исходные данные'!$C$38%</f>
        <v>0</v>
      </c>
      <c r="W64" s="130">
        <f t="shared" si="103"/>
        <v>0</v>
      </c>
      <c r="X64" s="131">
        <f t="shared" ca="1" si="104"/>
        <v>3752.8573413293375</v>
      </c>
      <c r="Y64" s="130">
        <f t="shared" si="105"/>
        <v>0</v>
      </c>
      <c r="Z64" s="131"/>
      <c r="AA64" s="130">
        <f t="shared" si="106"/>
        <v>0</v>
      </c>
      <c r="AB64" s="131"/>
      <c r="AC64" s="129">
        <v>2.8</v>
      </c>
      <c r="AD64" s="130">
        <f t="shared" si="107"/>
        <v>0</v>
      </c>
      <c r="AE64" s="130">
        <f t="shared" ca="1" si="108"/>
        <v>36778.001945027507</v>
      </c>
      <c r="AF64" s="35">
        <f t="shared" ca="1" si="109"/>
        <v>0</v>
      </c>
      <c r="AG64" s="73">
        <f t="shared" ca="1" si="110"/>
        <v>5495.563509027098</v>
      </c>
      <c r="AH64" s="35">
        <f t="shared" ca="1" si="111"/>
        <v>0</v>
      </c>
      <c r="AI64" s="35">
        <f t="shared" ca="1" si="112"/>
        <v>42273.565454054602</v>
      </c>
      <c r="AJ64" s="35">
        <f t="shared" ca="1" si="113"/>
        <v>0</v>
      </c>
      <c r="AK64" s="73">
        <f t="shared" ca="1" si="114"/>
        <v>12682.06963621638</v>
      </c>
      <c r="AL64" s="35">
        <f t="shared" ca="1" si="115"/>
        <v>0</v>
      </c>
      <c r="AM64" s="73">
        <f t="shared" ca="1" si="116"/>
        <v>54955.635090270982</v>
      </c>
      <c r="AN64" s="32"/>
      <c r="AO64" s="32"/>
      <c r="AP64" s="79"/>
      <c r="AQ64" s="37"/>
      <c r="AR64" s="37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>
        <f t="shared" ca="1" si="117"/>
        <v>54955.635090270982</v>
      </c>
      <c r="BJ64" s="36">
        <f t="shared" ca="1" si="118"/>
        <v>549.55635090270982</v>
      </c>
      <c r="BK64" s="38">
        <f t="shared" si="119"/>
        <v>0.88761497326203209</v>
      </c>
      <c r="BL64" s="38"/>
      <c r="BM64" s="39"/>
    </row>
    <row r="65" spans="1:65" s="62" customFormat="1" x14ac:dyDescent="0.2">
      <c r="A65" s="59"/>
      <c r="B65" s="53" t="s">
        <v>22</v>
      </c>
      <c r="C65" s="53"/>
      <c r="D65" s="53"/>
      <c r="E65" s="53"/>
      <c r="F65" s="60"/>
      <c r="G65" s="61"/>
      <c r="H65" s="61"/>
      <c r="I65" s="61"/>
      <c r="J65" s="57">
        <f>SUM(J58:J64)</f>
        <v>385.27040998217467</v>
      </c>
      <c r="K65" s="57"/>
      <c r="L65" s="57">
        <f t="shared" ref="L65:BM65" si="122">SUM(L58:L64)</f>
        <v>405.19646040234278</v>
      </c>
      <c r="M65" s="57">
        <f t="shared" si="122"/>
        <v>0</v>
      </c>
      <c r="N65" s="57">
        <f t="shared" si="122"/>
        <v>8</v>
      </c>
      <c r="O65" s="57">
        <f t="shared" si="122"/>
        <v>0</v>
      </c>
      <c r="P65" s="57">
        <f t="shared" si="122"/>
        <v>2836.3752228163999</v>
      </c>
      <c r="Q65" s="57"/>
      <c r="R65" s="57"/>
      <c r="S65" s="57"/>
      <c r="T65" s="57"/>
      <c r="U65" s="57">
        <f t="shared" si="122"/>
        <v>0</v>
      </c>
      <c r="V65" s="57">
        <f t="shared" ca="1" si="122"/>
        <v>0</v>
      </c>
      <c r="W65" s="57">
        <f t="shared" si="122"/>
        <v>0</v>
      </c>
      <c r="X65" s="57">
        <f t="shared" ca="1" si="122"/>
        <v>129301.35858529943</v>
      </c>
      <c r="Y65" s="57">
        <f t="shared" si="122"/>
        <v>0</v>
      </c>
      <c r="Z65" s="57">
        <f t="shared" si="122"/>
        <v>0</v>
      </c>
      <c r="AA65" s="57">
        <f t="shared" si="122"/>
        <v>0</v>
      </c>
      <c r="AB65" s="57">
        <f t="shared" si="122"/>
        <v>0</v>
      </c>
      <c r="AC65" s="57"/>
      <c r="AD65" s="57">
        <f t="shared" si="122"/>
        <v>0</v>
      </c>
      <c r="AE65" s="57">
        <f t="shared" ca="1" si="122"/>
        <v>1267153.3141359345</v>
      </c>
      <c r="AF65" s="57">
        <f t="shared" ca="1" si="122"/>
        <v>0</v>
      </c>
      <c r="AG65" s="57">
        <f t="shared" ca="1" si="122"/>
        <v>189344.74808927756</v>
      </c>
      <c r="AH65" s="57">
        <f t="shared" ca="1" si="122"/>
        <v>0</v>
      </c>
      <c r="AI65" s="57">
        <f t="shared" ca="1" si="122"/>
        <v>1456498.0622252121</v>
      </c>
      <c r="AJ65" s="57">
        <f t="shared" ca="1" si="122"/>
        <v>0</v>
      </c>
      <c r="AK65" s="57">
        <f t="shared" ca="1" si="122"/>
        <v>436949.41866756364</v>
      </c>
      <c r="AL65" s="57">
        <f t="shared" ca="1" si="122"/>
        <v>0</v>
      </c>
      <c r="AM65" s="57">
        <f t="shared" ca="1" si="122"/>
        <v>1893447.4808927756</v>
      </c>
      <c r="AN65" s="57"/>
      <c r="AO65" s="57"/>
      <c r="AP65" s="57">
        <f t="shared" si="122"/>
        <v>0</v>
      </c>
      <c r="AQ65" s="57"/>
      <c r="AR65" s="57"/>
      <c r="AS65" s="57">
        <f t="shared" si="122"/>
        <v>0</v>
      </c>
      <c r="AT65" s="57"/>
      <c r="AU65" s="57"/>
      <c r="AV65" s="57"/>
      <c r="AW65" s="57"/>
      <c r="AX65" s="57"/>
      <c r="AY65" s="57">
        <f t="shared" si="122"/>
        <v>0</v>
      </c>
      <c r="AZ65" s="57"/>
      <c r="BA65" s="57">
        <f t="shared" si="122"/>
        <v>0</v>
      </c>
      <c r="BB65" s="57"/>
      <c r="BC65" s="57">
        <f t="shared" si="122"/>
        <v>0</v>
      </c>
      <c r="BD65" s="57"/>
      <c r="BE65" s="57">
        <f t="shared" si="122"/>
        <v>0</v>
      </c>
      <c r="BF65" s="57"/>
      <c r="BG65" s="57">
        <f t="shared" si="122"/>
        <v>0</v>
      </c>
      <c r="BH65" s="57">
        <f t="shared" si="122"/>
        <v>0</v>
      </c>
      <c r="BI65" s="57">
        <f t="shared" ca="1" si="122"/>
        <v>1893447.4808927756</v>
      </c>
      <c r="BJ65" s="57"/>
      <c r="BK65" s="57"/>
      <c r="BL65" s="57"/>
      <c r="BM65" s="57">
        <f t="shared" si="122"/>
        <v>0</v>
      </c>
    </row>
    <row r="66" spans="1:65" s="51" customFormat="1" x14ac:dyDescent="0.2">
      <c r="A66" s="48"/>
      <c r="B66" s="58" t="s">
        <v>30</v>
      </c>
      <c r="C66" s="58"/>
      <c r="D66" s="58"/>
      <c r="E66" s="58"/>
      <c r="F66" s="49"/>
      <c r="G66" s="50"/>
      <c r="H66" s="50"/>
      <c r="I66" s="50"/>
      <c r="J66" s="78">
        <f>J26+J36+J46+J56+J65</f>
        <v>832.00691179704006</v>
      </c>
      <c r="K66" s="78"/>
      <c r="L66" s="78">
        <f t="shared" ref="L66:BM66" si="123">L26+L36+L46+L56+L65</f>
        <v>900.59650982284097</v>
      </c>
      <c r="M66" s="78">
        <f t="shared" si="123"/>
        <v>40</v>
      </c>
      <c r="N66" s="78">
        <f t="shared" si="123"/>
        <v>23</v>
      </c>
      <c r="O66" s="78">
        <f t="shared" si="123"/>
        <v>1435.0603780414795</v>
      </c>
      <c r="P66" s="78">
        <f t="shared" si="123"/>
        <v>5111.1206062179408</v>
      </c>
      <c r="Q66" s="78"/>
      <c r="R66" s="78"/>
      <c r="S66" s="78"/>
      <c r="T66" s="78"/>
      <c r="U66" s="78">
        <f t="shared" ca="1" si="123"/>
        <v>0</v>
      </c>
      <c r="V66" s="78">
        <f t="shared" ca="1" si="123"/>
        <v>0</v>
      </c>
      <c r="W66" s="78">
        <f t="shared" ca="1" si="123"/>
        <v>86839.874836479416</v>
      </c>
      <c r="X66" s="78">
        <f t="shared" ca="1" si="123"/>
        <v>229404.81698640215</v>
      </c>
      <c r="Y66" s="78">
        <f t="shared" ca="1" si="123"/>
        <v>30393.956192767801</v>
      </c>
      <c r="Z66" s="78">
        <f t="shared" ca="1" si="123"/>
        <v>17518.105220192974</v>
      </c>
      <c r="AA66" s="78">
        <f t="shared" ca="1" si="123"/>
        <v>21709.968709119854</v>
      </c>
      <c r="AB66" s="78">
        <f t="shared" ca="1" si="123"/>
        <v>25025.864600275676</v>
      </c>
      <c r="AC66" s="78"/>
      <c r="AD66" s="78">
        <f t="shared" ca="1" si="123"/>
        <v>996921.76312278362</v>
      </c>
      <c r="AE66" s="78">
        <f t="shared" ca="1" si="123"/>
        <v>2367290.321964053</v>
      </c>
      <c r="AF66" s="78">
        <f t="shared" ca="1" si="123"/>
        <v>148965.32092639295</v>
      </c>
      <c r="AG66" s="78">
        <f t="shared" ca="1" si="123"/>
        <v>353733.03661531827</v>
      </c>
      <c r="AH66" s="78">
        <f t="shared" ca="1" si="123"/>
        <v>1145887.0840491764</v>
      </c>
      <c r="AI66" s="78">
        <f t="shared" ca="1" si="123"/>
        <v>2721023.3585793716</v>
      </c>
      <c r="AJ66" s="78">
        <f t="shared" ca="1" si="123"/>
        <v>343766.12521475297</v>
      </c>
      <c r="AK66" s="78">
        <f t="shared" ca="1" si="123"/>
        <v>816307.00757381145</v>
      </c>
      <c r="AL66" s="78">
        <f t="shared" ca="1" si="123"/>
        <v>1489653.2092639294</v>
      </c>
      <c r="AM66" s="78">
        <f t="shared" ca="1" si="123"/>
        <v>3537330.3661531829</v>
      </c>
      <c r="AN66" s="78"/>
      <c r="AO66" s="78"/>
      <c r="AP66" s="78" t="e">
        <f t="shared" si="123"/>
        <v>#REF!</v>
      </c>
      <c r="AQ66" s="78"/>
      <c r="AR66" s="78"/>
      <c r="AS66" s="78" t="e">
        <f t="shared" si="123"/>
        <v>#REF!</v>
      </c>
      <c r="AT66" s="78"/>
      <c r="AU66" s="78">
        <f>AU26+AU36+AU46+AU56+AU65</f>
        <v>284.1586867305063</v>
      </c>
      <c r="AV66" s="78"/>
      <c r="AW66" s="78">
        <f>AW26+AW36+AW46+AW56+AW65</f>
        <v>284158.68673050631</v>
      </c>
      <c r="AX66" s="78"/>
      <c r="AY66" s="78">
        <f t="shared" si="123"/>
        <v>20427.607051648003</v>
      </c>
      <c r="AZ66" s="78"/>
      <c r="BA66" s="78">
        <f t="shared" si="123"/>
        <v>12968.777514488955</v>
      </c>
      <c r="BB66" s="78"/>
      <c r="BC66" s="78">
        <f t="shared" si="123"/>
        <v>47190.093747302053</v>
      </c>
      <c r="BD66" s="78"/>
      <c r="BE66" s="78">
        <f t="shared" si="123"/>
        <v>7960.4648432948852</v>
      </c>
      <c r="BF66" s="78"/>
      <c r="BG66" s="78">
        <f t="shared" si="123"/>
        <v>3027.7622304518964</v>
      </c>
      <c r="BH66" s="78">
        <f t="shared" si="123"/>
        <v>895072.51928146183</v>
      </c>
      <c r="BI66" s="78" t="e">
        <f t="shared" ca="1" si="123"/>
        <v>#REF!</v>
      </c>
      <c r="BJ66" s="78"/>
      <c r="BK66" s="78"/>
      <c r="BL66" s="78"/>
      <c r="BM66" s="78">
        <f t="shared" si="123"/>
        <v>572.69531246725785</v>
      </c>
    </row>
  </sheetData>
  <mergeCells count="104">
    <mergeCell ref="AL13:AM14"/>
    <mergeCell ref="BE16:BE17"/>
    <mergeCell ref="BF16:BF17"/>
    <mergeCell ref="BG16:BG17"/>
    <mergeCell ref="BD16:BD17"/>
    <mergeCell ref="AX13:BA14"/>
    <mergeCell ref="BB13:BH14"/>
    <mergeCell ref="AX15:AY15"/>
    <mergeCell ref="AZ15:BA15"/>
    <mergeCell ref="BB15:BC15"/>
    <mergeCell ref="BD15:BE15"/>
    <mergeCell ref="BF15:BG15"/>
    <mergeCell ref="BB16:BB17"/>
    <mergeCell ref="BC16:BC17"/>
    <mergeCell ref="AO15:AO17"/>
    <mergeCell ref="BA16:BA17"/>
    <mergeCell ref="B57:E57"/>
    <mergeCell ref="B47:E47"/>
    <mergeCell ref="B27:E27"/>
    <mergeCell ref="B18:E18"/>
    <mergeCell ref="B19:E19"/>
    <mergeCell ref="B37:E37"/>
    <mergeCell ref="AN15:AN17"/>
    <mergeCell ref="AA15:AB15"/>
    <mergeCell ref="AJ15:AK15"/>
    <mergeCell ref="AF15:AG15"/>
    <mergeCell ref="AB16:AB17"/>
    <mergeCell ref="M15:M17"/>
    <mergeCell ref="N15:N17"/>
    <mergeCell ref="O15:P15"/>
    <mergeCell ref="AK16:AK17"/>
    <mergeCell ref="AL15:AL17"/>
    <mergeCell ref="AM15:AM17"/>
    <mergeCell ref="AD15:AD17"/>
    <mergeCell ref="O16:O17"/>
    <mergeCell ref="P16:P17"/>
    <mergeCell ref="Q16:Q17"/>
    <mergeCell ref="R16:R17"/>
    <mergeCell ref="AC15:AC17"/>
    <mergeCell ref="S16:S17"/>
    <mergeCell ref="AH13:AI14"/>
    <mergeCell ref="AF16:AF17"/>
    <mergeCell ref="AG16:AG17"/>
    <mergeCell ref="AI15:AI17"/>
    <mergeCell ref="AH15:AH17"/>
    <mergeCell ref="AC13:AE14"/>
    <mergeCell ref="T16:T17"/>
    <mergeCell ref="AJ13:AK14"/>
    <mergeCell ref="V15:V17"/>
    <mergeCell ref="W15:X15"/>
    <mergeCell ref="W16:W17"/>
    <mergeCell ref="X16:X17"/>
    <mergeCell ref="W13:X14"/>
    <mergeCell ref="Y13:Z14"/>
    <mergeCell ref="AA13:AB14"/>
    <mergeCell ref="AF13:AG14"/>
    <mergeCell ref="U13:V14"/>
    <mergeCell ref="Y16:Y17"/>
    <mergeCell ref="Z16:Z17"/>
    <mergeCell ref="AA16:AA17"/>
    <mergeCell ref="AE15:AE17"/>
    <mergeCell ref="AJ16:AJ17"/>
    <mergeCell ref="Q15:R15"/>
    <mergeCell ref="S15:T15"/>
    <mergeCell ref="AX16:AX17"/>
    <mergeCell ref="AY16:AY17"/>
    <mergeCell ref="AZ16:AZ17"/>
    <mergeCell ref="AP15:AP17"/>
    <mergeCell ref="AQ15:AQ17"/>
    <mergeCell ref="AR15:AR17"/>
    <mergeCell ref="AS15:AS17"/>
    <mergeCell ref="BI13:BJ14"/>
    <mergeCell ref="BH15:BH17"/>
    <mergeCell ref="BI15:BI17"/>
    <mergeCell ref="BJ15:BJ17"/>
    <mergeCell ref="BK13:BK17"/>
    <mergeCell ref="BL13:BM14"/>
    <mergeCell ref="BL15:BL17"/>
    <mergeCell ref="BM15:BM17"/>
    <mergeCell ref="H13:I14"/>
    <mergeCell ref="J13:J17"/>
    <mergeCell ref="K13:K17"/>
    <mergeCell ref="L13:L17"/>
    <mergeCell ref="H15:H17"/>
    <mergeCell ref="I15:I17"/>
    <mergeCell ref="AT13:AW14"/>
    <mergeCell ref="AT15:AT17"/>
    <mergeCell ref="AU15:AU17"/>
    <mergeCell ref="AV15:AV17"/>
    <mergeCell ref="AW15:AW17"/>
    <mergeCell ref="AN13:AS14"/>
    <mergeCell ref="M13:N14"/>
    <mergeCell ref="O13:P14"/>
    <mergeCell ref="Q13:T14"/>
    <mergeCell ref="U15:U17"/>
    <mergeCell ref="A13:A17"/>
    <mergeCell ref="B13:E14"/>
    <mergeCell ref="F13:F17"/>
    <mergeCell ref="G13:G17"/>
    <mergeCell ref="B15:B17"/>
    <mergeCell ref="C15:E15"/>
    <mergeCell ref="C16:C17"/>
    <mergeCell ref="D16:D17"/>
    <mergeCell ref="E16:E17"/>
  </mergeCells>
  <phoneticPr fontId="4" type="noConversion"/>
  <conditionalFormatting sqref="AP20:AP25 AS38:AW40 AS28:AW35 AP28:AP35 AP38:AP40 AX37:AX40 AN57:BM64 AR41:AX45 AN41:AP45 AQ44:AQ45 S48:S50 U20:AM25 AY19:BM25 H19:I66 AX27:BM36 AS20:AX25 J65:BM66 K27 K19 K37 K47 G65:G66 G19 G26:G27 G36:G37 G46:G47 G56:G57 R37 R27 R19 J19:J64 T27:T33 T19:T22 T37:T40 U27:AW27 T57:AM57 K36:T36 U19:AX19 K57 U36:AW37 K56:BM56 T25 S19:S25 K26:BM26 S27:S35 O19:P19 R41:R45 S37:S45 O27:P27 K46:BM46 O37:P37 O57:P57 L19:N25 Q19:Q25 L27:N35 Q27:Q35 L37:N45 Q37:Q45 L47:N55 O47:AM47 L57:N64 Q57:S64 AY37:BM45 U28:AM35 U38:AM45 U48:AM55 U58:AM64 Q51:S55 Q48:Q50 AO47 AO51:AO55 AP47:AP55 AS47:BM55 AQ47:AR47 AQ51:AR55 AN47:AN55">
    <cfRule type="cellIs" dxfId="19" priority="5" stopIfTrue="1" operator="greaterThan">
      <formula>0</formula>
    </cfRule>
  </conditionalFormatting>
  <conditionalFormatting sqref="AN20:AN25 AN28:AN35 AN38:AN40 K20:K25 K28:K35 K38:K45 K48:K55 K58:K64">
    <cfRule type="cellIs" dxfId="18" priority="6" stopIfTrue="1" operator="greaterThan">
      <formula>0</formula>
    </cfRule>
  </conditionalFormatting>
  <conditionalFormatting sqref="E48:E55 E28:E35 E58:E64 E38:E45 E20:E25">
    <cfRule type="cellIs" dxfId="17" priority="7" stopIfTrue="1" operator="equal">
      <formula>0</formula>
    </cfRule>
  </conditionalFormatting>
  <conditionalFormatting sqref="O20:P25 O28:P35 O38:P45 O48:P55 O58:P64">
    <cfRule type="cellIs" dxfId="16" priority="8" stopIfTrue="1" operator="greaterThan">
      <formula>0</formula>
    </cfRule>
  </conditionalFormatting>
  <conditionalFormatting sqref="G19 G26:G27 G36:G37 G46:G47 G56:G57">
    <cfRule type="cellIs" dxfId="15" priority="4" stopIfTrue="1" operator="greaterThan">
      <formula>0</formula>
    </cfRule>
  </conditionalFormatting>
  <conditionalFormatting sqref="E48:E55 E28:E35 E58:E64 E38:E45 E20:E25">
    <cfRule type="cellIs" dxfId="14" priority="3" stopIfTrue="1" operator="equal">
      <formula>0</formula>
    </cfRule>
  </conditionalFormatting>
  <conditionalFormatting sqref="AT31:AW31">
    <cfRule type="cellIs" dxfId="13" priority="2" stopIfTrue="1" operator="greaterThan">
      <formula>0</formula>
    </cfRule>
  </conditionalFormatting>
  <conditionalFormatting sqref="AN48:AN50">
    <cfRule type="cellIs" dxfId="12" priority="1" stopIfTrue="1" operator="greaterThan">
      <formula>0</formula>
    </cfRule>
  </conditionalFormatting>
  <dataValidations count="2">
    <dataValidation type="list" allowBlank="1" showInputMessage="1" showErrorMessage="1" sqref="AQ27:AR27 AQ57:AR64 AQ51:AR55">
      <formula1>#REF!</formula1>
    </dataValidation>
    <dataValidation type="list" allowBlank="1" showInputMessage="1" showErrorMessage="1" sqref="AQ41:AQ43">
      <formula1>$B$107:$B$110</formula1>
    </dataValidation>
  </dataValidations>
  <pageMargins left="0.18" right="0.18" top="0.18" bottom="0.18" header="0.23622047244094491" footer="0.15748031496062992"/>
  <pageSetup paperSize="9" scale="55" fitToWidth="5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66"/>
  <sheetViews>
    <sheetView workbookViewId="0">
      <selection activeCell="J13" sqref="J13:J17"/>
    </sheetView>
  </sheetViews>
  <sheetFormatPr defaultColWidth="9.140625" defaultRowHeight="11.25" x14ac:dyDescent="0.2"/>
  <cols>
    <col min="1" max="1" width="3.85546875" style="15" customWidth="1"/>
    <col min="2" max="2" width="29.7109375" style="13" customWidth="1"/>
    <col min="3" max="3" width="5.42578125" style="13" customWidth="1"/>
    <col min="4" max="4" width="9.28515625" style="13" customWidth="1"/>
    <col min="5" max="5" width="7.42578125" style="13" customWidth="1"/>
    <col min="6" max="6" width="4.7109375" style="15" customWidth="1"/>
    <col min="7" max="7" width="9" style="13" customWidth="1"/>
    <col min="8" max="9" width="6.140625" style="13" customWidth="1"/>
    <col min="10" max="10" width="5.42578125" style="13" customWidth="1"/>
    <col min="11" max="12" width="6.140625" style="13" customWidth="1"/>
    <col min="13" max="13" width="7" style="13" customWidth="1"/>
    <col min="14" max="16" width="6.140625" style="13" customWidth="1"/>
    <col min="17" max="17" width="6.140625" style="18" customWidth="1"/>
    <col min="18" max="20" width="6.140625" style="13" customWidth="1"/>
    <col min="21" max="21" width="7.28515625" style="13" customWidth="1"/>
    <col min="22" max="22" width="6.7109375" style="13" customWidth="1"/>
    <col min="23" max="23" width="7.140625" style="13" customWidth="1"/>
    <col min="24" max="24" width="7.28515625" style="13" customWidth="1"/>
    <col min="25" max="27" width="6.140625" style="13" customWidth="1"/>
    <col min="28" max="29" width="7.28515625" style="13" customWidth="1"/>
    <col min="30" max="30" width="8" style="13" customWidth="1"/>
    <col min="31" max="31" width="8.7109375" style="13" customWidth="1"/>
    <col min="32" max="32" width="6.140625" style="13" customWidth="1"/>
    <col min="33" max="33" width="7.5703125" style="13" customWidth="1"/>
    <col min="34" max="34" width="7" style="13" customWidth="1"/>
    <col min="35" max="35" width="7.85546875" style="13" customWidth="1"/>
    <col min="36" max="36" width="6.140625" style="13" customWidth="1"/>
    <col min="37" max="37" width="8.42578125" style="13" customWidth="1"/>
    <col min="38" max="38" width="7.140625" style="13" customWidth="1"/>
    <col min="39" max="39" width="8.42578125" style="13" customWidth="1"/>
    <col min="40" max="41" width="6.140625" style="13" customWidth="1"/>
    <col min="42" max="42" width="7.28515625" style="16" customWidth="1"/>
    <col min="43" max="44" width="8.7109375" style="43" customWidth="1"/>
    <col min="45" max="49" width="9.5703125" style="16" customWidth="1"/>
    <col min="50" max="60" width="7.42578125" style="16" customWidth="1"/>
    <col min="61" max="61" width="9.28515625" style="16" customWidth="1"/>
    <col min="62" max="63" width="7.42578125" style="16" customWidth="1"/>
    <col min="64" max="64" width="9" style="17" customWidth="1"/>
    <col min="65" max="16384" width="9.140625" style="13"/>
  </cols>
  <sheetData>
    <row r="1" spans="1:65" s="7" customFormat="1" ht="15.75" x14ac:dyDescent="0.2">
      <c r="B1" s="47" t="s">
        <v>55</v>
      </c>
      <c r="E1" s="8"/>
      <c r="G1" s="6"/>
      <c r="H1" s="115" t="s">
        <v>438</v>
      </c>
      <c r="Q1" s="44"/>
      <c r="AP1" s="9"/>
      <c r="AQ1" s="10"/>
      <c r="AR1" s="10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11"/>
    </row>
    <row r="2" spans="1:65" s="7" customFormat="1" ht="15.75" x14ac:dyDescent="0.2">
      <c r="B2" s="47" t="s">
        <v>58</v>
      </c>
      <c r="E2" s="8"/>
      <c r="G2" s="6"/>
      <c r="Q2" s="44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11"/>
    </row>
    <row r="3" spans="1:65" s="7" customFormat="1" ht="15.75" x14ac:dyDescent="0.2">
      <c r="B3" s="6"/>
      <c r="E3" s="8"/>
      <c r="G3" s="6"/>
      <c r="Q3" s="44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"/>
    </row>
    <row r="4" spans="1:65" s="1" customFormat="1" ht="12.75" customHeight="1" x14ac:dyDescent="0.2">
      <c r="B4" s="46" t="s">
        <v>85</v>
      </c>
      <c r="E4" s="2"/>
      <c r="G4" s="46"/>
      <c r="L4" s="46"/>
      <c r="Q4" s="3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5"/>
    </row>
    <row r="5" spans="1:65" s="1" customFormat="1" ht="12.75" customHeight="1" x14ac:dyDescent="0.2">
      <c r="B5" s="46" t="s">
        <v>380</v>
      </c>
      <c r="D5" s="1">
        <v>100</v>
      </c>
      <c r="E5" s="2"/>
      <c r="J5" s="123"/>
      <c r="L5" s="46"/>
      <c r="Q5" s="3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5"/>
    </row>
    <row r="6" spans="1:65" s="1" customFormat="1" ht="12.75" customHeight="1" x14ac:dyDescent="0.2">
      <c r="B6" s="1" t="s">
        <v>362</v>
      </c>
      <c r="E6" s="2"/>
      <c r="F6" s="45" t="s">
        <v>361</v>
      </c>
      <c r="G6" s="13"/>
      <c r="H6" s="13"/>
      <c r="J6" s="123"/>
      <c r="L6" s="46"/>
      <c r="Q6" s="3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5"/>
    </row>
    <row r="7" spans="1:65" ht="12.75" customHeight="1" x14ac:dyDescent="0.2">
      <c r="B7" s="45" t="s">
        <v>222</v>
      </c>
      <c r="D7" s="169">
        <v>10.8</v>
      </c>
      <c r="E7" s="14"/>
      <c r="F7" s="45"/>
      <c r="G7" s="45" t="s">
        <v>222</v>
      </c>
      <c r="H7" s="13">
        <f>$D$5*D7</f>
        <v>1080</v>
      </c>
      <c r="J7" s="124"/>
      <c r="L7" s="45"/>
      <c r="Q7" s="15"/>
      <c r="AQ7" s="16"/>
      <c r="AR7" s="16"/>
    </row>
    <row r="8" spans="1:65" ht="12.75" customHeight="1" x14ac:dyDescent="0.2">
      <c r="B8" s="45" t="s">
        <v>223</v>
      </c>
      <c r="D8" s="169">
        <v>10.8</v>
      </c>
      <c r="E8" s="14"/>
      <c r="F8" s="45"/>
      <c r="G8" s="45" t="s">
        <v>223</v>
      </c>
      <c r="H8" s="13">
        <f>$D$5*D8</f>
        <v>1080</v>
      </c>
      <c r="J8" s="124"/>
      <c r="L8" s="45"/>
      <c r="Q8" s="15"/>
      <c r="AQ8" s="16"/>
      <c r="AR8" s="16"/>
    </row>
    <row r="9" spans="1:65" ht="12.75" customHeight="1" x14ac:dyDescent="0.2">
      <c r="B9" s="45" t="s">
        <v>224</v>
      </c>
      <c r="D9" s="169">
        <v>10.8</v>
      </c>
      <c r="E9" s="14"/>
      <c r="F9" s="45"/>
      <c r="G9" s="45" t="s">
        <v>224</v>
      </c>
      <c r="H9" s="13">
        <f>$D$5*D9</f>
        <v>1080</v>
      </c>
      <c r="J9" s="124"/>
      <c r="L9" s="45"/>
      <c r="Q9" s="15"/>
      <c r="AQ9" s="16"/>
      <c r="AR9" s="16"/>
    </row>
    <row r="10" spans="1:65" ht="12.75" customHeight="1" x14ac:dyDescent="0.2">
      <c r="B10" s="45" t="s">
        <v>225</v>
      </c>
      <c r="D10" s="169">
        <v>10.8</v>
      </c>
      <c r="E10" s="14"/>
      <c r="F10" s="45"/>
      <c r="G10" s="45" t="s">
        <v>225</v>
      </c>
      <c r="H10" s="13">
        <f>$D$5*D10</f>
        <v>1080</v>
      </c>
      <c r="J10" s="124"/>
      <c r="L10" s="45"/>
      <c r="Q10" s="15"/>
      <c r="AQ10" s="16"/>
      <c r="AR10" s="16"/>
    </row>
    <row r="11" spans="1:65" ht="12.75" customHeight="1" x14ac:dyDescent="0.2">
      <c r="B11" s="45" t="s">
        <v>226</v>
      </c>
      <c r="D11" s="169">
        <v>12.96</v>
      </c>
      <c r="E11" s="14"/>
      <c r="F11" s="45"/>
      <c r="G11" s="45" t="s">
        <v>226</v>
      </c>
      <c r="H11" s="13">
        <f>$D$5*D11</f>
        <v>1296</v>
      </c>
      <c r="J11" s="124"/>
      <c r="L11" s="45"/>
      <c r="Q11" s="15"/>
      <c r="AQ11" s="16"/>
      <c r="AR11" s="16"/>
    </row>
    <row r="12" spans="1:65" ht="12.75" customHeight="1" x14ac:dyDescent="0.2">
      <c r="D12" s="14"/>
      <c r="E12" s="7"/>
      <c r="F12" s="12"/>
      <c r="K12" s="7"/>
      <c r="L12" s="7"/>
      <c r="N12" s="7"/>
      <c r="Q12" s="15"/>
      <c r="AQ12" s="16"/>
      <c r="AR12" s="16"/>
    </row>
    <row r="13" spans="1:65" s="6" customFormat="1" ht="39.75" customHeight="1" x14ac:dyDescent="0.2">
      <c r="A13" s="472" t="s">
        <v>56</v>
      </c>
      <c r="B13" s="473" t="s">
        <v>52</v>
      </c>
      <c r="C13" s="473"/>
      <c r="D13" s="473"/>
      <c r="E13" s="473"/>
      <c r="F13" s="472" t="s">
        <v>16</v>
      </c>
      <c r="G13" s="472" t="s">
        <v>35</v>
      </c>
      <c r="H13" s="473" t="s">
        <v>31</v>
      </c>
      <c r="I13" s="473"/>
      <c r="J13" s="472" t="s">
        <v>34</v>
      </c>
      <c r="K13" s="472" t="s">
        <v>40</v>
      </c>
      <c r="L13" s="472" t="s">
        <v>39</v>
      </c>
      <c r="M13" s="473" t="s">
        <v>36</v>
      </c>
      <c r="N13" s="473"/>
      <c r="O13" s="473" t="s">
        <v>320</v>
      </c>
      <c r="P13" s="473"/>
      <c r="Q13" s="473" t="s">
        <v>319</v>
      </c>
      <c r="R13" s="473"/>
      <c r="S13" s="473"/>
      <c r="T13" s="473"/>
      <c r="U13" s="473" t="s">
        <v>321</v>
      </c>
      <c r="V13" s="473"/>
      <c r="W13" s="473" t="s">
        <v>322</v>
      </c>
      <c r="X13" s="473"/>
      <c r="Y13" s="473" t="s">
        <v>323</v>
      </c>
      <c r="Z13" s="473"/>
      <c r="AA13" s="473" t="s">
        <v>324</v>
      </c>
      <c r="AB13" s="473"/>
      <c r="AC13" s="481" t="s">
        <v>435</v>
      </c>
      <c r="AD13" s="482"/>
      <c r="AE13" s="483"/>
      <c r="AF13" s="473" t="s">
        <v>166</v>
      </c>
      <c r="AG13" s="473"/>
      <c r="AH13" s="473" t="s">
        <v>325</v>
      </c>
      <c r="AI13" s="473"/>
      <c r="AJ13" s="473" t="s">
        <v>326</v>
      </c>
      <c r="AK13" s="473"/>
      <c r="AL13" s="473" t="s">
        <v>327</v>
      </c>
      <c r="AM13" s="473"/>
      <c r="AN13" s="473" t="s">
        <v>14</v>
      </c>
      <c r="AO13" s="473"/>
      <c r="AP13" s="473"/>
      <c r="AQ13" s="473"/>
      <c r="AR13" s="473"/>
      <c r="AS13" s="473"/>
      <c r="AT13" s="481" t="s">
        <v>404</v>
      </c>
      <c r="AU13" s="482"/>
      <c r="AV13" s="482"/>
      <c r="AW13" s="483"/>
      <c r="AX13" s="473" t="s">
        <v>45</v>
      </c>
      <c r="AY13" s="473"/>
      <c r="AZ13" s="473"/>
      <c r="BA13" s="473"/>
      <c r="BB13" s="473" t="s">
        <v>317</v>
      </c>
      <c r="BC13" s="473"/>
      <c r="BD13" s="473"/>
      <c r="BE13" s="473"/>
      <c r="BF13" s="473"/>
      <c r="BG13" s="473"/>
      <c r="BH13" s="473"/>
      <c r="BI13" s="473" t="s">
        <v>49</v>
      </c>
      <c r="BJ13" s="473"/>
      <c r="BK13" s="473" t="s">
        <v>331</v>
      </c>
      <c r="BL13" s="488" t="s">
        <v>59</v>
      </c>
      <c r="BM13" s="488"/>
    </row>
    <row r="14" spans="1:65" s="6" customFormat="1" ht="40.5" customHeight="1" x14ac:dyDescent="0.2">
      <c r="A14" s="472"/>
      <c r="B14" s="473"/>
      <c r="C14" s="473"/>
      <c r="D14" s="473"/>
      <c r="E14" s="473"/>
      <c r="F14" s="472"/>
      <c r="G14" s="472"/>
      <c r="H14" s="473"/>
      <c r="I14" s="473"/>
      <c r="J14" s="472"/>
      <c r="K14" s="472"/>
      <c r="L14" s="472"/>
      <c r="M14" s="473"/>
      <c r="N14" s="473"/>
      <c r="O14" s="473"/>
      <c r="P14" s="473"/>
      <c r="Q14" s="473"/>
      <c r="R14" s="473"/>
      <c r="S14" s="473"/>
      <c r="T14" s="473"/>
      <c r="U14" s="473"/>
      <c r="V14" s="473"/>
      <c r="W14" s="473"/>
      <c r="X14" s="473"/>
      <c r="Y14" s="473"/>
      <c r="Z14" s="473"/>
      <c r="AA14" s="473"/>
      <c r="AB14" s="473"/>
      <c r="AC14" s="484"/>
      <c r="AD14" s="485"/>
      <c r="AE14" s="486"/>
      <c r="AF14" s="473"/>
      <c r="AG14" s="473"/>
      <c r="AH14" s="473"/>
      <c r="AI14" s="473"/>
      <c r="AJ14" s="473"/>
      <c r="AK14" s="473"/>
      <c r="AL14" s="473"/>
      <c r="AM14" s="473"/>
      <c r="AN14" s="473"/>
      <c r="AO14" s="473"/>
      <c r="AP14" s="473"/>
      <c r="AQ14" s="473"/>
      <c r="AR14" s="473"/>
      <c r="AS14" s="473"/>
      <c r="AT14" s="484"/>
      <c r="AU14" s="485"/>
      <c r="AV14" s="485"/>
      <c r="AW14" s="486"/>
      <c r="AX14" s="473"/>
      <c r="AY14" s="473"/>
      <c r="AZ14" s="473"/>
      <c r="BA14" s="473"/>
      <c r="BB14" s="473"/>
      <c r="BC14" s="473"/>
      <c r="BD14" s="473"/>
      <c r="BE14" s="473"/>
      <c r="BF14" s="473"/>
      <c r="BG14" s="473"/>
      <c r="BH14" s="473"/>
      <c r="BI14" s="473"/>
      <c r="BJ14" s="473"/>
      <c r="BK14" s="473"/>
      <c r="BL14" s="488"/>
      <c r="BM14" s="488"/>
    </row>
    <row r="15" spans="1:65" s="6" customFormat="1" ht="38.25" customHeight="1" x14ac:dyDescent="0.2">
      <c r="A15" s="472"/>
      <c r="B15" s="473" t="s">
        <v>13</v>
      </c>
      <c r="C15" s="473" t="s">
        <v>41</v>
      </c>
      <c r="D15" s="473"/>
      <c r="E15" s="473"/>
      <c r="F15" s="472"/>
      <c r="G15" s="472"/>
      <c r="H15" s="472" t="s">
        <v>32</v>
      </c>
      <c r="I15" s="472" t="s">
        <v>33</v>
      </c>
      <c r="J15" s="472"/>
      <c r="K15" s="472"/>
      <c r="L15" s="472"/>
      <c r="M15" s="472" t="s">
        <v>37</v>
      </c>
      <c r="N15" s="472" t="s">
        <v>38</v>
      </c>
      <c r="O15" s="462">
        <v>7</v>
      </c>
      <c r="P15" s="462"/>
      <c r="Q15" s="473" t="s">
        <v>37</v>
      </c>
      <c r="R15" s="473"/>
      <c r="S15" s="473" t="s">
        <v>38</v>
      </c>
      <c r="T15" s="473"/>
      <c r="U15" s="472" t="s">
        <v>17</v>
      </c>
      <c r="V15" s="472" t="s">
        <v>18</v>
      </c>
      <c r="W15" s="489">
        <v>0.4</v>
      </c>
      <c r="X15" s="489"/>
      <c r="Y15" s="74">
        <v>0.1</v>
      </c>
      <c r="Z15" s="74">
        <v>0.05</v>
      </c>
      <c r="AA15" s="495">
        <v>0.1</v>
      </c>
      <c r="AB15" s="495"/>
      <c r="AC15" s="491" t="s">
        <v>19</v>
      </c>
      <c r="AD15" s="491" t="s">
        <v>17</v>
      </c>
      <c r="AE15" s="491" t="s">
        <v>18</v>
      </c>
      <c r="AF15" s="495">
        <f ca="1">(((((AD66/O66)*167)/29*(52/12)))/((AD66/O66)*167))</f>
        <v>0.14942528735632182</v>
      </c>
      <c r="AG15" s="495"/>
      <c r="AH15" s="472" t="s">
        <v>17</v>
      </c>
      <c r="AI15" s="472" t="s">
        <v>18</v>
      </c>
      <c r="AJ15" s="495">
        <v>0.3</v>
      </c>
      <c r="AK15" s="495"/>
      <c r="AL15" s="472" t="s">
        <v>17</v>
      </c>
      <c r="AM15" s="472" t="s">
        <v>18</v>
      </c>
      <c r="AN15" s="472" t="s">
        <v>333</v>
      </c>
      <c r="AO15" s="472" t="s">
        <v>43</v>
      </c>
      <c r="AP15" s="487" t="s">
        <v>50</v>
      </c>
      <c r="AQ15" s="487" t="s">
        <v>44</v>
      </c>
      <c r="AR15" s="487" t="s">
        <v>328</v>
      </c>
      <c r="AS15" s="487" t="s">
        <v>329</v>
      </c>
      <c r="AT15" s="472" t="s">
        <v>417</v>
      </c>
      <c r="AU15" s="487" t="s">
        <v>418</v>
      </c>
      <c r="AV15" s="487" t="s">
        <v>419</v>
      </c>
      <c r="AW15" s="487" t="s">
        <v>329</v>
      </c>
      <c r="AX15" s="488" t="s">
        <v>46</v>
      </c>
      <c r="AY15" s="488"/>
      <c r="AZ15" s="488" t="s">
        <v>47</v>
      </c>
      <c r="BA15" s="488"/>
      <c r="BB15" s="488" t="s">
        <v>312</v>
      </c>
      <c r="BC15" s="488"/>
      <c r="BD15" s="488" t="s">
        <v>313</v>
      </c>
      <c r="BE15" s="488"/>
      <c r="BF15" s="488" t="s">
        <v>314</v>
      </c>
      <c r="BG15" s="488"/>
      <c r="BH15" s="472" t="s">
        <v>315</v>
      </c>
      <c r="BI15" s="487" t="s">
        <v>316</v>
      </c>
      <c r="BJ15" s="487" t="s">
        <v>332</v>
      </c>
      <c r="BK15" s="473"/>
      <c r="BL15" s="487" t="s">
        <v>51</v>
      </c>
      <c r="BM15" s="487" t="s">
        <v>15</v>
      </c>
    </row>
    <row r="16" spans="1:65" s="6" customFormat="1" ht="48" customHeight="1" x14ac:dyDescent="0.2">
      <c r="A16" s="472"/>
      <c r="B16" s="473"/>
      <c r="C16" s="472" t="s">
        <v>42</v>
      </c>
      <c r="D16" s="472" t="s">
        <v>54</v>
      </c>
      <c r="E16" s="472" t="s">
        <v>53</v>
      </c>
      <c r="F16" s="472"/>
      <c r="G16" s="472"/>
      <c r="H16" s="472"/>
      <c r="I16" s="472"/>
      <c r="J16" s="472"/>
      <c r="K16" s="472"/>
      <c r="L16" s="472"/>
      <c r="M16" s="472"/>
      <c r="N16" s="472"/>
      <c r="O16" s="472" t="s">
        <v>37</v>
      </c>
      <c r="P16" s="472" t="s">
        <v>38</v>
      </c>
      <c r="Q16" s="474" t="s">
        <v>20</v>
      </c>
      <c r="R16" s="472" t="s">
        <v>21</v>
      </c>
      <c r="S16" s="474" t="s">
        <v>20</v>
      </c>
      <c r="T16" s="472" t="s">
        <v>21</v>
      </c>
      <c r="U16" s="472"/>
      <c r="V16" s="472"/>
      <c r="W16" s="472" t="s">
        <v>17</v>
      </c>
      <c r="X16" s="472" t="s">
        <v>18</v>
      </c>
      <c r="Y16" s="472" t="s">
        <v>175</v>
      </c>
      <c r="Z16" s="472" t="s">
        <v>176</v>
      </c>
      <c r="AA16" s="472" t="s">
        <v>17</v>
      </c>
      <c r="AB16" s="472" t="s">
        <v>18</v>
      </c>
      <c r="AC16" s="492"/>
      <c r="AD16" s="492"/>
      <c r="AE16" s="492"/>
      <c r="AF16" s="472" t="s">
        <v>17</v>
      </c>
      <c r="AG16" s="472" t="s">
        <v>18</v>
      </c>
      <c r="AH16" s="472"/>
      <c r="AI16" s="472"/>
      <c r="AJ16" s="472" t="s">
        <v>17</v>
      </c>
      <c r="AK16" s="472" t="s">
        <v>18</v>
      </c>
      <c r="AL16" s="472"/>
      <c r="AM16" s="472"/>
      <c r="AN16" s="472"/>
      <c r="AO16" s="472"/>
      <c r="AP16" s="487"/>
      <c r="AQ16" s="487"/>
      <c r="AR16" s="487"/>
      <c r="AS16" s="487"/>
      <c r="AT16" s="472"/>
      <c r="AU16" s="487"/>
      <c r="AV16" s="487"/>
      <c r="AW16" s="487"/>
      <c r="AX16" s="487" t="s">
        <v>48</v>
      </c>
      <c r="AY16" s="487" t="s">
        <v>318</v>
      </c>
      <c r="AZ16" s="487" t="s">
        <v>48</v>
      </c>
      <c r="BA16" s="487" t="s">
        <v>318</v>
      </c>
      <c r="BB16" s="487" t="s">
        <v>311</v>
      </c>
      <c r="BC16" s="487" t="s">
        <v>318</v>
      </c>
      <c r="BD16" s="487" t="s">
        <v>311</v>
      </c>
      <c r="BE16" s="487" t="s">
        <v>318</v>
      </c>
      <c r="BF16" s="487" t="s">
        <v>311</v>
      </c>
      <c r="BG16" s="487" t="s">
        <v>318</v>
      </c>
      <c r="BH16" s="472"/>
      <c r="BI16" s="487"/>
      <c r="BJ16" s="487"/>
      <c r="BK16" s="473"/>
      <c r="BL16" s="487"/>
      <c r="BM16" s="487"/>
    </row>
    <row r="17" spans="1:65" s="6" customFormat="1" ht="76.5" customHeight="1" x14ac:dyDescent="0.2">
      <c r="A17" s="472"/>
      <c r="B17" s="473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4"/>
      <c r="R17" s="472"/>
      <c r="S17" s="474"/>
      <c r="T17" s="472"/>
      <c r="U17" s="472"/>
      <c r="V17" s="472"/>
      <c r="W17" s="472"/>
      <c r="X17" s="472"/>
      <c r="Y17" s="472"/>
      <c r="Z17" s="472"/>
      <c r="AA17" s="472"/>
      <c r="AB17" s="472"/>
      <c r="AC17" s="493"/>
      <c r="AD17" s="493"/>
      <c r="AE17" s="493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87"/>
      <c r="AQ17" s="487"/>
      <c r="AR17" s="487"/>
      <c r="AS17" s="487"/>
      <c r="AT17" s="472"/>
      <c r="AU17" s="487"/>
      <c r="AV17" s="487"/>
      <c r="AW17" s="487"/>
      <c r="AX17" s="487"/>
      <c r="AY17" s="487"/>
      <c r="AZ17" s="487"/>
      <c r="BA17" s="487"/>
      <c r="BB17" s="487"/>
      <c r="BC17" s="487"/>
      <c r="BD17" s="487"/>
      <c r="BE17" s="487"/>
      <c r="BF17" s="487"/>
      <c r="BG17" s="487"/>
      <c r="BH17" s="472"/>
      <c r="BI17" s="487"/>
      <c r="BJ17" s="487"/>
      <c r="BK17" s="473"/>
      <c r="BL17" s="487"/>
      <c r="BM17" s="487"/>
    </row>
    <row r="18" spans="1:65" x14ac:dyDescent="0.2">
      <c r="A18" s="20">
        <f>COLUMN(A18)</f>
        <v>1</v>
      </c>
      <c r="B18" s="494">
        <f>COLUMN(B18)</f>
        <v>2</v>
      </c>
      <c r="C18" s="494"/>
      <c r="D18" s="494"/>
      <c r="E18" s="494"/>
      <c r="F18" s="20">
        <v>3</v>
      </c>
      <c r="G18" s="20">
        <f t="shared" ref="G18:BI18" si="0">F18+1</f>
        <v>4</v>
      </c>
      <c r="H18" s="20">
        <f t="shared" si="0"/>
        <v>5</v>
      </c>
      <c r="I18" s="20">
        <f t="shared" si="0"/>
        <v>6</v>
      </c>
      <c r="J18" s="20">
        <f t="shared" si="0"/>
        <v>7</v>
      </c>
      <c r="K18" s="20">
        <f t="shared" si="0"/>
        <v>8</v>
      </c>
      <c r="L18" s="20">
        <f t="shared" si="0"/>
        <v>9</v>
      </c>
      <c r="M18" s="20">
        <f t="shared" si="0"/>
        <v>10</v>
      </c>
      <c r="N18" s="20">
        <f t="shared" si="0"/>
        <v>11</v>
      </c>
      <c r="O18" s="20">
        <f t="shared" si="0"/>
        <v>12</v>
      </c>
      <c r="P18" s="20">
        <f t="shared" si="0"/>
        <v>13</v>
      </c>
      <c r="Q18" s="20">
        <f t="shared" si="0"/>
        <v>14</v>
      </c>
      <c r="R18" s="20">
        <f t="shared" si="0"/>
        <v>15</v>
      </c>
      <c r="S18" s="20">
        <f t="shared" si="0"/>
        <v>16</v>
      </c>
      <c r="T18" s="20">
        <f t="shared" si="0"/>
        <v>17</v>
      </c>
      <c r="U18" s="20">
        <f t="shared" si="0"/>
        <v>18</v>
      </c>
      <c r="V18" s="20">
        <f t="shared" si="0"/>
        <v>19</v>
      </c>
      <c r="W18" s="20">
        <f t="shared" si="0"/>
        <v>20</v>
      </c>
      <c r="X18" s="20">
        <f t="shared" si="0"/>
        <v>21</v>
      </c>
      <c r="Y18" s="20">
        <f t="shared" si="0"/>
        <v>22</v>
      </c>
      <c r="Z18" s="20">
        <f t="shared" si="0"/>
        <v>23</v>
      </c>
      <c r="AA18" s="20">
        <f t="shared" si="0"/>
        <v>24</v>
      </c>
      <c r="AB18" s="20">
        <f t="shared" si="0"/>
        <v>25</v>
      </c>
      <c r="AC18" s="20">
        <f t="shared" si="0"/>
        <v>26</v>
      </c>
      <c r="AD18" s="20">
        <f t="shared" si="0"/>
        <v>27</v>
      </c>
      <c r="AE18" s="20">
        <f t="shared" si="0"/>
        <v>28</v>
      </c>
      <c r="AF18" s="20">
        <f t="shared" si="0"/>
        <v>29</v>
      </c>
      <c r="AG18" s="20">
        <f t="shared" si="0"/>
        <v>30</v>
      </c>
      <c r="AH18" s="20">
        <f t="shared" si="0"/>
        <v>31</v>
      </c>
      <c r="AI18" s="20">
        <f t="shared" si="0"/>
        <v>32</v>
      </c>
      <c r="AJ18" s="20">
        <f t="shared" si="0"/>
        <v>33</v>
      </c>
      <c r="AK18" s="20">
        <f t="shared" si="0"/>
        <v>34</v>
      </c>
      <c r="AL18" s="20">
        <f t="shared" si="0"/>
        <v>35</v>
      </c>
      <c r="AM18" s="20">
        <f t="shared" si="0"/>
        <v>36</v>
      </c>
      <c r="AN18" s="20">
        <f t="shared" si="0"/>
        <v>37</v>
      </c>
      <c r="AO18" s="20">
        <f t="shared" si="0"/>
        <v>38</v>
      </c>
      <c r="AP18" s="20">
        <f t="shared" si="0"/>
        <v>39</v>
      </c>
      <c r="AQ18" s="20">
        <f t="shared" si="0"/>
        <v>40</v>
      </c>
      <c r="AR18" s="20">
        <f t="shared" si="0"/>
        <v>41</v>
      </c>
      <c r="AS18" s="20">
        <f t="shared" si="0"/>
        <v>42</v>
      </c>
      <c r="AT18" s="20">
        <f t="shared" si="0"/>
        <v>43</v>
      </c>
      <c r="AU18" s="20">
        <f t="shared" si="0"/>
        <v>44</v>
      </c>
      <c r="AV18" s="20">
        <f t="shared" si="0"/>
        <v>45</v>
      </c>
      <c r="AW18" s="20">
        <f t="shared" si="0"/>
        <v>46</v>
      </c>
      <c r="AX18" s="20">
        <f t="shared" si="0"/>
        <v>47</v>
      </c>
      <c r="AY18" s="20">
        <f t="shared" si="0"/>
        <v>48</v>
      </c>
      <c r="AZ18" s="20">
        <f t="shared" si="0"/>
        <v>49</v>
      </c>
      <c r="BA18" s="20">
        <f t="shared" si="0"/>
        <v>50</v>
      </c>
      <c r="BB18" s="20">
        <f t="shared" si="0"/>
        <v>51</v>
      </c>
      <c r="BC18" s="20">
        <f t="shared" si="0"/>
        <v>52</v>
      </c>
      <c r="BD18" s="20">
        <f t="shared" si="0"/>
        <v>53</v>
      </c>
      <c r="BE18" s="20">
        <f t="shared" si="0"/>
        <v>54</v>
      </c>
      <c r="BF18" s="20">
        <f t="shared" si="0"/>
        <v>55</v>
      </c>
      <c r="BG18" s="20">
        <f t="shared" si="0"/>
        <v>56</v>
      </c>
      <c r="BH18" s="20">
        <f t="shared" si="0"/>
        <v>57</v>
      </c>
      <c r="BI18" s="20">
        <f t="shared" si="0"/>
        <v>58</v>
      </c>
      <c r="BJ18" s="20">
        <f>BI18+1</f>
        <v>59</v>
      </c>
      <c r="BK18" s="20">
        <f>BJ18+1</f>
        <v>60</v>
      </c>
      <c r="BL18" s="20">
        <f>BK18+1</f>
        <v>61</v>
      </c>
      <c r="BM18" s="20">
        <f>BL18+1</f>
        <v>62</v>
      </c>
    </row>
    <row r="19" spans="1:65" s="7" customFormat="1" ht="24" customHeight="1" x14ac:dyDescent="0.2">
      <c r="A19" s="21"/>
      <c r="B19" s="533" t="s">
        <v>101</v>
      </c>
      <c r="C19" s="534"/>
      <c r="D19" s="534"/>
      <c r="E19" s="535"/>
      <c r="F19" s="22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5"/>
      <c r="AQ19" s="26"/>
      <c r="AR19" s="26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3"/>
    </row>
    <row r="20" spans="1:65" x14ac:dyDescent="0.2">
      <c r="A20" s="19">
        <v>1</v>
      </c>
      <c r="B20" s="27" t="s">
        <v>78</v>
      </c>
      <c r="C20" s="29">
        <v>2</v>
      </c>
      <c r="D20" s="30" t="s">
        <v>107</v>
      </c>
      <c r="E20" s="31" t="s">
        <v>202</v>
      </c>
      <c r="F20" s="28" t="s">
        <v>108</v>
      </c>
      <c r="G20" s="144">
        <f>D5</f>
        <v>100</v>
      </c>
      <c r="H20" s="81">
        <v>40374</v>
      </c>
      <c r="I20" s="81">
        <v>40377</v>
      </c>
      <c r="J20" s="83">
        <f>L20/M20</f>
        <v>16.666666666666668</v>
      </c>
      <c r="K20" s="32">
        <v>6</v>
      </c>
      <c r="L20" s="33">
        <f t="shared" ref="L20:L25" si="1">G20/K20</f>
        <v>16.666666666666668</v>
      </c>
      <c r="M20" s="34">
        <v>1</v>
      </c>
      <c r="N20" s="34"/>
      <c r="O20" s="35">
        <f t="shared" ref="O20:O25" si="2">IF(M20=0,0,L20*$O$15)</f>
        <v>116.66666666666667</v>
      </c>
      <c r="P20" s="35">
        <f t="shared" ref="P20:P25" si="3">IF(N20=0,0,L20*$O$15)</f>
        <v>0</v>
      </c>
      <c r="Q20" s="34">
        <v>4</v>
      </c>
      <c r="R20" s="83">
        <f>IF(AND(O20&gt;0,Q20&gt;0),SUMIF('Исходные данные'!$C$13:H13,Q20,'Исходные данные'!$C$17:$H$17),IF(O20=0,0,IF(Q20=0,"РОТ")))</f>
        <v>156.08125696908263</v>
      </c>
      <c r="S20" s="34"/>
      <c r="T20" s="33"/>
      <c r="U20" s="130">
        <f>O20*R20*'Исходные данные'!$C$37%</f>
        <v>0</v>
      </c>
      <c r="V20" s="130">
        <f>P20*T20*'Исходные данные'!$C$38%</f>
        <v>0</v>
      </c>
      <c r="W20" s="130">
        <f t="shared" ref="W20:W25" si="4">O20*R20*$W$15</f>
        <v>7283.7919918905236</v>
      </c>
      <c r="X20" s="131">
        <f t="shared" ref="X20:X25" si="5">P20*T20*$W$15</f>
        <v>0</v>
      </c>
      <c r="Y20" s="130">
        <f t="shared" ref="Y20:Y25" si="6">(O20*R20+U20+W20)*$Y$15</f>
        <v>2549.3271971616832</v>
      </c>
      <c r="Z20" s="131">
        <f t="shared" ref="Z20:Z25" si="7">(P20*T20+V20+X20)*$Z$15</f>
        <v>0</v>
      </c>
      <c r="AA20" s="130">
        <f t="shared" ref="AA20:AA25" si="8">(O20*R20+U20)*$AA$15</f>
        <v>1820.9479979726309</v>
      </c>
      <c r="AB20" s="131">
        <f t="shared" ref="AB20:AB25" si="9">(P20*T20+V20)*$AA$15</f>
        <v>0</v>
      </c>
      <c r="AC20" s="129">
        <v>2.5</v>
      </c>
      <c r="AD20" s="130">
        <f t="shared" ref="AD20:AD25" si="10">(O20*R20+U20+W20+Y20+AA20)*AC20</f>
        <v>74658.867916877862</v>
      </c>
      <c r="AE20" s="130">
        <f t="shared" ref="AE20:AE25" si="11">(P20*T20+V20+X20+Z20+AB20)*AC20</f>
        <v>0</v>
      </c>
      <c r="AF20" s="35">
        <f t="shared" ref="AF20:AG25" ca="1" si="12">AD20*$AF$15</f>
        <v>11155.922792177151</v>
      </c>
      <c r="AG20" s="73"/>
      <c r="AH20" s="35">
        <f t="shared" ref="AH20:AI25" ca="1" si="13">AD20+AF20</f>
        <v>85814.790709055014</v>
      </c>
      <c r="AI20" s="35"/>
      <c r="AJ20" s="35">
        <f t="shared" ref="AJ20:AK25" ca="1" si="14">AH20*$AJ$15</f>
        <v>25744.437212716504</v>
      </c>
      <c r="AK20" s="73"/>
      <c r="AL20" s="35">
        <f t="shared" ref="AL20:AL25" ca="1" si="15">AH20+AJ20</f>
        <v>111559.22792177153</v>
      </c>
      <c r="AM20" s="73"/>
      <c r="AN20" s="32">
        <v>6.5</v>
      </c>
      <c r="AO20" s="33">
        <f>'Исходные данные'!$C$53</f>
        <v>0.84</v>
      </c>
      <c r="AP20" s="79">
        <f>(G20*AN20)*AO20/100</f>
        <v>5.46</v>
      </c>
      <c r="AQ20" s="33" t="s">
        <v>155</v>
      </c>
      <c r="AR20" s="83" t="e">
        <f>'Исходные данные'!#REF!</f>
        <v>#REF!</v>
      </c>
      <c r="AS20" s="36" t="e">
        <f>AP20*AR20</f>
        <v>#REF!</v>
      </c>
      <c r="AT20" s="36"/>
      <c r="AU20" s="36"/>
      <c r="AV20" s="36"/>
      <c r="AW20" s="36"/>
      <c r="AX20" s="36">
        <f>аморт!$G$11</f>
        <v>181.91312849162011</v>
      </c>
      <c r="AY20" s="36">
        <f t="shared" ref="AY20:AY25" si="16">AX20*L20</f>
        <v>3031.8854748603353</v>
      </c>
      <c r="AZ20" s="36">
        <f>аморт!$G$54</f>
        <v>43.453374999999994</v>
      </c>
      <c r="BA20" s="36">
        <f t="shared" ref="BA20:BA25" si="17">AZ20*L20</f>
        <v>724.22291666666661</v>
      </c>
      <c r="BB20" s="38">
        <v>82.4</v>
      </c>
      <c r="BC20" s="36">
        <f t="shared" ref="BC20:BC25" si="18">BB20*BM20</f>
        <v>7004.0000000000009</v>
      </c>
      <c r="BD20" s="38">
        <v>13.9</v>
      </c>
      <c r="BE20" s="36">
        <f t="shared" ref="BE20:BE25" si="19">BD20*BM20</f>
        <v>1181.5</v>
      </c>
      <c r="BF20" s="38">
        <f>4.8*1.045*1.054</f>
        <v>5.2868639999999996</v>
      </c>
      <c r="BG20" s="36">
        <f t="shared" ref="BG20:BG25" si="20">BF20*BM20</f>
        <v>449.38343999999995</v>
      </c>
      <c r="BH20" s="36">
        <f>аморт!$C$54*10%/аморт!$E$54*L20*7</f>
        <v>64890.373333333344</v>
      </c>
      <c r="BI20" s="36" t="e">
        <f t="shared" ref="BI20:BI25" ca="1" si="21">AL20+AM20+AS20+AY20+BA20+BC20+BE20+BG20+BH20+AW20</f>
        <v>#REF!</v>
      </c>
      <c r="BJ20" s="36" t="e">
        <f t="shared" ref="BJ20:BJ25" ca="1" si="22">BI20/$D$5</f>
        <v>#REF!</v>
      </c>
      <c r="BK20" s="38">
        <f t="shared" ref="BK20:BK25" si="23">(O20+P20)/$D$5</f>
        <v>1.1666666666666667</v>
      </c>
      <c r="BL20" s="38">
        <v>5.0999999999999996</v>
      </c>
      <c r="BM20" s="39">
        <f t="shared" ref="BM20:BM25" si="24">BL20*L20</f>
        <v>85</v>
      </c>
    </row>
    <row r="21" spans="1:65" x14ac:dyDescent="0.2">
      <c r="A21" s="20">
        <f>A20+1</f>
        <v>2</v>
      </c>
      <c r="B21" s="27" t="s">
        <v>86</v>
      </c>
      <c r="C21" s="29">
        <v>1</v>
      </c>
      <c r="D21" s="30" t="s">
        <v>107</v>
      </c>
      <c r="E21" s="31" t="s">
        <v>203</v>
      </c>
      <c r="F21" s="28" t="s">
        <v>108</v>
      </c>
      <c r="G21" s="144">
        <f>G20/5</f>
        <v>20</v>
      </c>
      <c r="H21" s="81">
        <v>40376</v>
      </c>
      <c r="I21" s="81">
        <v>40378</v>
      </c>
      <c r="J21" s="83">
        <f>L21/M21</f>
        <v>1.25</v>
      </c>
      <c r="K21" s="32">
        <v>16</v>
      </c>
      <c r="L21" s="33">
        <f t="shared" si="1"/>
        <v>1.25</v>
      </c>
      <c r="M21" s="34">
        <v>1</v>
      </c>
      <c r="N21" s="34"/>
      <c r="O21" s="35">
        <f t="shared" si="2"/>
        <v>8.75</v>
      </c>
      <c r="P21" s="35">
        <f t="shared" si="3"/>
        <v>0</v>
      </c>
      <c r="Q21" s="34">
        <v>2</v>
      </c>
      <c r="R21" s="83">
        <f ca="1">IF(AND(O21&gt;0,Q21&gt;0),SUMIF('Исходные данные'!$C$13:H14,Q21,'Исходные данные'!$C$17:$H$17),IF(O21=0,0,IF(Q21=0,"РОТ")))</f>
        <v>126.44557526609226</v>
      </c>
      <c r="S21" s="34"/>
      <c r="T21" s="33"/>
      <c r="U21" s="130">
        <f ca="1">O21*R21*'Исходные данные'!$C$37%</f>
        <v>0</v>
      </c>
      <c r="V21" s="130">
        <f>P21*T21*'Исходные данные'!$C$38%</f>
        <v>0</v>
      </c>
      <c r="W21" s="130">
        <f t="shared" ca="1" si="4"/>
        <v>442.55951343132296</v>
      </c>
      <c r="X21" s="131">
        <f t="shared" si="5"/>
        <v>0</v>
      </c>
      <c r="Y21" s="130">
        <f t="shared" ca="1" si="6"/>
        <v>154.89582970096305</v>
      </c>
      <c r="Z21" s="131">
        <f t="shared" si="7"/>
        <v>0</v>
      </c>
      <c r="AA21" s="130">
        <f t="shared" ca="1" si="8"/>
        <v>110.63987835783074</v>
      </c>
      <c r="AB21" s="131">
        <f t="shared" si="9"/>
        <v>0</v>
      </c>
      <c r="AC21" s="129">
        <v>2.5</v>
      </c>
      <c r="AD21" s="130">
        <f t="shared" ca="1" si="10"/>
        <v>4536.2350126710598</v>
      </c>
      <c r="AE21" s="130">
        <f t="shared" si="11"/>
        <v>0</v>
      </c>
      <c r="AF21" s="35">
        <f t="shared" ca="1" si="12"/>
        <v>677.82822028418127</v>
      </c>
      <c r="AG21" s="73"/>
      <c r="AH21" s="35">
        <f t="shared" ca="1" si="13"/>
        <v>5214.0632329552409</v>
      </c>
      <c r="AI21" s="35"/>
      <c r="AJ21" s="35">
        <f t="shared" ca="1" si="14"/>
        <v>1564.2189698865723</v>
      </c>
      <c r="AK21" s="73"/>
      <c r="AL21" s="35">
        <f t="shared" ca="1" si="15"/>
        <v>6778.2822028418132</v>
      </c>
      <c r="AM21" s="73"/>
      <c r="AN21" s="33">
        <v>1.8</v>
      </c>
      <c r="AO21" s="33">
        <f>'Исходные данные'!$C$53</f>
        <v>0.84</v>
      </c>
      <c r="AP21" s="79">
        <f>(G21*AN21)*AO21/100</f>
        <v>0.3024</v>
      </c>
      <c r="AQ21" s="33" t="s">
        <v>155</v>
      </c>
      <c r="AR21" s="83" t="e">
        <f>AR20</f>
        <v>#REF!</v>
      </c>
      <c r="AS21" s="36" t="e">
        <f>AP21*AR21</f>
        <v>#REF!</v>
      </c>
      <c r="AT21" s="36"/>
      <c r="AU21" s="36"/>
      <c r="AV21" s="36"/>
      <c r="AW21" s="36"/>
      <c r="AX21" s="36">
        <f>аморт!$G$11</f>
        <v>181.91312849162011</v>
      </c>
      <c r="AY21" s="36">
        <f t="shared" si="16"/>
        <v>227.39141061452514</v>
      </c>
      <c r="AZ21" s="36">
        <f>аморт!$G$38</f>
        <v>144.06779999999998</v>
      </c>
      <c r="BA21" s="36">
        <f t="shared" si="17"/>
        <v>180.08474999999999</v>
      </c>
      <c r="BB21" s="38">
        <v>82.4</v>
      </c>
      <c r="BC21" s="36">
        <f t="shared" si="18"/>
        <v>525.30000000000007</v>
      </c>
      <c r="BD21" s="38">
        <v>13.9</v>
      </c>
      <c r="BE21" s="36">
        <f t="shared" si="19"/>
        <v>88.612499999999997</v>
      </c>
      <c r="BF21" s="38">
        <f>4.8*1.045*1.054</f>
        <v>5.2868639999999996</v>
      </c>
      <c r="BG21" s="36">
        <f t="shared" si="20"/>
        <v>33.703758000000001</v>
      </c>
      <c r="BH21" s="36">
        <f>аморт!$C$38*10%/аморт!$E$38*L21*7</f>
        <v>3025.4237999999996</v>
      </c>
      <c r="BI21" s="36" t="e">
        <f t="shared" ca="1" si="21"/>
        <v>#REF!</v>
      </c>
      <c r="BJ21" s="36" t="e">
        <f t="shared" ca="1" si="22"/>
        <v>#REF!</v>
      </c>
      <c r="BK21" s="38">
        <f t="shared" si="23"/>
        <v>8.7499999999999994E-2</v>
      </c>
      <c r="BL21" s="38">
        <v>5.0999999999999996</v>
      </c>
      <c r="BM21" s="39">
        <f t="shared" si="24"/>
        <v>6.375</v>
      </c>
    </row>
    <row r="22" spans="1:65" x14ac:dyDescent="0.2">
      <c r="A22" s="20">
        <f>A21+1</f>
        <v>3</v>
      </c>
      <c r="B22" s="27" t="s">
        <v>87</v>
      </c>
      <c r="C22" s="29">
        <v>2</v>
      </c>
      <c r="D22" s="30" t="s">
        <v>107</v>
      </c>
      <c r="E22" s="31" t="s">
        <v>203</v>
      </c>
      <c r="F22" s="28" t="s">
        <v>108</v>
      </c>
      <c r="G22" s="144">
        <f>D5</f>
        <v>100</v>
      </c>
      <c r="H22" s="81">
        <v>40377</v>
      </c>
      <c r="I22" s="81">
        <v>40379</v>
      </c>
      <c r="J22" s="83">
        <f>L22/M22</f>
        <v>7.1428571428571432</v>
      </c>
      <c r="K22" s="32">
        <v>14</v>
      </c>
      <c r="L22" s="33">
        <f t="shared" si="1"/>
        <v>7.1428571428571432</v>
      </c>
      <c r="M22" s="34">
        <v>1</v>
      </c>
      <c r="N22" s="34"/>
      <c r="O22" s="35">
        <f t="shared" si="2"/>
        <v>50</v>
      </c>
      <c r="P22" s="35">
        <f t="shared" si="3"/>
        <v>0</v>
      </c>
      <c r="Q22" s="34">
        <v>2</v>
      </c>
      <c r="R22" s="83">
        <f ca="1">IF(AND(O22&gt;0,Q22&gt;0),SUMIF('Исходные данные'!$C$13:H15,Q22,'Исходные данные'!$C$17:$H$17),IF(O22=0,0,IF(Q22=0,"РОТ")))</f>
        <v>126.44557526609226</v>
      </c>
      <c r="S22" s="34"/>
      <c r="T22" s="33"/>
      <c r="U22" s="130">
        <f ca="1">O22*R22*'Исходные данные'!$C$37%</f>
        <v>0</v>
      </c>
      <c r="V22" s="130">
        <f>P22*T22*'Исходные данные'!$C$38%</f>
        <v>0</v>
      </c>
      <c r="W22" s="130">
        <f t="shared" ca="1" si="4"/>
        <v>2528.9115053218452</v>
      </c>
      <c r="X22" s="131">
        <f t="shared" si="5"/>
        <v>0</v>
      </c>
      <c r="Y22" s="130">
        <f t="shared" ca="1" si="6"/>
        <v>885.11902686264591</v>
      </c>
      <c r="Z22" s="131">
        <f t="shared" si="7"/>
        <v>0</v>
      </c>
      <c r="AA22" s="130">
        <f t="shared" ca="1" si="8"/>
        <v>632.2278763304613</v>
      </c>
      <c r="AB22" s="131">
        <f t="shared" si="9"/>
        <v>0</v>
      </c>
      <c r="AC22" s="129">
        <v>2.5</v>
      </c>
      <c r="AD22" s="130">
        <f t="shared" ca="1" si="10"/>
        <v>25921.342929548915</v>
      </c>
      <c r="AE22" s="130">
        <f t="shared" si="11"/>
        <v>0</v>
      </c>
      <c r="AF22" s="35">
        <f t="shared" ca="1" si="12"/>
        <v>3873.3041159096074</v>
      </c>
      <c r="AG22" s="73"/>
      <c r="AH22" s="35">
        <f t="shared" ca="1" si="13"/>
        <v>29794.647045458521</v>
      </c>
      <c r="AI22" s="35"/>
      <c r="AJ22" s="35">
        <f t="shared" ca="1" si="14"/>
        <v>8938.3941136375561</v>
      </c>
      <c r="AK22" s="73"/>
      <c r="AL22" s="35">
        <f t="shared" ca="1" si="15"/>
        <v>38733.041159096079</v>
      </c>
      <c r="AM22" s="73"/>
      <c r="AN22" s="32">
        <v>2.8</v>
      </c>
      <c r="AO22" s="33">
        <f>'Исходные данные'!$C$53</f>
        <v>0.84</v>
      </c>
      <c r="AP22" s="79">
        <f>(G22*AN22)*AO22/100</f>
        <v>2.3519999999999999</v>
      </c>
      <c r="AQ22" s="33" t="s">
        <v>155</v>
      </c>
      <c r="AR22" s="83" t="e">
        <f>AR20</f>
        <v>#REF!</v>
      </c>
      <c r="AS22" s="36" t="e">
        <f>AP22*AR22</f>
        <v>#REF!</v>
      </c>
      <c r="AT22" s="36"/>
      <c r="AU22" s="36"/>
      <c r="AV22" s="36"/>
      <c r="AW22" s="36"/>
      <c r="AX22" s="36">
        <f>аморт!$G$11</f>
        <v>181.91312849162011</v>
      </c>
      <c r="AY22" s="36">
        <f t="shared" si="16"/>
        <v>1299.3794892258579</v>
      </c>
      <c r="AZ22" s="36">
        <f>аморт!$G$38</f>
        <v>144.06779999999998</v>
      </c>
      <c r="BA22" s="36">
        <f t="shared" si="17"/>
        <v>1029.0557142857142</v>
      </c>
      <c r="BB22" s="38">
        <v>82.4</v>
      </c>
      <c r="BC22" s="36">
        <f t="shared" si="18"/>
        <v>3001.7142857142862</v>
      </c>
      <c r="BD22" s="38">
        <v>13.9</v>
      </c>
      <c r="BE22" s="36">
        <f t="shared" si="19"/>
        <v>506.35714285714289</v>
      </c>
      <c r="BF22" s="38">
        <f>4.8*1.045*1.054</f>
        <v>5.2868639999999996</v>
      </c>
      <c r="BG22" s="36">
        <f t="shared" si="20"/>
        <v>192.59290285714286</v>
      </c>
      <c r="BH22" s="36">
        <f>аморт!$C$38*10%/аморт!$E$38*L22*7</f>
        <v>17288.135999999999</v>
      </c>
      <c r="BI22" s="36" t="e">
        <f t="shared" ca="1" si="21"/>
        <v>#REF!</v>
      </c>
      <c r="BJ22" s="36" t="e">
        <f t="shared" ca="1" si="22"/>
        <v>#REF!</v>
      </c>
      <c r="BK22" s="38">
        <f t="shared" si="23"/>
        <v>0.5</v>
      </c>
      <c r="BL22" s="38">
        <v>5.0999999999999996</v>
      </c>
      <c r="BM22" s="39">
        <f t="shared" si="24"/>
        <v>36.428571428571431</v>
      </c>
    </row>
    <row r="23" spans="1:65" ht="22.5" x14ac:dyDescent="0.2">
      <c r="A23" s="20">
        <f>A22+1</f>
        <v>4</v>
      </c>
      <c r="B23" s="27" t="s">
        <v>204</v>
      </c>
      <c r="C23" s="29">
        <v>1</v>
      </c>
      <c r="D23" s="30" t="s">
        <v>107</v>
      </c>
      <c r="E23" s="31" t="s">
        <v>205</v>
      </c>
      <c r="F23" s="28" t="s">
        <v>108</v>
      </c>
      <c r="G23" s="144">
        <f>G22</f>
        <v>100</v>
      </c>
      <c r="H23" s="81">
        <v>40378</v>
      </c>
      <c r="I23" s="81">
        <v>40380</v>
      </c>
      <c r="J23" s="83">
        <f>L23/N23</f>
        <v>13.888888888888889</v>
      </c>
      <c r="K23" s="32">
        <v>7.2</v>
      </c>
      <c r="L23" s="33">
        <f t="shared" si="1"/>
        <v>13.888888888888889</v>
      </c>
      <c r="M23" s="34">
        <v>1</v>
      </c>
      <c r="N23" s="34">
        <v>1</v>
      </c>
      <c r="O23" s="35">
        <f t="shared" si="2"/>
        <v>97.222222222222229</v>
      </c>
      <c r="P23" s="35">
        <f t="shared" si="3"/>
        <v>97.222222222222229</v>
      </c>
      <c r="Q23" s="34">
        <v>5</v>
      </c>
      <c r="R23" s="83">
        <f>'Исходные данные'!$G$25</f>
        <v>219.30404460212878</v>
      </c>
      <c r="S23" s="34">
        <v>4</v>
      </c>
      <c r="T23" s="83">
        <f ca="1">IF(AND(N23&gt;0,P23&gt;0),SUMIF('Исходные данные'!$C$13:$J$29,S23,'Исходные данные'!$C$33:$J$39),IF(N23=0,0,IF(S23=0,"РОТ")))</f>
        <v>123.48200709579322</v>
      </c>
      <c r="U23" s="130">
        <f>O23*R23*'Исходные данные'!$C$37%</f>
        <v>0</v>
      </c>
      <c r="V23" s="130">
        <f ca="1">P23*T23*'Исходные данные'!$C$38%</f>
        <v>0</v>
      </c>
      <c r="W23" s="130">
        <f t="shared" si="4"/>
        <v>8528.4906234161208</v>
      </c>
      <c r="X23" s="131">
        <f t="shared" ca="1" si="5"/>
        <v>4802.0780537252931</v>
      </c>
      <c r="Y23" s="130">
        <f t="shared" si="6"/>
        <v>2984.9717181956421</v>
      </c>
      <c r="Z23" s="131">
        <f t="shared" ca="1" si="7"/>
        <v>840.36365940192627</v>
      </c>
      <c r="AA23" s="130">
        <f t="shared" si="8"/>
        <v>2132.1226558540302</v>
      </c>
      <c r="AB23" s="131">
        <f t="shared" ca="1" si="9"/>
        <v>1200.5195134313233</v>
      </c>
      <c r="AC23" s="129">
        <v>2.5</v>
      </c>
      <c r="AD23" s="130">
        <f t="shared" si="10"/>
        <v>87417.028890015223</v>
      </c>
      <c r="AE23" s="130">
        <f t="shared" ca="1" si="11"/>
        <v>47120.390902179432</v>
      </c>
      <c r="AF23" s="35">
        <f t="shared" ca="1" si="12"/>
        <v>13062.314661726412</v>
      </c>
      <c r="AG23" s="73">
        <f t="shared" ca="1" si="12"/>
        <v>7040.9779509003738</v>
      </c>
      <c r="AH23" s="35">
        <f t="shared" ca="1" si="13"/>
        <v>100479.34355174164</v>
      </c>
      <c r="AI23" s="35">
        <f t="shared" ca="1" si="13"/>
        <v>54161.368853079803</v>
      </c>
      <c r="AJ23" s="35">
        <f t="shared" ca="1" si="14"/>
        <v>30143.80306552249</v>
      </c>
      <c r="AK23" s="73">
        <f t="shared" ca="1" si="14"/>
        <v>16248.410655923941</v>
      </c>
      <c r="AL23" s="35">
        <f t="shared" ca="1" si="15"/>
        <v>130623.14661726412</v>
      </c>
      <c r="AM23" s="73">
        <f ca="1">AK23+AI23</f>
        <v>70409.77950900374</v>
      </c>
      <c r="AN23" s="32">
        <v>7.5</v>
      </c>
      <c r="AO23" s="33">
        <f>'Исходные данные'!$C$53</f>
        <v>0.84</v>
      </c>
      <c r="AP23" s="79">
        <f>(G23*AN23)*AO23/100</f>
        <v>6.3</v>
      </c>
      <c r="AQ23" s="33" t="s">
        <v>155</v>
      </c>
      <c r="AR23" s="83" t="e">
        <f>AR20</f>
        <v>#REF!</v>
      </c>
      <c r="AS23" s="36" t="e">
        <f>AP23*AR23</f>
        <v>#REF!</v>
      </c>
      <c r="AT23" s="36"/>
      <c r="AU23" s="36"/>
      <c r="AV23" s="36"/>
      <c r="AW23" s="36"/>
      <c r="AX23" s="36">
        <f>аморт!$G$11</f>
        <v>181.91312849162011</v>
      </c>
      <c r="AY23" s="36">
        <f t="shared" si="16"/>
        <v>2526.5712290502793</v>
      </c>
      <c r="AZ23" s="36">
        <f>аморт!G92</f>
        <v>62.879082666666662</v>
      </c>
      <c r="BA23" s="36">
        <f t="shared" si="17"/>
        <v>873.32059259259256</v>
      </c>
      <c r="BB23" s="38">
        <v>82.4</v>
      </c>
      <c r="BC23" s="36">
        <f t="shared" si="18"/>
        <v>5836.666666666667</v>
      </c>
      <c r="BD23" s="38">
        <v>13.9</v>
      </c>
      <c r="BE23" s="36">
        <f t="shared" si="19"/>
        <v>984.58333333333326</v>
      </c>
      <c r="BF23" s="38">
        <f>4.8*1.045*1.054</f>
        <v>5.2868639999999996</v>
      </c>
      <c r="BG23" s="36">
        <f t="shared" si="20"/>
        <v>374.48619999999994</v>
      </c>
      <c r="BH23" s="36">
        <f>аморт!C92*10%/аморт!E92*L23*7</f>
        <v>334911.11111111112</v>
      </c>
      <c r="BI23" s="36" t="e">
        <f t="shared" ca="1" si="21"/>
        <v>#REF!</v>
      </c>
      <c r="BJ23" s="36" t="e">
        <f t="shared" ca="1" si="22"/>
        <v>#REF!</v>
      </c>
      <c r="BK23" s="38">
        <f t="shared" si="23"/>
        <v>1.9444444444444446</v>
      </c>
      <c r="BL23" s="38">
        <v>5.0999999999999996</v>
      </c>
      <c r="BM23" s="39">
        <f t="shared" si="24"/>
        <v>70.833333333333329</v>
      </c>
    </row>
    <row r="24" spans="1:65" ht="22.5" x14ac:dyDescent="0.2">
      <c r="A24" s="20">
        <f>A23+1</f>
        <v>5</v>
      </c>
      <c r="B24" s="27" t="s">
        <v>88</v>
      </c>
      <c r="C24" s="29">
        <v>5</v>
      </c>
      <c r="D24" s="132" t="s">
        <v>120</v>
      </c>
      <c r="E24" s="31" t="s">
        <v>206</v>
      </c>
      <c r="F24" s="28" t="s">
        <v>111</v>
      </c>
      <c r="G24" s="144">
        <f>H7/10</f>
        <v>108</v>
      </c>
      <c r="H24" s="81">
        <v>40378</v>
      </c>
      <c r="I24" s="81">
        <v>40380</v>
      </c>
      <c r="J24" s="83">
        <f>L24/N24</f>
        <v>8.3076923076923084</v>
      </c>
      <c r="K24" s="32">
        <v>13</v>
      </c>
      <c r="L24" s="33">
        <f t="shared" si="1"/>
        <v>8.3076923076923084</v>
      </c>
      <c r="M24" s="34">
        <v>1</v>
      </c>
      <c r="N24" s="34">
        <v>1</v>
      </c>
      <c r="O24" s="35">
        <f t="shared" si="2"/>
        <v>58.15384615384616</v>
      </c>
      <c r="P24" s="35">
        <f t="shared" si="3"/>
        <v>58.15384615384616</v>
      </c>
      <c r="Q24" s="34">
        <v>5</v>
      </c>
      <c r="R24" s="83">
        <f>'Исходные данные'!$G$25</f>
        <v>219.30404460212878</v>
      </c>
      <c r="S24" s="34">
        <v>4</v>
      </c>
      <c r="T24" s="83">
        <f ca="1">IF(AND(N24&gt;0,P24&gt;0),SUMIF('Исходные данные'!$C$13:$J$29,S24,'Исходные данные'!$C$33:$J$39),IF(N24=0,0,IF(S24=0,"РОТ")))</f>
        <v>123.48200709579322</v>
      </c>
      <c r="U24" s="130">
        <f>O24*R24*'Исходные данные'!$C$37%</f>
        <v>0</v>
      </c>
      <c r="V24" s="130">
        <f ca="1">P24*T24*'Исходные данные'!$C$38%</f>
        <v>0</v>
      </c>
      <c r="W24" s="130">
        <f t="shared" si="4"/>
        <v>5101.3494682833661</v>
      </c>
      <c r="X24" s="131">
        <f t="shared" ca="1" si="5"/>
        <v>2872.3814573667596</v>
      </c>
      <c r="Y24" s="130">
        <f t="shared" si="6"/>
        <v>1785.4723138991781</v>
      </c>
      <c r="Z24" s="131">
        <f t="shared" ca="1" si="7"/>
        <v>502.66675503918287</v>
      </c>
      <c r="AA24" s="130">
        <f t="shared" si="8"/>
        <v>1275.3373670708415</v>
      </c>
      <c r="AB24" s="131">
        <f t="shared" ca="1" si="9"/>
        <v>718.0953643416899</v>
      </c>
      <c r="AC24" s="129">
        <v>2.5</v>
      </c>
      <c r="AD24" s="130">
        <f t="shared" si="10"/>
        <v>52288.832049904508</v>
      </c>
      <c r="AE24" s="130">
        <f t="shared" ca="1" si="11"/>
        <v>28185.243050411329</v>
      </c>
      <c r="AF24" s="35">
        <f t="shared" ca="1" si="12"/>
        <v>7813.2737545834316</v>
      </c>
      <c r="AG24" s="73">
        <f t="shared" ca="1" si="12"/>
        <v>4211.5880420154854</v>
      </c>
      <c r="AH24" s="35">
        <f t="shared" ca="1" si="13"/>
        <v>60102.105804487939</v>
      </c>
      <c r="AI24" s="35">
        <f t="shared" ca="1" si="13"/>
        <v>32396.831092426815</v>
      </c>
      <c r="AJ24" s="35">
        <f t="shared" ca="1" si="14"/>
        <v>18030.63174134638</v>
      </c>
      <c r="AK24" s="73">
        <f t="shared" ca="1" si="14"/>
        <v>9719.0493277280439</v>
      </c>
      <c r="AL24" s="35">
        <f t="shared" ca="1" si="15"/>
        <v>78132.737545834316</v>
      </c>
      <c r="AM24" s="73">
        <f ca="1">AK24+AI24</f>
        <v>42115.880420154863</v>
      </c>
      <c r="AN24" s="32"/>
      <c r="AO24" s="33">
        <f>'Исходные данные'!$C$53</f>
        <v>0.84</v>
      </c>
      <c r="AP24" s="79"/>
      <c r="AQ24" s="33"/>
      <c r="AR24" s="83"/>
      <c r="AS24" s="36"/>
      <c r="AT24" s="36"/>
      <c r="AU24" s="36"/>
      <c r="AV24" s="36"/>
      <c r="AW24" s="36"/>
      <c r="AX24" s="36"/>
      <c r="AY24" s="36">
        <f t="shared" si="16"/>
        <v>0</v>
      </c>
      <c r="AZ24" s="36"/>
      <c r="BA24" s="36">
        <f t="shared" si="17"/>
        <v>0</v>
      </c>
      <c r="BB24" s="36"/>
      <c r="BC24" s="36">
        <f t="shared" si="18"/>
        <v>0</v>
      </c>
      <c r="BD24" s="36"/>
      <c r="BE24" s="36">
        <f t="shared" si="19"/>
        <v>0</v>
      </c>
      <c r="BF24" s="36"/>
      <c r="BG24" s="36">
        <f t="shared" si="20"/>
        <v>0</v>
      </c>
      <c r="BH24" s="36"/>
      <c r="BI24" s="36">
        <f t="shared" ca="1" si="21"/>
        <v>120248.61796598918</v>
      </c>
      <c r="BJ24" s="36">
        <f t="shared" ca="1" si="22"/>
        <v>1202.4861796598918</v>
      </c>
      <c r="BK24" s="38">
        <f t="shared" si="23"/>
        <v>1.1630769230769231</v>
      </c>
      <c r="BL24" s="38"/>
      <c r="BM24" s="39">
        <f t="shared" si="24"/>
        <v>0</v>
      </c>
    </row>
    <row r="25" spans="1:65" ht="22.5" x14ac:dyDescent="0.2">
      <c r="A25" s="20">
        <f>A24+1</f>
        <v>6</v>
      </c>
      <c r="B25" s="27" t="s">
        <v>89</v>
      </c>
      <c r="C25" s="29">
        <v>1</v>
      </c>
      <c r="D25" s="30" t="s">
        <v>107</v>
      </c>
      <c r="E25" s="31" t="s">
        <v>207</v>
      </c>
      <c r="F25" s="28" t="s">
        <v>108</v>
      </c>
      <c r="G25" s="144">
        <f>G20/5</f>
        <v>20</v>
      </c>
      <c r="H25" s="81">
        <v>40380</v>
      </c>
      <c r="I25" s="81">
        <v>40381</v>
      </c>
      <c r="J25" s="83">
        <f>L25/M25</f>
        <v>0.14054813773717498</v>
      </c>
      <c r="K25" s="32">
        <v>142.30000000000001</v>
      </c>
      <c r="L25" s="33">
        <f t="shared" si="1"/>
        <v>0.14054813773717498</v>
      </c>
      <c r="M25" s="34">
        <v>1</v>
      </c>
      <c r="N25" s="34"/>
      <c r="O25" s="35">
        <f t="shared" si="2"/>
        <v>0.98383696416022481</v>
      </c>
      <c r="P25" s="35">
        <f t="shared" si="3"/>
        <v>0</v>
      </c>
      <c r="Q25" s="34">
        <v>2</v>
      </c>
      <c r="R25" s="83">
        <f ca="1">IF(AND(O25&gt;0,Q25&gt;0),SUMIF('Исходные данные'!$C$13:H26,Q25,'Исходные данные'!$C$17:$H$17),IF(O25=0,0,IF(Q25=0,"РОТ")))</f>
        <v>128.66557526609228</v>
      </c>
      <c r="S25" s="34"/>
      <c r="T25" s="33"/>
      <c r="U25" s="130">
        <f ca="1">O25*R25*'Исходные данные'!$C$37%</f>
        <v>0</v>
      </c>
      <c r="V25" s="130">
        <f>P25*T25*'Исходные данные'!$C$38%</f>
        <v>0</v>
      </c>
      <c r="W25" s="130">
        <f t="shared" ca="1" si="4"/>
        <v>50.634379584688453</v>
      </c>
      <c r="X25" s="131">
        <f t="shared" si="5"/>
        <v>0</v>
      </c>
      <c r="Y25" s="130">
        <f t="shared" ca="1" si="6"/>
        <v>17.722032854640958</v>
      </c>
      <c r="Z25" s="131">
        <f t="shared" si="7"/>
        <v>0</v>
      </c>
      <c r="AA25" s="130">
        <f t="shared" ca="1" si="8"/>
        <v>12.658594896172113</v>
      </c>
      <c r="AB25" s="131">
        <f t="shared" si="9"/>
        <v>0</v>
      </c>
      <c r="AC25" s="129">
        <v>2.5</v>
      </c>
      <c r="AD25" s="130">
        <f t="shared" ca="1" si="10"/>
        <v>519.00239074305659</v>
      </c>
      <c r="AE25" s="130">
        <f t="shared" si="11"/>
        <v>0</v>
      </c>
      <c r="AF25" s="35">
        <f t="shared" ca="1" si="12"/>
        <v>77.552081375399254</v>
      </c>
      <c r="AG25" s="73"/>
      <c r="AH25" s="35">
        <f t="shared" ca="1" si="13"/>
        <v>596.55447211845581</v>
      </c>
      <c r="AI25" s="35">
        <f t="shared" si="13"/>
        <v>0</v>
      </c>
      <c r="AJ25" s="35">
        <f t="shared" ca="1" si="14"/>
        <v>178.96634163553674</v>
      </c>
      <c r="AK25" s="73"/>
      <c r="AL25" s="35">
        <f t="shared" ca="1" si="15"/>
        <v>775.52081375399257</v>
      </c>
      <c r="AM25" s="73">
        <f>AK25+AI25</f>
        <v>0</v>
      </c>
      <c r="AN25" s="32">
        <v>0.3</v>
      </c>
      <c r="AO25" s="33">
        <f>'Исходные данные'!$C$53</f>
        <v>0.84</v>
      </c>
      <c r="AP25" s="79">
        <f>(G25*AN25)*AO25/100</f>
        <v>5.04E-2</v>
      </c>
      <c r="AQ25" s="33" t="s">
        <v>155</v>
      </c>
      <c r="AR25" s="83" t="e">
        <f>AR20</f>
        <v>#REF!</v>
      </c>
      <c r="AS25" s="36" t="e">
        <f>AP25*AR25</f>
        <v>#REF!</v>
      </c>
      <c r="AT25" s="36"/>
      <c r="AU25" s="36"/>
      <c r="AV25" s="36"/>
      <c r="AW25" s="36"/>
      <c r="AX25" s="36">
        <f>аморт!$G$11</f>
        <v>181.91312849162011</v>
      </c>
      <c r="AY25" s="36">
        <f t="shared" si="16"/>
        <v>25.567551439440635</v>
      </c>
      <c r="AZ25" s="36">
        <f>аморт!$G$40</f>
        <v>39.779508196721316</v>
      </c>
      <c r="BA25" s="36">
        <f t="shared" si="17"/>
        <v>5.5909357971498688</v>
      </c>
      <c r="BB25" s="38">
        <v>82.4</v>
      </c>
      <c r="BC25" s="36">
        <f t="shared" si="18"/>
        <v>59.06394940267041</v>
      </c>
      <c r="BD25" s="38">
        <v>13.9</v>
      </c>
      <c r="BE25" s="36">
        <f t="shared" si="19"/>
        <v>9.9634574841883339</v>
      </c>
      <c r="BF25" s="38">
        <f>4.8*1.045*1.054</f>
        <v>5.2868639999999996</v>
      </c>
      <c r="BG25" s="36">
        <f t="shared" si="20"/>
        <v>3.7896003373155298</v>
      </c>
      <c r="BH25" s="36">
        <f>аморт!$C$40*10%/аморт!$E$40*L25*7</f>
        <v>171.88773014757555</v>
      </c>
      <c r="BI25" s="36" t="e">
        <f t="shared" ca="1" si="21"/>
        <v>#REF!</v>
      </c>
      <c r="BJ25" s="36" t="e">
        <f t="shared" ca="1" si="22"/>
        <v>#REF!</v>
      </c>
      <c r="BK25" s="38">
        <f t="shared" si="23"/>
        <v>9.8383696416022483E-3</v>
      </c>
      <c r="BL25" s="38">
        <v>5.0999999999999996</v>
      </c>
      <c r="BM25" s="39">
        <f t="shared" si="24"/>
        <v>0.71679550245959234</v>
      </c>
    </row>
    <row r="26" spans="1:65" s="54" customFormat="1" x14ac:dyDescent="0.2">
      <c r="A26" s="63"/>
      <c r="B26" s="53" t="s">
        <v>22</v>
      </c>
      <c r="C26" s="53"/>
      <c r="D26" s="53"/>
      <c r="E26" s="53"/>
      <c r="F26" s="55"/>
      <c r="G26" s="145"/>
      <c r="H26" s="64"/>
      <c r="I26" s="64"/>
      <c r="J26" s="57">
        <f>SUM(J20:J25)</f>
        <v>47.39665314384218</v>
      </c>
      <c r="K26" s="57"/>
      <c r="L26" s="57">
        <f>SUM(L20:L25)</f>
        <v>47.39665314384218</v>
      </c>
      <c r="M26" s="57">
        <f t="shared" ref="M26:BM26" si="25">SUM(M20:M25)</f>
        <v>6</v>
      </c>
      <c r="N26" s="57">
        <f t="shared" si="25"/>
        <v>2</v>
      </c>
      <c r="O26" s="57">
        <f t="shared" si="25"/>
        <v>331.77657200689532</v>
      </c>
      <c r="P26" s="57">
        <f t="shared" si="25"/>
        <v>155.37606837606839</v>
      </c>
      <c r="Q26" s="57"/>
      <c r="R26" s="57"/>
      <c r="S26" s="57"/>
      <c r="T26" s="57"/>
      <c r="U26" s="57">
        <f t="shared" ca="1" si="25"/>
        <v>0</v>
      </c>
      <c r="V26" s="57">
        <f t="shared" ca="1" si="25"/>
        <v>0</v>
      </c>
      <c r="W26" s="57">
        <f t="shared" ca="1" si="25"/>
        <v>23935.737481927867</v>
      </c>
      <c r="X26" s="57">
        <f t="shared" ca="1" si="25"/>
        <v>7674.4595110920527</v>
      </c>
      <c r="Y26" s="57">
        <f t="shared" ca="1" si="25"/>
        <v>8377.5081186747539</v>
      </c>
      <c r="Z26" s="57">
        <f t="shared" ca="1" si="25"/>
        <v>1343.0304144411091</v>
      </c>
      <c r="AA26" s="57">
        <f t="shared" ca="1" si="25"/>
        <v>5983.9343704819667</v>
      </c>
      <c r="AB26" s="57">
        <f t="shared" ca="1" si="25"/>
        <v>1918.6148777730132</v>
      </c>
      <c r="AC26" s="57"/>
      <c r="AD26" s="57">
        <f t="shared" ca="1" si="25"/>
        <v>245341.30918976065</v>
      </c>
      <c r="AE26" s="57">
        <f t="shared" ca="1" si="25"/>
        <v>75305.633952590753</v>
      </c>
      <c r="AF26" s="57">
        <f t="shared" ca="1" si="25"/>
        <v>36660.195626056178</v>
      </c>
      <c r="AG26" s="57">
        <f t="shared" ca="1" si="25"/>
        <v>11252.565992915859</v>
      </c>
      <c r="AH26" s="57">
        <f t="shared" ca="1" si="25"/>
        <v>282001.50481581682</v>
      </c>
      <c r="AI26" s="57">
        <f t="shared" ca="1" si="25"/>
        <v>86558.199945506611</v>
      </c>
      <c r="AJ26" s="57">
        <f t="shared" ca="1" si="25"/>
        <v>84600.451444745035</v>
      </c>
      <c r="AK26" s="57">
        <f t="shared" ca="1" si="25"/>
        <v>25967.459983651985</v>
      </c>
      <c r="AL26" s="57">
        <f t="shared" ca="1" si="25"/>
        <v>366601.95626056188</v>
      </c>
      <c r="AM26" s="57">
        <f t="shared" ca="1" si="25"/>
        <v>112525.6599291586</v>
      </c>
      <c r="AN26" s="57"/>
      <c r="AO26" s="57"/>
      <c r="AP26" s="57">
        <f t="shared" si="25"/>
        <v>14.4648</v>
      </c>
      <c r="AQ26" s="57"/>
      <c r="AR26" s="57"/>
      <c r="AS26" s="57" t="e">
        <f t="shared" si="25"/>
        <v>#REF!</v>
      </c>
      <c r="AT26" s="57"/>
      <c r="AU26" s="57"/>
      <c r="AV26" s="57"/>
      <c r="AW26" s="57"/>
      <c r="AX26" s="57"/>
      <c r="AY26" s="57">
        <f t="shared" si="25"/>
        <v>7110.7951551904389</v>
      </c>
      <c r="AZ26" s="57"/>
      <c r="BA26" s="57">
        <f t="shared" si="25"/>
        <v>2812.2749093421235</v>
      </c>
      <c r="BB26" s="57"/>
      <c r="BC26" s="57">
        <f t="shared" si="25"/>
        <v>16426.744901783622</v>
      </c>
      <c r="BD26" s="57"/>
      <c r="BE26" s="57">
        <f t="shared" si="25"/>
        <v>2771.0164336746648</v>
      </c>
      <c r="BF26" s="57"/>
      <c r="BG26" s="57">
        <f t="shared" si="25"/>
        <v>1053.9559011944582</v>
      </c>
      <c r="BH26" s="57">
        <f t="shared" si="25"/>
        <v>420286.93197459204</v>
      </c>
      <c r="BI26" s="57" t="e">
        <f t="shared" ca="1" si="25"/>
        <v>#REF!</v>
      </c>
      <c r="BJ26" s="57"/>
      <c r="BK26" s="57"/>
      <c r="BL26" s="57"/>
      <c r="BM26" s="57">
        <f t="shared" si="25"/>
        <v>199.35370026436436</v>
      </c>
    </row>
    <row r="27" spans="1:65" ht="22.5" customHeight="1" x14ac:dyDescent="0.2">
      <c r="A27" s="20"/>
      <c r="B27" s="533" t="s">
        <v>100</v>
      </c>
      <c r="C27" s="534"/>
      <c r="D27" s="534"/>
      <c r="E27" s="535"/>
      <c r="F27" s="28"/>
      <c r="G27" s="144"/>
      <c r="H27" s="29"/>
      <c r="I27" s="29"/>
      <c r="J27" s="29"/>
      <c r="K27" s="32"/>
      <c r="L27" s="33"/>
      <c r="M27" s="34"/>
      <c r="N27" s="34"/>
      <c r="O27" s="35"/>
      <c r="P27" s="35"/>
      <c r="Q27" s="34"/>
      <c r="R27" s="33"/>
      <c r="S27" s="34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2"/>
      <c r="AN27" s="32"/>
      <c r="AO27" s="32"/>
      <c r="AP27" s="79"/>
      <c r="AQ27" s="37"/>
      <c r="AR27" s="37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8"/>
      <c r="BM27" s="39"/>
    </row>
    <row r="28" spans="1:65" x14ac:dyDescent="0.2">
      <c r="A28" s="20">
        <f>A27+1</f>
        <v>1</v>
      </c>
      <c r="B28" s="27" t="s">
        <v>78</v>
      </c>
      <c r="C28" s="29">
        <v>2</v>
      </c>
      <c r="D28" s="30" t="s">
        <v>107</v>
      </c>
      <c r="E28" s="31" t="s">
        <v>202</v>
      </c>
      <c r="F28" s="28" t="s">
        <v>108</v>
      </c>
      <c r="G28" s="144">
        <f>D5</f>
        <v>100</v>
      </c>
      <c r="H28" s="81">
        <v>40374</v>
      </c>
      <c r="I28" s="81">
        <v>40379</v>
      </c>
      <c r="J28" s="83">
        <f t="shared" ref="J28:J33" si="26">L28/M28</f>
        <v>16.666666666666668</v>
      </c>
      <c r="K28" s="32">
        <v>6</v>
      </c>
      <c r="L28" s="33">
        <f t="shared" ref="L28:L35" si="27">G28/K28</f>
        <v>16.666666666666668</v>
      </c>
      <c r="M28" s="34">
        <v>1</v>
      </c>
      <c r="N28" s="34"/>
      <c r="O28" s="35">
        <f t="shared" ref="O28:O35" si="28">IF(M28=0,0,L28*$O$15)</f>
        <v>116.66666666666667</v>
      </c>
      <c r="P28" s="35">
        <f t="shared" ref="P28:P35" si="29">IF(N28=0,0,L28*$O$15)</f>
        <v>0</v>
      </c>
      <c r="Q28" s="34">
        <v>4</v>
      </c>
      <c r="R28" s="83">
        <f ca="1">IF(AND(O28&gt;0,Q28&gt;0),SUMIF('Исходные данные'!$C$13:H29,Q28,'Исходные данные'!$C$17:$H$17),IF(O28=0,0,IF(Q28=0,"РОТ")))</f>
        <v>156.08125696908263</v>
      </c>
      <c r="S28" s="34"/>
      <c r="T28" s="33"/>
      <c r="U28" s="130">
        <f ca="1">O28*R28*'Исходные данные'!$C$37%</f>
        <v>0</v>
      </c>
      <c r="V28" s="130">
        <f>P28*T28*'Исходные данные'!$C$38%</f>
        <v>0</v>
      </c>
      <c r="W28" s="130">
        <f t="shared" ref="W28:W35" ca="1" si="30">O28*R28*$W$15</f>
        <v>7283.7919918905236</v>
      </c>
      <c r="X28" s="131">
        <f t="shared" ref="X28:X35" si="31">P28*T28*$W$15</f>
        <v>0</v>
      </c>
      <c r="Y28" s="130">
        <f t="shared" ref="Y28:Y35" ca="1" si="32">(O28*R28+U28+W28)*$Y$15</f>
        <v>2549.3271971616832</v>
      </c>
      <c r="Z28" s="131">
        <f t="shared" ref="Z28:Z35" si="33">(P28*T28+V28+X28)*$Z$15</f>
        <v>0</v>
      </c>
      <c r="AA28" s="130">
        <f t="shared" ref="AA28:AA35" ca="1" si="34">(O28*R28+U28)*$AA$15</f>
        <v>1820.9479979726309</v>
      </c>
      <c r="AB28" s="131">
        <f t="shared" ref="AB28:AB35" si="35">(P28*T28+V28)*$AA$15</f>
        <v>0</v>
      </c>
      <c r="AC28" s="129">
        <v>2.5</v>
      </c>
      <c r="AD28" s="130">
        <f t="shared" ref="AD28:AD35" ca="1" si="36">(O28*R28+U28+W28+Y28+AA28)*AC28</f>
        <v>74658.867916877862</v>
      </c>
      <c r="AE28" s="130">
        <f t="shared" ref="AE28:AE35" si="37">(P28*T28+V28+X28+Z28+AB28)*AC28</f>
        <v>0</v>
      </c>
      <c r="AF28" s="35">
        <f t="shared" ref="AF28:AF35" ca="1" si="38">AD28*$AF$15</f>
        <v>11155.922792177151</v>
      </c>
      <c r="AG28" s="73"/>
      <c r="AH28" s="35">
        <f t="shared" ref="AH28:AH35" ca="1" si="39">AD28+AF28</f>
        <v>85814.790709055014</v>
      </c>
      <c r="AI28" s="35"/>
      <c r="AJ28" s="35">
        <f t="shared" ref="AJ28:AJ35" ca="1" si="40">AH28*$AJ$15</f>
        <v>25744.437212716504</v>
      </c>
      <c r="AK28" s="73"/>
      <c r="AL28" s="35">
        <f t="shared" ref="AL28:AL35" ca="1" si="41">AH28+AJ28</f>
        <v>111559.22792177153</v>
      </c>
      <c r="AM28" s="73"/>
      <c r="AN28" s="32">
        <v>6.5</v>
      </c>
      <c r="AO28" s="33">
        <f>'Исходные данные'!$C$53</f>
        <v>0.84</v>
      </c>
      <c r="AP28" s="79">
        <f t="shared" ref="AP28:AP35" si="42">(G28*AN28)*AO28/100</f>
        <v>5.46</v>
      </c>
      <c r="AQ28" s="33" t="s">
        <v>155</v>
      </c>
      <c r="AR28" s="83" t="e">
        <f>AR20</f>
        <v>#REF!</v>
      </c>
      <c r="AS28" s="36" t="e">
        <f t="shared" ref="AS28:AS35" si="43">AP28*AR28</f>
        <v>#REF!</v>
      </c>
      <c r="AT28" s="36"/>
      <c r="AU28" s="36"/>
      <c r="AV28" s="36"/>
      <c r="AW28" s="36"/>
      <c r="AX28" s="36">
        <f>аморт!$G$11</f>
        <v>181.91312849162011</v>
      </c>
      <c r="AY28" s="36">
        <f t="shared" ref="AY28:AY35" si="44">AX28*L28</f>
        <v>3031.8854748603353</v>
      </c>
      <c r="AZ28" s="36">
        <f>аморт!$G$54</f>
        <v>43.453374999999994</v>
      </c>
      <c r="BA28" s="36">
        <f t="shared" ref="BA28:BA35" si="45">AZ28*L28</f>
        <v>724.22291666666661</v>
      </c>
      <c r="BB28" s="38">
        <v>82.4</v>
      </c>
      <c r="BC28" s="36">
        <f t="shared" ref="BC28:BC35" si="46">BB28*BM28</f>
        <v>7004.0000000000009</v>
      </c>
      <c r="BD28" s="38">
        <v>13.9</v>
      </c>
      <c r="BE28" s="36">
        <f t="shared" ref="BE28:BE35" si="47">BD28*BM28</f>
        <v>1181.5</v>
      </c>
      <c r="BF28" s="38">
        <f t="shared" ref="BF28:BF35" si="48">4.8*1.045*1.054</f>
        <v>5.2868639999999996</v>
      </c>
      <c r="BG28" s="36">
        <f t="shared" ref="BG28:BG35" si="49">BF28*BM28</f>
        <v>449.38343999999995</v>
      </c>
      <c r="BH28" s="36">
        <f>аморт!$C$54*10%/аморт!$E$54*L28*7</f>
        <v>64890.373333333344</v>
      </c>
      <c r="BI28" s="36" t="e">
        <f t="shared" ref="BI28:BI35" ca="1" si="50">AL28+AM28+AS28+AY28+BA28+BC28+BE28+BG28+BH28+AW28</f>
        <v>#REF!</v>
      </c>
      <c r="BJ28" s="36" t="e">
        <f t="shared" ref="BJ28:BJ35" ca="1" si="51">BI28/$D$5</f>
        <v>#REF!</v>
      </c>
      <c r="BK28" s="38">
        <f t="shared" ref="BK28:BK35" si="52">(O28+P28)/$D$5</f>
        <v>1.1666666666666667</v>
      </c>
      <c r="BL28" s="38">
        <v>5.0999999999999996</v>
      </c>
      <c r="BM28" s="39">
        <f t="shared" ref="BM28:BM35" si="53">BL28*L28</f>
        <v>85</v>
      </c>
    </row>
    <row r="29" spans="1:65" x14ac:dyDescent="0.2">
      <c r="A29" s="20">
        <f>A28+1</f>
        <v>2</v>
      </c>
      <c r="B29" s="27" t="s">
        <v>86</v>
      </c>
      <c r="C29" s="29">
        <v>1</v>
      </c>
      <c r="D29" s="30" t="s">
        <v>107</v>
      </c>
      <c r="E29" s="31" t="s">
        <v>203</v>
      </c>
      <c r="F29" s="28" t="s">
        <v>108</v>
      </c>
      <c r="G29" s="144">
        <f>G28/5</f>
        <v>20</v>
      </c>
      <c r="H29" s="81">
        <v>40376</v>
      </c>
      <c r="I29" s="81">
        <v>40381</v>
      </c>
      <c r="J29" s="83">
        <f t="shared" si="26"/>
        <v>1.25</v>
      </c>
      <c r="K29" s="32">
        <v>16</v>
      </c>
      <c r="L29" s="33">
        <f t="shared" si="27"/>
        <v>1.25</v>
      </c>
      <c r="M29" s="34">
        <v>1</v>
      </c>
      <c r="N29" s="34"/>
      <c r="O29" s="35">
        <f t="shared" si="28"/>
        <v>8.75</v>
      </c>
      <c r="P29" s="35">
        <f t="shared" si="29"/>
        <v>0</v>
      </c>
      <c r="Q29" s="34">
        <v>2</v>
      </c>
      <c r="R29" s="83">
        <f ca="1">IF(AND(O29&gt;0,Q29&gt;0),SUMIF('Исходные данные'!$C$13:H29,Q29,'Исходные данные'!$C$17:$H$17),IF(O29=0,0,IF(Q29=0,"РОТ")))</f>
        <v>128.66557526609228</v>
      </c>
      <c r="S29" s="34"/>
      <c r="T29" s="33"/>
      <c r="U29" s="130">
        <f ca="1">O29*R29*'Исходные данные'!$C$37%</f>
        <v>0</v>
      </c>
      <c r="V29" s="130">
        <f>P29*T29*'Исходные данные'!$C$38%</f>
        <v>0</v>
      </c>
      <c r="W29" s="130">
        <f t="shared" ca="1" si="30"/>
        <v>450.32951343132299</v>
      </c>
      <c r="X29" s="131">
        <f t="shared" si="31"/>
        <v>0</v>
      </c>
      <c r="Y29" s="130">
        <f t="shared" ca="1" si="32"/>
        <v>157.61532970096306</v>
      </c>
      <c r="Z29" s="131">
        <f t="shared" si="33"/>
        <v>0</v>
      </c>
      <c r="AA29" s="130">
        <f t="shared" ca="1" si="34"/>
        <v>112.58237835783075</v>
      </c>
      <c r="AB29" s="131">
        <f t="shared" si="35"/>
        <v>0</v>
      </c>
      <c r="AC29" s="129">
        <v>2.5</v>
      </c>
      <c r="AD29" s="130">
        <f t="shared" ca="1" si="36"/>
        <v>4615.8775126710607</v>
      </c>
      <c r="AE29" s="130">
        <f t="shared" si="37"/>
        <v>0</v>
      </c>
      <c r="AF29" s="35">
        <f t="shared" ca="1" si="38"/>
        <v>689.72882373245727</v>
      </c>
      <c r="AG29" s="73"/>
      <c r="AH29" s="35">
        <f t="shared" ca="1" si="39"/>
        <v>5305.6063364035181</v>
      </c>
      <c r="AI29" s="35"/>
      <c r="AJ29" s="35">
        <f t="shared" ca="1" si="40"/>
        <v>1591.6819009210553</v>
      </c>
      <c r="AK29" s="73"/>
      <c r="AL29" s="35">
        <f t="shared" ca="1" si="41"/>
        <v>6897.2882373245739</v>
      </c>
      <c r="AM29" s="73"/>
      <c r="AN29" s="33">
        <v>1.8</v>
      </c>
      <c r="AO29" s="33">
        <f>'Исходные данные'!$C$53</f>
        <v>0.84</v>
      </c>
      <c r="AP29" s="79">
        <f t="shared" si="42"/>
        <v>0.3024</v>
      </c>
      <c r="AQ29" s="33" t="s">
        <v>155</v>
      </c>
      <c r="AR29" s="83" t="e">
        <f>AR20</f>
        <v>#REF!</v>
      </c>
      <c r="AS29" s="36" t="e">
        <f t="shared" si="43"/>
        <v>#REF!</v>
      </c>
      <c r="AT29" s="36"/>
      <c r="AU29" s="36"/>
      <c r="AV29" s="36"/>
      <c r="AW29" s="36"/>
      <c r="AX29" s="36">
        <f>аморт!$G$11</f>
        <v>181.91312849162011</v>
      </c>
      <c r="AY29" s="36">
        <f t="shared" si="44"/>
        <v>227.39141061452514</v>
      </c>
      <c r="AZ29" s="36">
        <f>аморт!$G$38</f>
        <v>144.06779999999998</v>
      </c>
      <c r="BA29" s="36">
        <f t="shared" si="45"/>
        <v>180.08474999999999</v>
      </c>
      <c r="BB29" s="38">
        <v>82.4</v>
      </c>
      <c r="BC29" s="36">
        <f t="shared" si="46"/>
        <v>525.30000000000007</v>
      </c>
      <c r="BD29" s="38">
        <v>13.9</v>
      </c>
      <c r="BE29" s="36">
        <f t="shared" si="47"/>
        <v>88.612499999999997</v>
      </c>
      <c r="BF29" s="38">
        <f t="shared" si="48"/>
        <v>5.2868639999999996</v>
      </c>
      <c r="BG29" s="36">
        <f t="shared" si="49"/>
        <v>33.703758000000001</v>
      </c>
      <c r="BH29" s="36">
        <f>аморт!$C$38*10%/аморт!$E$38*L29*7</f>
        <v>3025.4237999999996</v>
      </c>
      <c r="BI29" s="36" t="e">
        <f t="shared" ca="1" si="50"/>
        <v>#REF!</v>
      </c>
      <c r="BJ29" s="36" t="e">
        <f t="shared" ca="1" si="51"/>
        <v>#REF!</v>
      </c>
      <c r="BK29" s="38">
        <f t="shared" si="52"/>
        <v>8.7499999999999994E-2</v>
      </c>
      <c r="BL29" s="38">
        <v>5.0999999999999996</v>
      </c>
      <c r="BM29" s="39">
        <f t="shared" si="53"/>
        <v>6.375</v>
      </c>
    </row>
    <row r="30" spans="1:65" x14ac:dyDescent="0.2">
      <c r="A30" s="20">
        <f>A29+1</f>
        <v>3</v>
      </c>
      <c r="B30" s="27" t="s">
        <v>87</v>
      </c>
      <c r="C30" s="29">
        <v>2</v>
      </c>
      <c r="D30" s="30" t="s">
        <v>107</v>
      </c>
      <c r="E30" s="31" t="s">
        <v>203</v>
      </c>
      <c r="F30" s="28" t="s">
        <v>108</v>
      </c>
      <c r="G30" s="144">
        <f>D5</f>
        <v>100</v>
      </c>
      <c r="H30" s="81">
        <v>40377</v>
      </c>
      <c r="I30" s="81">
        <v>40382</v>
      </c>
      <c r="J30" s="83">
        <f t="shared" si="26"/>
        <v>7.1428571428571432</v>
      </c>
      <c r="K30" s="32">
        <v>14</v>
      </c>
      <c r="L30" s="33">
        <f t="shared" si="27"/>
        <v>7.1428571428571432</v>
      </c>
      <c r="M30" s="34">
        <v>1</v>
      </c>
      <c r="N30" s="34"/>
      <c r="O30" s="35">
        <f t="shared" si="28"/>
        <v>50</v>
      </c>
      <c r="P30" s="35">
        <f t="shared" si="29"/>
        <v>0</v>
      </c>
      <c r="Q30" s="34">
        <v>2</v>
      </c>
      <c r="R30" s="83">
        <f ca="1">IF(AND(O30&gt;0,Q30&gt;0),SUMIF('Исходные данные'!$C$13:H29,Q30,'Исходные данные'!$C$17:$H$17),IF(O30=0,0,IF(Q30=0,"РОТ")))</f>
        <v>128.66557526609228</v>
      </c>
      <c r="S30" s="34"/>
      <c r="T30" s="33"/>
      <c r="U30" s="130">
        <f ca="1">O30*R30*'Исходные данные'!$C$37%</f>
        <v>0</v>
      </c>
      <c r="V30" s="130">
        <f>P30*T30*'Исходные данные'!$C$38%</f>
        <v>0</v>
      </c>
      <c r="W30" s="130">
        <f t="shared" ca="1" si="30"/>
        <v>2573.3115053218457</v>
      </c>
      <c r="X30" s="131">
        <f t="shared" si="31"/>
        <v>0</v>
      </c>
      <c r="Y30" s="130">
        <f t="shared" ca="1" si="32"/>
        <v>900.65902686264599</v>
      </c>
      <c r="Z30" s="131">
        <f t="shared" si="33"/>
        <v>0</v>
      </c>
      <c r="AA30" s="130">
        <f t="shared" ca="1" si="34"/>
        <v>643.32787633046144</v>
      </c>
      <c r="AB30" s="131">
        <f t="shared" si="35"/>
        <v>0</v>
      </c>
      <c r="AC30" s="129">
        <v>2.5</v>
      </c>
      <c r="AD30" s="130">
        <f t="shared" ca="1" si="36"/>
        <v>26376.442929548917</v>
      </c>
      <c r="AE30" s="130">
        <f t="shared" si="37"/>
        <v>0</v>
      </c>
      <c r="AF30" s="35">
        <f t="shared" ca="1" si="38"/>
        <v>3941.3075641854698</v>
      </c>
      <c r="AG30" s="73"/>
      <c r="AH30" s="35">
        <f t="shared" ca="1" si="39"/>
        <v>30317.750493734387</v>
      </c>
      <c r="AI30" s="35"/>
      <c r="AJ30" s="35">
        <f t="shared" ca="1" si="40"/>
        <v>9095.3251481203151</v>
      </c>
      <c r="AK30" s="73"/>
      <c r="AL30" s="35">
        <f t="shared" ca="1" si="41"/>
        <v>39413.075641854703</v>
      </c>
      <c r="AM30" s="73"/>
      <c r="AN30" s="32">
        <v>2.8</v>
      </c>
      <c r="AO30" s="33">
        <f>'Исходные данные'!$C$53</f>
        <v>0.84</v>
      </c>
      <c r="AP30" s="79">
        <f t="shared" si="42"/>
        <v>2.3519999999999999</v>
      </c>
      <c r="AQ30" s="33" t="s">
        <v>155</v>
      </c>
      <c r="AR30" s="83" t="e">
        <f>AR20</f>
        <v>#REF!</v>
      </c>
      <c r="AS30" s="36" t="e">
        <f t="shared" si="43"/>
        <v>#REF!</v>
      </c>
      <c r="AT30" s="36"/>
      <c r="AU30" s="36"/>
      <c r="AV30" s="36"/>
      <c r="AW30" s="36"/>
      <c r="AX30" s="36">
        <f>аморт!$G$11</f>
        <v>181.91312849162011</v>
      </c>
      <c r="AY30" s="36">
        <f t="shared" si="44"/>
        <v>1299.3794892258579</v>
      </c>
      <c r="AZ30" s="36">
        <f>аморт!$G$38</f>
        <v>144.06779999999998</v>
      </c>
      <c r="BA30" s="36">
        <f t="shared" si="45"/>
        <v>1029.0557142857142</v>
      </c>
      <c r="BB30" s="38">
        <v>82.4</v>
      </c>
      <c r="BC30" s="36">
        <f t="shared" si="46"/>
        <v>3001.7142857142862</v>
      </c>
      <c r="BD30" s="38">
        <v>13.9</v>
      </c>
      <c r="BE30" s="36">
        <f t="shared" si="47"/>
        <v>506.35714285714289</v>
      </c>
      <c r="BF30" s="38">
        <f t="shared" si="48"/>
        <v>5.2868639999999996</v>
      </c>
      <c r="BG30" s="36">
        <f t="shared" si="49"/>
        <v>192.59290285714286</v>
      </c>
      <c r="BH30" s="36">
        <f>аморт!$C$38*10%/аморт!$E$38*L30*7</f>
        <v>17288.135999999999</v>
      </c>
      <c r="BI30" s="36" t="e">
        <f t="shared" ca="1" si="50"/>
        <v>#REF!</v>
      </c>
      <c r="BJ30" s="36" t="e">
        <f t="shared" ca="1" si="51"/>
        <v>#REF!</v>
      </c>
      <c r="BK30" s="38">
        <f t="shared" si="52"/>
        <v>0.5</v>
      </c>
      <c r="BL30" s="38">
        <v>5.0999999999999996</v>
      </c>
      <c r="BM30" s="39">
        <f t="shared" si="53"/>
        <v>36.428571428571431</v>
      </c>
    </row>
    <row r="31" spans="1:65" x14ac:dyDescent="0.2">
      <c r="A31" s="20">
        <f>A30+1</f>
        <v>4</v>
      </c>
      <c r="B31" s="27" t="s">
        <v>90</v>
      </c>
      <c r="C31" s="29">
        <v>2</v>
      </c>
      <c r="D31" s="30" t="s">
        <v>107</v>
      </c>
      <c r="E31" s="31" t="s">
        <v>208</v>
      </c>
      <c r="F31" s="28" t="s">
        <v>108</v>
      </c>
      <c r="G31" s="144">
        <f>G30</f>
        <v>100</v>
      </c>
      <c r="H31" s="81">
        <v>40380</v>
      </c>
      <c r="I31" s="81">
        <v>40384</v>
      </c>
      <c r="J31" s="83">
        <f t="shared" si="26"/>
        <v>6.25</v>
      </c>
      <c r="K31" s="32">
        <v>16</v>
      </c>
      <c r="L31" s="33">
        <f t="shared" si="27"/>
        <v>6.25</v>
      </c>
      <c r="M31" s="34">
        <v>1</v>
      </c>
      <c r="N31" s="34"/>
      <c r="O31" s="35">
        <f t="shared" si="28"/>
        <v>43.75</v>
      </c>
      <c r="P31" s="35">
        <f t="shared" si="29"/>
        <v>0</v>
      </c>
      <c r="Q31" s="34">
        <v>5</v>
      </c>
      <c r="R31" s="83">
        <f ca="1">IF(AND(O31&gt;0,Q31&gt;0),SUMIF('Исходные данные'!$C$13:H30,Q31,'Исходные данные'!$C$17:$H$17),IF(O31=0,0,IF(Q31=0,"РОТ")))</f>
        <v>179.78980233147493</v>
      </c>
      <c r="S31" s="34"/>
      <c r="T31" s="33"/>
      <c r="U31" s="130">
        <f ca="1">O31*R31*'Исходные данные'!$C$37%</f>
        <v>0</v>
      </c>
      <c r="V31" s="130">
        <f>P31*T31*'Исходные данные'!$C$38%</f>
        <v>0</v>
      </c>
      <c r="W31" s="130">
        <f t="shared" ca="1" si="30"/>
        <v>3146.3215408008114</v>
      </c>
      <c r="X31" s="131">
        <f t="shared" si="31"/>
        <v>0</v>
      </c>
      <c r="Y31" s="130">
        <f t="shared" ca="1" si="32"/>
        <v>1101.2125392802841</v>
      </c>
      <c r="Z31" s="131">
        <f t="shared" si="33"/>
        <v>0</v>
      </c>
      <c r="AA31" s="130">
        <f t="shared" ca="1" si="34"/>
        <v>786.58038520020284</v>
      </c>
      <c r="AB31" s="131">
        <f t="shared" si="35"/>
        <v>0</v>
      </c>
      <c r="AC31" s="129">
        <v>2.5</v>
      </c>
      <c r="AD31" s="130">
        <f t="shared" ca="1" si="36"/>
        <v>32249.795793208319</v>
      </c>
      <c r="AE31" s="130">
        <f t="shared" si="37"/>
        <v>0</v>
      </c>
      <c r="AF31" s="35">
        <f t="shared" ca="1" si="38"/>
        <v>4818.935003582852</v>
      </c>
      <c r="AG31" s="73"/>
      <c r="AH31" s="35">
        <f t="shared" ca="1" si="39"/>
        <v>37068.730796791169</v>
      </c>
      <c r="AI31" s="35"/>
      <c r="AJ31" s="35">
        <f t="shared" ca="1" si="40"/>
        <v>11120.619239037351</v>
      </c>
      <c r="AK31" s="73"/>
      <c r="AL31" s="35">
        <f t="shared" ca="1" si="41"/>
        <v>48189.350035828524</v>
      </c>
      <c r="AM31" s="73"/>
      <c r="AN31" s="32">
        <v>3.6</v>
      </c>
      <c r="AO31" s="33">
        <f>'Исходные данные'!$C$53</f>
        <v>0.84</v>
      </c>
      <c r="AP31" s="79">
        <f t="shared" si="42"/>
        <v>3.0239999999999996</v>
      </c>
      <c r="AQ31" s="33" t="s">
        <v>155</v>
      </c>
      <c r="AR31" s="83" t="e">
        <f>AR20</f>
        <v>#REF!</v>
      </c>
      <c r="AS31" s="36" t="e">
        <f t="shared" si="43"/>
        <v>#REF!</v>
      </c>
      <c r="AT31" s="151">
        <f>(1000/215*120)/2000</f>
        <v>0.27906976744186052</v>
      </c>
      <c r="AU31" s="79">
        <f>AT31*G31*D8</f>
        <v>301.39534883720938</v>
      </c>
      <c r="AV31" s="36">
        <f>5*200</f>
        <v>1000</v>
      </c>
      <c r="AW31" s="36">
        <f>AU31*AV31</f>
        <v>301395.3488372094</v>
      </c>
      <c r="AX31" s="36">
        <f>аморт!$G$11</f>
        <v>181.91312849162011</v>
      </c>
      <c r="AY31" s="36">
        <f t="shared" si="44"/>
        <v>1136.9570530726257</v>
      </c>
      <c r="AZ31" s="36">
        <f>аморт!G75</f>
        <v>91.807777777777801</v>
      </c>
      <c r="BA31" s="36">
        <f t="shared" si="45"/>
        <v>573.79861111111131</v>
      </c>
      <c r="BB31" s="38">
        <v>82.4</v>
      </c>
      <c r="BC31" s="36">
        <f t="shared" si="46"/>
        <v>2626.5</v>
      </c>
      <c r="BD31" s="38">
        <v>13.9</v>
      </c>
      <c r="BE31" s="36">
        <f t="shared" si="47"/>
        <v>443.06249999999994</v>
      </c>
      <c r="BF31" s="38">
        <f t="shared" si="48"/>
        <v>5.2868639999999996</v>
      </c>
      <c r="BG31" s="36">
        <f t="shared" si="49"/>
        <v>168.51878999999997</v>
      </c>
      <c r="BH31" s="36">
        <f>аморт!C75*10%/аморт!E75*L31*7</f>
        <v>17351.669999999998</v>
      </c>
      <c r="BI31" s="36" t="e">
        <f t="shared" ca="1" si="50"/>
        <v>#REF!</v>
      </c>
      <c r="BJ31" s="36" t="e">
        <f t="shared" ca="1" si="51"/>
        <v>#REF!</v>
      </c>
      <c r="BK31" s="38">
        <f t="shared" si="52"/>
        <v>0.4375</v>
      </c>
      <c r="BL31" s="38">
        <v>5.0999999999999996</v>
      </c>
      <c r="BM31" s="39">
        <f t="shared" si="53"/>
        <v>31.874999999999996</v>
      </c>
    </row>
    <row r="32" spans="1:65" ht="22.5" x14ac:dyDescent="0.2">
      <c r="A32" s="20">
        <f>A31+1</f>
        <v>5</v>
      </c>
      <c r="B32" s="27" t="s">
        <v>91</v>
      </c>
      <c r="C32" s="29">
        <v>1</v>
      </c>
      <c r="D32" s="30" t="s">
        <v>107</v>
      </c>
      <c r="E32" s="31" t="s">
        <v>207</v>
      </c>
      <c r="F32" s="28" t="s">
        <v>108</v>
      </c>
      <c r="G32" s="144">
        <f>G28/5</f>
        <v>20</v>
      </c>
      <c r="H32" s="81">
        <v>40385</v>
      </c>
      <c r="I32" s="81">
        <v>40386</v>
      </c>
      <c r="J32" s="83">
        <f t="shared" si="26"/>
        <v>0.14054813773717498</v>
      </c>
      <c r="K32" s="32">
        <v>142.30000000000001</v>
      </c>
      <c r="L32" s="33">
        <f t="shared" si="27"/>
        <v>0.14054813773717498</v>
      </c>
      <c r="M32" s="34">
        <v>1</v>
      </c>
      <c r="N32" s="34"/>
      <c r="O32" s="35">
        <f t="shared" si="28"/>
        <v>0.98383696416022481</v>
      </c>
      <c r="P32" s="35">
        <f t="shared" si="29"/>
        <v>0</v>
      </c>
      <c r="Q32" s="34">
        <v>2</v>
      </c>
      <c r="R32" s="83">
        <f ca="1">IF(AND(O32&gt;0,Q32&gt;0),SUMIF('Исходные данные'!$C$13:H31,Q32,'Исходные данные'!$C$17:$H$17),IF(O32=0,0,IF(Q32=0,"РОТ")))</f>
        <v>128.66557526609228</v>
      </c>
      <c r="S32" s="34"/>
      <c r="T32" s="33"/>
      <c r="U32" s="130">
        <f ca="1">O32*R32*'Исходные данные'!$C$37%</f>
        <v>0</v>
      </c>
      <c r="V32" s="130">
        <f>P32*T32*'Исходные данные'!$C$38%</f>
        <v>0</v>
      </c>
      <c r="W32" s="130">
        <f t="shared" ca="1" si="30"/>
        <v>50.634379584688453</v>
      </c>
      <c r="X32" s="131">
        <f t="shared" si="31"/>
        <v>0</v>
      </c>
      <c r="Y32" s="130">
        <f t="shared" ca="1" si="32"/>
        <v>17.722032854640958</v>
      </c>
      <c r="Z32" s="131">
        <f t="shared" si="33"/>
        <v>0</v>
      </c>
      <c r="AA32" s="130">
        <f t="shared" ca="1" si="34"/>
        <v>12.658594896172113</v>
      </c>
      <c r="AB32" s="131">
        <f t="shared" si="35"/>
        <v>0</v>
      </c>
      <c r="AC32" s="129">
        <v>2.5</v>
      </c>
      <c r="AD32" s="130">
        <f t="shared" ca="1" si="36"/>
        <v>519.00239074305659</v>
      </c>
      <c r="AE32" s="130">
        <f t="shared" si="37"/>
        <v>0</v>
      </c>
      <c r="AF32" s="35">
        <f t="shared" ca="1" si="38"/>
        <v>77.552081375399254</v>
      </c>
      <c r="AG32" s="73"/>
      <c r="AH32" s="35">
        <f t="shared" ca="1" si="39"/>
        <v>596.55447211845581</v>
      </c>
      <c r="AI32" s="35"/>
      <c r="AJ32" s="35">
        <f t="shared" ca="1" si="40"/>
        <v>178.96634163553674</v>
      </c>
      <c r="AK32" s="73"/>
      <c r="AL32" s="35">
        <f t="shared" ca="1" si="41"/>
        <v>775.52081375399257</v>
      </c>
      <c r="AM32" s="73"/>
      <c r="AN32" s="32">
        <v>0.3</v>
      </c>
      <c r="AO32" s="33">
        <f>'Исходные данные'!$C$53</f>
        <v>0.84</v>
      </c>
      <c r="AP32" s="79">
        <f t="shared" si="42"/>
        <v>5.04E-2</v>
      </c>
      <c r="AQ32" s="33" t="s">
        <v>155</v>
      </c>
      <c r="AR32" s="83" t="e">
        <f>AR20</f>
        <v>#REF!</v>
      </c>
      <c r="AS32" s="36" t="e">
        <f t="shared" si="43"/>
        <v>#REF!</v>
      </c>
      <c r="AT32" s="36"/>
      <c r="AU32" s="36"/>
      <c r="AV32" s="36"/>
      <c r="AW32" s="36"/>
      <c r="AX32" s="36">
        <f>аморт!$G$11</f>
        <v>181.91312849162011</v>
      </c>
      <c r="AY32" s="36">
        <f t="shared" si="44"/>
        <v>25.567551439440635</v>
      </c>
      <c r="AZ32" s="36">
        <f>аморт!$G$40</f>
        <v>39.779508196721316</v>
      </c>
      <c r="BA32" s="36">
        <f t="shared" si="45"/>
        <v>5.5909357971498688</v>
      </c>
      <c r="BB32" s="38">
        <v>82.4</v>
      </c>
      <c r="BC32" s="36">
        <f t="shared" si="46"/>
        <v>59.06394940267041</v>
      </c>
      <c r="BD32" s="38">
        <v>13.9</v>
      </c>
      <c r="BE32" s="36">
        <f t="shared" si="47"/>
        <v>9.9634574841883339</v>
      </c>
      <c r="BF32" s="38">
        <f t="shared" si="48"/>
        <v>5.2868639999999996</v>
      </c>
      <c r="BG32" s="36">
        <f t="shared" si="49"/>
        <v>3.7896003373155298</v>
      </c>
      <c r="BH32" s="36">
        <f>аморт!$C$40*10%/аморт!$E$40*L32*7</f>
        <v>171.88773014757555</v>
      </c>
      <c r="BI32" s="36" t="e">
        <f t="shared" ca="1" si="50"/>
        <v>#REF!</v>
      </c>
      <c r="BJ32" s="36" t="e">
        <f t="shared" ca="1" si="51"/>
        <v>#REF!</v>
      </c>
      <c r="BK32" s="38">
        <f t="shared" si="52"/>
        <v>9.8383696416022483E-3</v>
      </c>
      <c r="BL32" s="38">
        <v>5.0999999999999996</v>
      </c>
      <c r="BM32" s="39">
        <f t="shared" si="53"/>
        <v>0.71679550245959234</v>
      </c>
    </row>
    <row r="33" spans="1:65" ht="22.5" x14ac:dyDescent="0.2">
      <c r="A33" s="20">
        <v>6</v>
      </c>
      <c r="B33" s="27" t="s">
        <v>92</v>
      </c>
      <c r="C33" s="29">
        <v>2</v>
      </c>
      <c r="D33" s="30" t="s">
        <v>107</v>
      </c>
      <c r="E33" s="31" t="s">
        <v>209</v>
      </c>
      <c r="F33" s="28" t="s">
        <v>111</v>
      </c>
      <c r="G33" s="144">
        <v>116.23529411764707</v>
      </c>
      <c r="H33" s="81">
        <v>40387</v>
      </c>
      <c r="I33" s="81">
        <v>40389</v>
      </c>
      <c r="J33" s="83">
        <f t="shared" si="26"/>
        <v>4.9525050753151714</v>
      </c>
      <c r="K33" s="32">
        <v>23.47</v>
      </c>
      <c r="L33" s="33">
        <f t="shared" si="27"/>
        <v>4.9525050753151714</v>
      </c>
      <c r="M33" s="34">
        <v>1</v>
      </c>
      <c r="N33" s="34"/>
      <c r="O33" s="35">
        <f t="shared" si="28"/>
        <v>34.667535527206198</v>
      </c>
      <c r="P33" s="35">
        <f t="shared" si="29"/>
        <v>0</v>
      </c>
      <c r="Q33" s="138">
        <v>3</v>
      </c>
      <c r="R33" s="83">
        <f ca="1">IF(AND(O33&gt;0,Q33&gt;0),SUMIF('Исходные данные'!$C$13:H32,Q33,'Исходные данные'!$C$17:$H$17),IF(O33=0,0,IF(Q33=0,"РОТ")))</f>
        <v>138.29984794728838</v>
      </c>
      <c r="S33" s="34"/>
      <c r="T33" s="33"/>
      <c r="U33" s="130">
        <f ca="1">O33*R33*'Исходные данные'!$C$37%</f>
        <v>0</v>
      </c>
      <c r="V33" s="130">
        <f>P33*T33*'Исходные данные'!$C$38%</f>
        <v>0</v>
      </c>
      <c r="W33" s="130">
        <f t="shared" ca="1" si="30"/>
        <v>1917.8059568479341</v>
      </c>
      <c r="X33" s="131">
        <f t="shared" si="31"/>
        <v>0</v>
      </c>
      <c r="Y33" s="130">
        <f t="shared" ca="1" si="32"/>
        <v>671.232084896777</v>
      </c>
      <c r="Z33" s="131">
        <f t="shared" si="33"/>
        <v>0</v>
      </c>
      <c r="AA33" s="130">
        <f t="shared" ca="1" si="34"/>
        <v>479.45148921198353</v>
      </c>
      <c r="AB33" s="131">
        <f t="shared" si="35"/>
        <v>0</v>
      </c>
      <c r="AC33" s="129">
        <v>2.5</v>
      </c>
      <c r="AD33" s="130">
        <f t="shared" ca="1" si="36"/>
        <v>19657.511057691325</v>
      </c>
      <c r="AE33" s="130">
        <f t="shared" si="37"/>
        <v>0</v>
      </c>
      <c r="AF33" s="35">
        <f t="shared" ca="1" si="38"/>
        <v>2937.3292385055997</v>
      </c>
      <c r="AG33" s="73"/>
      <c r="AH33" s="35">
        <f t="shared" ca="1" si="39"/>
        <v>22594.840296196926</v>
      </c>
      <c r="AI33" s="35"/>
      <c r="AJ33" s="35">
        <f t="shared" ca="1" si="40"/>
        <v>6778.4520888590778</v>
      </c>
      <c r="AK33" s="73"/>
      <c r="AL33" s="35">
        <f t="shared" ca="1" si="41"/>
        <v>29373.292385056004</v>
      </c>
      <c r="AM33" s="73"/>
      <c r="AN33" s="32">
        <v>1.4</v>
      </c>
      <c r="AO33" s="33">
        <f>'Исходные данные'!$C$53</f>
        <v>0.84</v>
      </c>
      <c r="AP33" s="79">
        <f t="shared" si="42"/>
        <v>1.3669270588235296</v>
      </c>
      <c r="AQ33" s="33" t="s">
        <v>155</v>
      </c>
      <c r="AR33" s="83" t="e">
        <f>AR20</f>
        <v>#REF!</v>
      </c>
      <c r="AS33" s="36" t="e">
        <f t="shared" si="43"/>
        <v>#REF!</v>
      </c>
      <c r="AT33" s="36"/>
      <c r="AU33" s="36"/>
      <c r="AV33" s="36"/>
      <c r="AW33" s="36"/>
      <c r="AX33" s="36">
        <f>аморт!$G$11</f>
        <v>181.91312849162011</v>
      </c>
      <c r="AY33" s="36">
        <f t="shared" si="44"/>
        <v>900.92569212120952</v>
      </c>
      <c r="AZ33" s="36">
        <f>аморт!G69</f>
        <v>19.673123809523812</v>
      </c>
      <c r="BA33" s="36">
        <f t="shared" si="45"/>
        <v>97.431245513970424</v>
      </c>
      <c r="BB33" s="38">
        <v>82.4</v>
      </c>
      <c r="BC33" s="36">
        <f t="shared" si="46"/>
        <v>2081.2407328504473</v>
      </c>
      <c r="BD33" s="38">
        <v>13.9</v>
      </c>
      <c r="BE33" s="36">
        <f t="shared" si="47"/>
        <v>351.08308478909248</v>
      </c>
      <c r="BF33" s="38">
        <f t="shared" si="48"/>
        <v>5.2868639999999996</v>
      </c>
      <c r="BG33" s="36">
        <f t="shared" si="49"/>
        <v>133.53442604175541</v>
      </c>
      <c r="BH33" s="36">
        <f>аморт!C69*10%/аморт!E69*L33*7</f>
        <v>20051.350326775108</v>
      </c>
      <c r="BI33" s="36" t="e">
        <f t="shared" ca="1" si="50"/>
        <v>#REF!</v>
      </c>
      <c r="BJ33" s="36" t="e">
        <f t="shared" ca="1" si="51"/>
        <v>#REF!</v>
      </c>
      <c r="BK33" s="38">
        <f t="shared" si="52"/>
        <v>0.346675355272062</v>
      </c>
      <c r="BL33" s="38">
        <v>5.0999999999999996</v>
      </c>
      <c r="BM33" s="39">
        <f t="shared" si="53"/>
        <v>25.257775884107371</v>
      </c>
    </row>
    <row r="34" spans="1:65" ht="22.5" x14ac:dyDescent="0.2">
      <c r="A34" s="20">
        <v>7</v>
      </c>
      <c r="B34" s="27" t="s">
        <v>93</v>
      </c>
      <c r="C34" s="29">
        <v>2</v>
      </c>
      <c r="D34" s="30" t="s">
        <v>107</v>
      </c>
      <c r="E34" s="31" t="s">
        <v>117</v>
      </c>
      <c r="F34" s="28" t="s">
        <v>111</v>
      </c>
      <c r="G34" s="144">
        <v>116.23529411764707</v>
      </c>
      <c r="H34" s="81">
        <v>40389</v>
      </c>
      <c r="I34" s="81">
        <v>40395</v>
      </c>
      <c r="J34" s="83">
        <f>L34/N34</f>
        <v>5.8117647058823536</v>
      </c>
      <c r="K34" s="32">
        <v>20</v>
      </c>
      <c r="L34" s="33">
        <f t="shared" si="27"/>
        <v>5.8117647058823536</v>
      </c>
      <c r="M34" s="34">
        <v>1</v>
      </c>
      <c r="N34" s="34">
        <v>1</v>
      </c>
      <c r="O34" s="35">
        <f t="shared" si="28"/>
        <v>40.682352941176475</v>
      </c>
      <c r="P34" s="35">
        <f t="shared" si="29"/>
        <v>40.682352941176475</v>
      </c>
      <c r="Q34" s="34">
        <v>4</v>
      </c>
      <c r="R34" s="83">
        <f ca="1">IF(AND(O34&gt;0,Q34&gt;0),SUMIF('Исходные данные'!$C$13:H33,Q34,'Исходные данные'!$C$17:$H$17),IF(O34=0,0,IF(Q34=0,"РОТ")))</f>
        <v>156.08125696908263</v>
      </c>
      <c r="S34" s="34">
        <v>4</v>
      </c>
      <c r="T34" s="83">
        <f ca="1">IF(AND(N34&gt;0,P34&gt;0),SUMIF('Исходные данные'!$C$13:$J$29,S34,'Исходные данные'!$C$33:$J$39),IF(N34=0,0,IF(S34=0,"РОТ")))</f>
        <v>123.48200709579322</v>
      </c>
      <c r="U34" s="130">
        <f ca="1">O34*R34*'Исходные данные'!$C$37%</f>
        <v>0</v>
      </c>
      <c r="V34" s="130">
        <f ca="1">P34*T34*'Исходные данные'!$C$38%</f>
        <v>0</v>
      </c>
      <c r="W34" s="130">
        <f t="shared" ca="1" si="30"/>
        <v>2539.9011134074722</v>
      </c>
      <c r="X34" s="131">
        <f t="shared" ca="1" si="31"/>
        <v>2009.415437822367</v>
      </c>
      <c r="Y34" s="130">
        <f t="shared" ca="1" si="32"/>
        <v>888.9653896926153</v>
      </c>
      <c r="Z34" s="131">
        <f t="shared" ca="1" si="33"/>
        <v>351.6477016189142</v>
      </c>
      <c r="AA34" s="130">
        <f t="shared" ca="1" si="34"/>
        <v>634.97527835186804</v>
      </c>
      <c r="AB34" s="131">
        <f t="shared" ca="1" si="35"/>
        <v>502.35385945559176</v>
      </c>
      <c r="AC34" s="129">
        <v>2.5</v>
      </c>
      <c r="AD34" s="130">
        <f t="shared" ca="1" si="36"/>
        <v>26033.986412426595</v>
      </c>
      <c r="AE34" s="130">
        <f t="shared" ca="1" si="37"/>
        <v>19717.388983631976</v>
      </c>
      <c r="AF34" s="35">
        <f t="shared" ca="1" si="38"/>
        <v>3890.135900707422</v>
      </c>
      <c r="AG34" s="73">
        <f ca="1">AE34*$AF$15</f>
        <v>2946.2765147955824</v>
      </c>
      <c r="AH34" s="35">
        <f t="shared" ca="1" si="39"/>
        <v>29924.122313134016</v>
      </c>
      <c r="AI34" s="35">
        <f ca="1">AE34+AG34</f>
        <v>22663.665498427559</v>
      </c>
      <c r="AJ34" s="35">
        <f t="shared" ca="1" si="40"/>
        <v>8977.2366939402036</v>
      </c>
      <c r="AK34" s="73">
        <f ca="1">AI34*$AJ$15</f>
        <v>6799.0996495282679</v>
      </c>
      <c r="AL34" s="35">
        <f t="shared" ca="1" si="41"/>
        <v>38901.359007074221</v>
      </c>
      <c r="AM34" s="73">
        <f ca="1">AK34+AI34</f>
        <v>29462.765147955826</v>
      </c>
      <c r="AN34" s="32">
        <v>0.8</v>
      </c>
      <c r="AO34" s="33">
        <f>'Исходные данные'!$C$53</f>
        <v>0.84</v>
      </c>
      <c r="AP34" s="79">
        <f t="shared" si="42"/>
        <v>0.7811011764705883</v>
      </c>
      <c r="AQ34" s="33" t="s">
        <v>155</v>
      </c>
      <c r="AR34" s="83" t="e">
        <f>AR20</f>
        <v>#REF!</v>
      </c>
      <c r="AS34" s="36" t="e">
        <f t="shared" si="43"/>
        <v>#REF!</v>
      </c>
      <c r="AT34" s="36"/>
      <c r="AU34" s="36"/>
      <c r="AV34" s="36"/>
      <c r="AW34" s="36"/>
      <c r="AX34" s="36">
        <f>аморт!$G$11</f>
        <v>181.91312849162011</v>
      </c>
      <c r="AY34" s="36">
        <f t="shared" si="44"/>
        <v>1057.2362997042394</v>
      </c>
      <c r="AZ34" s="36">
        <f>аморт!G23</f>
        <v>48.426111111111105</v>
      </c>
      <c r="BA34" s="36">
        <f t="shared" si="45"/>
        <v>281.44116339869282</v>
      </c>
      <c r="BB34" s="38">
        <v>82.4</v>
      </c>
      <c r="BC34" s="36">
        <f t="shared" si="46"/>
        <v>2442.3360000000002</v>
      </c>
      <c r="BD34" s="38">
        <v>13.9</v>
      </c>
      <c r="BE34" s="36">
        <f t="shared" si="47"/>
        <v>411.99600000000004</v>
      </c>
      <c r="BF34" s="38">
        <f t="shared" si="48"/>
        <v>5.2868639999999996</v>
      </c>
      <c r="BG34" s="36">
        <f t="shared" si="49"/>
        <v>156.70264895999998</v>
      </c>
      <c r="BH34" s="36">
        <f>аморт!C23*10%/аморт!E23*L34*7</f>
        <v>44681.599101176478</v>
      </c>
      <c r="BI34" s="36" t="e">
        <f t="shared" ca="1" si="50"/>
        <v>#REF!</v>
      </c>
      <c r="BJ34" s="36" t="e">
        <f t="shared" ca="1" si="51"/>
        <v>#REF!</v>
      </c>
      <c r="BK34" s="38">
        <f t="shared" si="52"/>
        <v>0.8136470588235295</v>
      </c>
      <c r="BL34" s="38">
        <v>5.0999999999999996</v>
      </c>
      <c r="BM34" s="39">
        <f t="shared" si="53"/>
        <v>29.64</v>
      </c>
    </row>
    <row r="35" spans="1:65" x14ac:dyDescent="0.2">
      <c r="A35" s="20">
        <v>8</v>
      </c>
      <c r="B35" s="27" t="s">
        <v>94</v>
      </c>
      <c r="C35" s="29">
        <v>1</v>
      </c>
      <c r="D35" s="30" t="s">
        <v>107</v>
      </c>
      <c r="E35" s="31" t="s">
        <v>210</v>
      </c>
      <c r="F35" s="28" t="s">
        <v>111</v>
      </c>
      <c r="G35" s="144">
        <v>116.23529411764707</v>
      </c>
      <c r="H35" s="81">
        <v>40395</v>
      </c>
      <c r="I35" s="81">
        <v>40400</v>
      </c>
      <c r="J35" s="83">
        <f>L35/N35</f>
        <v>5.9303721488595444</v>
      </c>
      <c r="K35" s="32">
        <v>19.600000000000001</v>
      </c>
      <c r="L35" s="33">
        <f t="shared" si="27"/>
        <v>5.9303721488595444</v>
      </c>
      <c r="M35" s="34">
        <v>1</v>
      </c>
      <c r="N35" s="34">
        <v>1</v>
      </c>
      <c r="O35" s="35">
        <f t="shared" si="28"/>
        <v>41.512605042016808</v>
      </c>
      <c r="P35" s="35">
        <f t="shared" si="29"/>
        <v>41.512605042016808</v>
      </c>
      <c r="Q35" s="34">
        <v>4</v>
      </c>
      <c r="R35" s="83">
        <f ca="1">IF(AND(O35&gt;0,Q35&gt;0),SUMIF('Исходные данные'!$C$13:H33,Q35,'Исходные данные'!$C$17:$H$17),IF(O35=0,0,IF(Q35=0,"РОТ")))</f>
        <v>156.08125696908263</v>
      </c>
      <c r="S35" s="34">
        <v>4</v>
      </c>
      <c r="T35" s="83">
        <f ca="1">IF(AND(N35&gt;0,P35&gt;0),SUMIF('Исходные данные'!$C$13:$J$29,S35,'Исходные данные'!$C$33:$J$39),IF(N35=0,0,IF(S35=0,"РОТ")))</f>
        <v>123.48200709579322</v>
      </c>
      <c r="U35" s="130">
        <f ca="1">O35*R35*'Исходные данные'!$C$37%</f>
        <v>0</v>
      </c>
      <c r="V35" s="130">
        <f ca="1">P35*T35*'Исходные данные'!$C$38%</f>
        <v>0</v>
      </c>
      <c r="W35" s="130">
        <f t="shared" ca="1" si="30"/>
        <v>2591.7358300076248</v>
      </c>
      <c r="X35" s="131">
        <f t="shared" ca="1" si="31"/>
        <v>2050.4239161452724</v>
      </c>
      <c r="Y35" s="130">
        <f t="shared" ca="1" si="32"/>
        <v>907.1075405026686</v>
      </c>
      <c r="Z35" s="131">
        <f t="shared" ca="1" si="33"/>
        <v>358.82418532542266</v>
      </c>
      <c r="AA35" s="130">
        <f t="shared" ca="1" si="34"/>
        <v>647.93395750190621</v>
      </c>
      <c r="AB35" s="131">
        <f t="shared" ca="1" si="35"/>
        <v>512.6059790363181</v>
      </c>
      <c r="AC35" s="129">
        <v>2.5</v>
      </c>
      <c r="AD35" s="130">
        <f t="shared" ca="1" si="36"/>
        <v>26565.292257578152</v>
      </c>
      <c r="AE35" s="130">
        <f t="shared" ca="1" si="37"/>
        <v>20119.784677175485</v>
      </c>
      <c r="AF35" s="35">
        <f t="shared" ca="1" si="38"/>
        <v>3969.5264292932866</v>
      </c>
      <c r="AG35" s="73">
        <f ca="1">AE35*$AF$15</f>
        <v>3006.4046069342676</v>
      </c>
      <c r="AH35" s="35">
        <f t="shared" ca="1" si="39"/>
        <v>30534.81868687144</v>
      </c>
      <c r="AI35" s="35">
        <f ca="1">AE35+AG35</f>
        <v>23126.189284109751</v>
      </c>
      <c r="AJ35" s="35">
        <f t="shared" ca="1" si="40"/>
        <v>9160.445606061432</v>
      </c>
      <c r="AK35" s="73">
        <f ca="1">AI35*$AJ$15</f>
        <v>6937.8567852329252</v>
      </c>
      <c r="AL35" s="35">
        <f t="shared" ca="1" si="41"/>
        <v>39695.264292932872</v>
      </c>
      <c r="AM35" s="73">
        <f ca="1">AK35+AI35</f>
        <v>30064.046069342676</v>
      </c>
      <c r="AN35" s="32">
        <v>2.5</v>
      </c>
      <c r="AO35" s="33">
        <f>'Исходные данные'!$C$53</f>
        <v>0.84</v>
      </c>
      <c r="AP35" s="79">
        <f t="shared" si="42"/>
        <v>2.4409411764705884</v>
      </c>
      <c r="AQ35" s="33" t="s">
        <v>155</v>
      </c>
      <c r="AR35" s="83" t="e">
        <f>AR20</f>
        <v>#REF!</v>
      </c>
      <c r="AS35" s="36" t="e">
        <f t="shared" si="43"/>
        <v>#REF!</v>
      </c>
      <c r="AT35" s="36"/>
      <c r="AU35" s="36"/>
      <c r="AV35" s="36"/>
      <c r="AW35" s="36"/>
      <c r="AX35" s="36">
        <f>аморт!$G$11</f>
        <v>181.91312849162011</v>
      </c>
      <c r="AY35" s="36">
        <f t="shared" si="44"/>
        <v>1078.8125507186116</v>
      </c>
      <c r="AZ35" s="36">
        <f>аморт!G73</f>
        <v>16.941761627906978</v>
      </c>
      <c r="BA35" s="36">
        <f t="shared" si="45"/>
        <v>100.47095131075687</v>
      </c>
      <c r="BB35" s="38">
        <v>82.4</v>
      </c>
      <c r="BC35" s="36">
        <f t="shared" si="46"/>
        <v>2492.1795918367347</v>
      </c>
      <c r="BD35" s="38">
        <v>13.9</v>
      </c>
      <c r="BE35" s="36">
        <f t="shared" si="47"/>
        <v>420.40408163265306</v>
      </c>
      <c r="BF35" s="38">
        <f t="shared" si="48"/>
        <v>5.2868639999999996</v>
      </c>
      <c r="BG35" s="36">
        <f t="shared" si="49"/>
        <v>159.90066220408161</v>
      </c>
      <c r="BH35" s="36">
        <f>аморт!C73*10%/аморт!E73*L35*7</f>
        <v>9677.3620302521031</v>
      </c>
      <c r="BI35" s="36" t="e">
        <f t="shared" ca="1" si="50"/>
        <v>#REF!</v>
      </c>
      <c r="BJ35" s="36" t="e">
        <f t="shared" ca="1" si="51"/>
        <v>#REF!</v>
      </c>
      <c r="BK35" s="38">
        <f t="shared" si="52"/>
        <v>0.83025210084033618</v>
      </c>
      <c r="BL35" s="38">
        <v>5.0999999999999996</v>
      </c>
      <c r="BM35" s="39">
        <f t="shared" si="53"/>
        <v>30.244897959183675</v>
      </c>
    </row>
    <row r="36" spans="1:65" s="54" customFormat="1" x14ac:dyDescent="0.2">
      <c r="A36" s="52"/>
      <c r="B36" s="53" t="s">
        <v>22</v>
      </c>
      <c r="C36" s="53"/>
      <c r="D36" s="53"/>
      <c r="E36" s="53"/>
      <c r="F36" s="55"/>
      <c r="G36" s="56"/>
      <c r="H36" s="56"/>
      <c r="I36" s="56"/>
      <c r="J36" s="65">
        <f>SUM(J28:J35)</f>
        <v>48.144713877318054</v>
      </c>
      <c r="K36" s="65"/>
      <c r="L36" s="65">
        <f>SUM(L28:L35)</f>
        <v>48.144713877318054</v>
      </c>
      <c r="M36" s="65">
        <f t="shared" ref="M36:BM36" si="54">SUM(M28:M35)</f>
        <v>8</v>
      </c>
      <c r="N36" s="65">
        <f t="shared" si="54"/>
        <v>2</v>
      </c>
      <c r="O36" s="65">
        <f t="shared" si="54"/>
        <v>337.01299714122638</v>
      </c>
      <c r="P36" s="65">
        <f t="shared" si="54"/>
        <v>82.194957983193291</v>
      </c>
      <c r="Q36" s="65"/>
      <c r="R36" s="65"/>
      <c r="S36" s="65"/>
      <c r="T36" s="65"/>
      <c r="U36" s="65">
        <f t="shared" ca="1" si="54"/>
        <v>0</v>
      </c>
      <c r="V36" s="65">
        <f t="shared" ca="1" si="54"/>
        <v>0</v>
      </c>
      <c r="W36" s="65">
        <f t="shared" ca="1" si="54"/>
        <v>20553.83183129222</v>
      </c>
      <c r="X36" s="65">
        <f t="shared" ca="1" si="54"/>
        <v>4059.8393539676395</v>
      </c>
      <c r="Y36" s="65">
        <f t="shared" ca="1" si="54"/>
        <v>7193.8411409522787</v>
      </c>
      <c r="Z36" s="65">
        <f t="shared" ca="1" si="54"/>
        <v>710.4718869443368</v>
      </c>
      <c r="AA36" s="65">
        <f t="shared" ca="1" si="54"/>
        <v>5138.457957823055</v>
      </c>
      <c r="AB36" s="65">
        <f t="shared" ca="1" si="54"/>
        <v>1014.9598384919099</v>
      </c>
      <c r="AC36" s="65"/>
      <c r="AD36" s="65">
        <f t="shared" ca="1" si="54"/>
        <v>210676.77627074529</v>
      </c>
      <c r="AE36" s="65">
        <f t="shared" ca="1" si="54"/>
        <v>39837.173660807457</v>
      </c>
      <c r="AF36" s="65">
        <f t="shared" ca="1" si="54"/>
        <v>31480.437833559641</v>
      </c>
      <c r="AG36" s="65">
        <f t="shared" ca="1" si="54"/>
        <v>5952.68112172985</v>
      </c>
      <c r="AH36" s="65">
        <f t="shared" ca="1" si="54"/>
        <v>242157.21410430493</v>
      </c>
      <c r="AI36" s="65">
        <f t="shared" ca="1" si="54"/>
        <v>45789.85478253731</v>
      </c>
      <c r="AJ36" s="65">
        <f t="shared" ca="1" si="54"/>
        <v>72647.164231291477</v>
      </c>
      <c r="AK36" s="65">
        <f t="shared" ca="1" si="54"/>
        <v>13736.956434761192</v>
      </c>
      <c r="AL36" s="65">
        <f t="shared" ca="1" si="54"/>
        <v>314804.37833559641</v>
      </c>
      <c r="AM36" s="65">
        <f t="shared" ca="1" si="54"/>
        <v>59526.811217298498</v>
      </c>
      <c r="AN36" s="65"/>
      <c r="AO36" s="65"/>
      <c r="AP36" s="65">
        <f t="shared" si="54"/>
        <v>15.777769411764705</v>
      </c>
      <c r="AQ36" s="65"/>
      <c r="AR36" s="65"/>
      <c r="AS36" s="65" t="e">
        <f t="shared" si="54"/>
        <v>#REF!</v>
      </c>
      <c r="AT36" s="65"/>
      <c r="AU36" s="65">
        <f>SUM(AU28:AU35)</f>
        <v>301.39534883720938</v>
      </c>
      <c r="AV36" s="65"/>
      <c r="AW36" s="65">
        <f>SUM(AW28:AW35)</f>
        <v>301395.3488372094</v>
      </c>
      <c r="AX36" s="65"/>
      <c r="AY36" s="65">
        <f t="shared" si="54"/>
        <v>8758.1555217568457</v>
      </c>
      <c r="AZ36" s="65"/>
      <c r="BA36" s="65">
        <f t="shared" si="54"/>
        <v>2992.0962880840621</v>
      </c>
      <c r="BB36" s="65"/>
      <c r="BC36" s="65">
        <f t="shared" si="54"/>
        <v>20232.334559804141</v>
      </c>
      <c r="BD36" s="65"/>
      <c r="BE36" s="65">
        <f t="shared" si="54"/>
        <v>3412.9787667630771</v>
      </c>
      <c r="BF36" s="65"/>
      <c r="BG36" s="65">
        <f t="shared" si="54"/>
        <v>1298.1262284002953</v>
      </c>
      <c r="BH36" s="65">
        <f t="shared" si="54"/>
        <v>177137.8023216846</v>
      </c>
      <c r="BI36" s="65" t="e">
        <f t="shared" ca="1" si="54"/>
        <v>#REF!</v>
      </c>
      <c r="BJ36" s="65"/>
      <c r="BK36" s="65"/>
      <c r="BL36" s="65"/>
      <c r="BM36" s="65">
        <f t="shared" si="54"/>
        <v>245.53804077432204</v>
      </c>
    </row>
    <row r="37" spans="1:65" s="7" customFormat="1" ht="24" customHeight="1" x14ac:dyDescent="0.2">
      <c r="A37" s="21"/>
      <c r="B37" s="533" t="s">
        <v>99</v>
      </c>
      <c r="C37" s="534"/>
      <c r="D37" s="534"/>
      <c r="E37" s="535"/>
      <c r="F37" s="22"/>
      <c r="G37" s="23"/>
      <c r="H37" s="23"/>
      <c r="I37" s="23"/>
      <c r="J37" s="23"/>
      <c r="K37" s="23"/>
      <c r="L37" s="33"/>
      <c r="M37" s="23"/>
      <c r="N37" s="23"/>
      <c r="O37" s="35"/>
      <c r="P37" s="41"/>
      <c r="Q37" s="25"/>
      <c r="R37" s="23"/>
      <c r="S37" s="25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79"/>
      <c r="AQ37" s="26"/>
      <c r="AR37" s="26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</row>
    <row r="38" spans="1:65" x14ac:dyDescent="0.2">
      <c r="A38" s="19">
        <v>1</v>
      </c>
      <c r="B38" s="27" t="s">
        <v>78</v>
      </c>
      <c r="C38" s="29">
        <v>2</v>
      </c>
      <c r="D38" s="30" t="s">
        <v>107</v>
      </c>
      <c r="E38" s="31" t="s">
        <v>202</v>
      </c>
      <c r="F38" s="28" t="s">
        <v>108</v>
      </c>
      <c r="G38" s="144">
        <f>D5</f>
        <v>100</v>
      </c>
      <c r="H38" s="81">
        <v>40374</v>
      </c>
      <c r="I38" s="81">
        <v>40377</v>
      </c>
      <c r="J38" s="83">
        <f>L38/M38</f>
        <v>16.666666666666668</v>
      </c>
      <c r="K38" s="32">
        <v>6</v>
      </c>
      <c r="L38" s="33">
        <f t="shared" ref="L38:L45" si="55">G38/K38</f>
        <v>16.666666666666668</v>
      </c>
      <c r="M38" s="30">
        <v>1</v>
      </c>
      <c r="N38" s="30"/>
      <c r="O38" s="35">
        <f t="shared" ref="O38:O45" si="56">IF(M38=0,0,L38*$O$15)</f>
        <v>116.66666666666667</v>
      </c>
      <c r="P38" s="35">
        <f t="shared" ref="P38:P45" si="57">IF(N38=0,0,L38*$O$15)</f>
        <v>0</v>
      </c>
      <c r="Q38" s="85">
        <v>4</v>
      </c>
      <c r="R38" s="83">
        <f ca="1">IF(AND(O38&gt;0,Q38&gt;0),SUMIF('Исходные данные'!$C$13:H34,Q38,'Исходные данные'!$C$17:$H$17),IF(O38=0,0,IF(Q38=0,"РОТ")))</f>
        <v>156.08125696908263</v>
      </c>
      <c r="S38" s="85"/>
      <c r="T38" s="30"/>
      <c r="U38" s="130">
        <f ca="1">O38*R38*'Исходные данные'!$C$37%</f>
        <v>0</v>
      </c>
      <c r="V38" s="130">
        <f>P38*T38*'Исходные данные'!$C$38%</f>
        <v>0</v>
      </c>
      <c r="W38" s="130">
        <f t="shared" ref="W38:W45" ca="1" si="58">O38*R38*$W$15</f>
        <v>7283.7919918905236</v>
      </c>
      <c r="X38" s="131">
        <f t="shared" ref="X38:X45" si="59">P38*T38*$W$15</f>
        <v>0</v>
      </c>
      <c r="Y38" s="130">
        <f t="shared" ref="Y38:Y45" ca="1" si="60">(O38*R38+U38+W38)*$Y$15</f>
        <v>2549.3271971616832</v>
      </c>
      <c r="Z38" s="131">
        <f t="shared" ref="Z38:Z45" si="61">(P38*T38+V38+X38)*$Z$15</f>
        <v>0</v>
      </c>
      <c r="AA38" s="130">
        <f t="shared" ref="AA38:AA45" ca="1" si="62">(O38*R38+U38)*$AA$15</f>
        <v>1820.9479979726309</v>
      </c>
      <c r="AB38" s="131">
        <f t="shared" ref="AB38:AB45" si="63">(P38*T38+V38)*$AA$15</f>
        <v>0</v>
      </c>
      <c r="AC38" s="129">
        <v>2.5</v>
      </c>
      <c r="AD38" s="130">
        <f t="shared" ref="AD38:AD45" ca="1" si="64">(O38*R38+U38+W38+Y38+AA38)*AC38</f>
        <v>74658.867916877862</v>
      </c>
      <c r="AE38" s="130">
        <f t="shared" ref="AE38:AE45" si="65">(P38*T38+V38+X38+Z38+AB38)*AC38</f>
        <v>0</v>
      </c>
      <c r="AF38" s="35">
        <f t="shared" ref="AF38:AG45" ca="1" si="66">AD38*$AF$15</f>
        <v>11155.922792177151</v>
      </c>
      <c r="AG38" s="73">
        <f t="shared" ca="1" si="66"/>
        <v>0</v>
      </c>
      <c r="AH38" s="35">
        <f t="shared" ref="AH38:AI45" ca="1" si="67">AD38+AF38</f>
        <v>85814.790709055014</v>
      </c>
      <c r="AI38" s="35">
        <f t="shared" ca="1" si="67"/>
        <v>0</v>
      </c>
      <c r="AJ38" s="35">
        <f t="shared" ref="AJ38:AK45" ca="1" si="68">AH38*$AJ$15</f>
        <v>25744.437212716504</v>
      </c>
      <c r="AK38" s="73">
        <f t="shared" ca="1" si="68"/>
        <v>0</v>
      </c>
      <c r="AL38" s="35">
        <f t="shared" ref="AL38:AL45" ca="1" si="69">AH38+AJ38</f>
        <v>111559.22792177153</v>
      </c>
      <c r="AM38" s="73">
        <f t="shared" ref="AM38:AM45" ca="1" si="70">AK38+AI38</f>
        <v>0</v>
      </c>
      <c r="AN38" s="32">
        <v>6.5</v>
      </c>
      <c r="AO38" s="33">
        <f>'Исходные данные'!$C$53</f>
        <v>0.84</v>
      </c>
      <c r="AP38" s="79">
        <f>(G38*AN38)*AO38/100</f>
        <v>5.46</v>
      </c>
      <c r="AQ38" s="33" t="s">
        <v>155</v>
      </c>
      <c r="AR38" s="83" t="e">
        <f>AR20</f>
        <v>#REF!</v>
      </c>
      <c r="AS38" s="36" t="e">
        <f>AP38*AR38</f>
        <v>#REF!</v>
      </c>
      <c r="AT38" s="36"/>
      <c r="AU38" s="36"/>
      <c r="AV38" s="36"/>
      <c r="AW38" s="36"/>
      <c r="AX38" s="36">
        <f>аморт!$G$11</f>
        <v>181.91312849162011</v>
      </c>
      <c r="AY38" s="36">
        <f>AX38*L38</f>
        <v>3031.8854748603353</v>
      </c>
      <c r="AZ38" s="36">
        <f>аморт!$G$54</f>
        <v>43.453374999999994</v>
      </c>
      <c r="BA38" s="36">
        <f>AZ38*L38</f>
        <v>724.22291666666661</v>
      </c>
      <c r="BB38" s="38">
        <v>82.4</v>
      </c>
      <c r="BC38" s="36">
        <f>BB38*BM38</f>
        <v>7004.0000000000009</v>
      </c>
      <c r="BD38" s="38">
        <v>13.9</v>
      </c>
      <c r="BE38" s="36">
        <f>BD38*BM38</f>
        <v>1181.5</v>
      </c>
      <c r="BF38" s="38">
        <f>4.8*1.045*1.054</f>
        <v>5.2868639999999996</v>
      </c>
      <c r="BG38" s="36">
        <f>BF38*BM38</f>
        <v>449.38343999999995</v>
      </c>
      <c r="BH38" s="36">
        <f>аморт!$C$54*10%/аморт!$E$54*L38*7</f>
        <v>64890.373333333344</v>
      </c>
      <c r="BI38" s="36" t="e">
        <f t="shared" ref="BI38:BI45" ca="1" si="71">AL38+AM38+AS38+AY38+BA38+BC38+BE38+BG38+BH38+AW38</f>
        <v>#REF!</v>
      </c>
      <c r="BJ38" s="36" t="e">
        <f t="shared" ref="BJ38:BJ45" ca="1" si="72">BI38/$D$5</f>
        <v>#REF!</v>
      </c>
      <c r="BK38" s="38">
        <f t="shared" ref="BK38:BK45" si="73">(O38+P38)/$D$5</f>
        <v>1.1666666666666667</v>
      </c>
      <c r="BL38" s="38">
        <v>5.0999999999999996</v>
      </c>
      <c r="BM38" s="39">
        <f>BL38*L38</f>
        <v>85</v>
      </c>
    </row>
    <row r="39" spans="1:65" x14ac:dyDescent="0.2">
      <c r="A39" s="19">
        <v>2</v>
      </c>
      <c r="B39" s="27" t="s">
        <v>86</v>
      </c>
      <c r="C39" s="29">
        <v>1</v>
      </c>
      <c r="D39" s="30" t="s">
        <v>107</v>
      </c>
      <c r="E39" s="31" t="s">
        <v>203</v>
      </c>
      <c r="F39" s="28" t="s">
        <v>108</v>
      </c>
      <c r="G39" s="144">
        <f>G38/5</f>
        <v>20</v>
      </c>
      <c r="H39" s="81">
        <v>40376</v>
      </c>
      <c r="I39" s="81">
        <v>40378</v>
      </c>
      <c r="J39" s="83">
        <f>L39/M39</f>
        <v>1.25</v>
      </c>
      <c r="K39" s="32">
        <v>16</v>
      </c>
      <c r="L39" s="33">
        <f t="shared" si="55"/>
        <v>1.25</v>
      </c>
      <c r="M39" s="30">
        <v>1</v>
      </c>
      <c r="N39" s="30"/>
      <c r="O39" s="35">
        <f t="shared" si="56"/>
        <v>8.75</v>
      </c>
      <c r="P39" s="35">
        <f t="shared" si="57"/>
        <v>0</v>
      </c>
      <c r="Q39" s="85">
        <v>2</v>
      </c>
      <c r="R39" s="83">
        <f ca="1">IF(AND(O39&gt;0,Q39&gt;0),SUMIF('Исходные данные'!$C$13:H34,Q39,'Исходные данные'!$C$17:$H$17),IF(O39=0,0,IF(Q39=0,"РОТ")))</f>
        <v>128.66557526609228</v>
      </c>
      <c r="S39" s="85"/>
      <c r="T39" s="30"/>
      <c r="U39" s="130">
        <f ca="1">O39*R39*'Исходные данные'!$C$37%</f>
        <v>0</v>
      </c>
      <c r="V39" s="130">
        <f>P39*T39*'Исходные данные'!$C$38%</f>
        <v>0</v>
      </c>
      <c r="W39" s="130">
        <f t="shared" ca="1" si="58"/>
        <v>450.32951343132299</v>
      </c>
      <c r="X39" s="131">
        <f t="shared" si="59"/>
        <v>0</v>
      </c>
      <c r="Y39" s="130">
        <f t="shared" ca="1" si="60"/>
        <v>157.61532970096306</v>
      </c>
      <c r="Z39" s="131">
        <f t="shared" si="61"/>
        <v>0</v>
      </c>
      <c r="AA39" s="130">
        <f t="shared" ca="1" si="62"/>
        <v>112.58237835783075</v>
      </c>
      <c r="AB39" s="131">
        <f t="shared" si="63"/>
        <v>0</v>
      </c>
      <c r="AC39" s="129">
        <v>2.5</v>
      </c>
      <c r="AD39" s="130">
        <f t="shared" ca="1" si="64"/>
        <v>4615.8775126710607</v>
      </c>
      <c r="AE39" s="130">
        <f t="shared" si="65"/>
        <v>0</v>
      </c>
      <c r="AF39" s="35">
        <f t="shared" ca="1" si="66"/>
        <v>689.72882373245727</v>
      </c>
      <c r="AG39" s="73">
        <f t="shared" ca="1" si="66"/>
        <v>0</v>
      </c>
      <c r="AH39" s="35">
        <f t="shared" ca="1" si="67"/>
        <v>5305.6063364035181</v>
      </c>
      <c r="AI39" s="35">
        <f t="shared" ca="1" si="67"/>
        <v>0</v>
      </c>
      <c r="AJ39" s="35">
        <f t="shared" ca="1" si="68"/>
        <v>1591.6819009210553</v>
      </c>
      <c r="AK39" s="73">
        <f t="shared" ca="1" si="68"/>
        <v>0</v>
      </c>
      <c r="AL39" s="35">
        <f t="shared" ca="1" si="69"/>
        <v>6897.2882373245739</v>
      </c>
      <c r="AM39" s="73">
        <f t="shared" ca="1" si="70"/>
        <v>0</v>
      </c>
      <c r="AN39" s="33">
        <v>1.8</v>
      </c>
      <c r="AO39" s="33">
        <f>'Исходные данные'!$C$53</f>
        <v>0.84</v>
      </c>
      <c r="AP39" s="79">
        <f>(G39*AN39)*AO39/100</f>
        <v>0.3024</v>
      </c>
      <c r="AQ39" s="33" t="s">
        <v>155</v>
      </c>
      <c r="AR39" s="83" t="e">
        <f>AR20</f>
        <v>#REF!</v>
      </c>
      <c r="AS39" s="36" t="e">
        <f>AP39*AR39</f>
        <v>#REF!</v>
      </c>
      <c r="AT39" s="36"/>
      <c r="AU39" s="36"/>
      <c r="AV39" s="36"/>
      <c r="AW39" s="36"/>
      <c r="AX39" s="36">
        <f>аморт!$G$11</f>
        <v>181.91312849162011</v>
      </c>
      <c r="AY39" s="36">
        <f>AX39*L39</f>
        <v>227.39141061452514</v>
      </c>
      <c r="AZ39" s="36">
        <f>аморт!$G$38</f>
        <v>144.06779999999998</v>
      </c>
      <c r="BA39" s="36">
        <f>AZ39*L39</f>
        <v>180.08474999999999</v>
      </c>
      <c r="BB39" s="38">
        <v>82.4</v>
      </c>
      <c r="BC39" s="36">
        <f>BB39*BM39</f>
        <v>525.30000000000007</v>
      </c>
      <c r="BD39" s="38">
        <v>13.9</v>
      </c>
      <c r="BE39" s="36">
        <f>BD39*BM39</f>
        <v>88.612499999999997</v>
      </c>
      <c r="BF39" s="38">
        <f>4.8*1.045*1.054</f>
        <v>5.2868639999999996</v>
      </c>
      <c r="BG39" s="36">
        <f>BF39*BM39</f>
        <v>33.703758000000001</v>
      </c>
      <c r="BH39" s="36">
        <f>аморт!$C$38*10%/аморт!$E$38*L39*7</f>
        <v>3025.4237999999996</v>
      </c>
      <c r="BI39" s="36" t="e">
        <f t="shared" ca="1" si="71"/>
        <v>#REF!</v>
      </c>
      <c r="BJ39" s="36" t="e">
        <f t="shared" ca="1" si="72"/>
        <v>#REF!</v>
      </c>
      <c r="BK39" s="38">
        <f t="shared" si="73"/>
        <v>8.7499999999999994E-2</v>
      </c>
      <c r="BL39" s="38">
        <v>5.0999999999999996</v>
      </c>
      <c r="BM39" s="39">
        <f>BL39*L39</f>
        <v>6.375</v>
      </c>
    </row>
    <row r="40" spans="1:65" x14ac:dyDescent="0.2">
      <c r="A40" s="19">
        <v>3</v>
      </c>
      <c r="B40" s="27" t="s">
        <v>87</v>
      </c>
      <c r="C40" s="29">
        <v>2</v>
      </c>
      <c r="D40" s="30" t="s">
        <v>107</v>
      </c>
      <c r="E40" s="31" t="s">
        <v>203</v>
      </c>
      <c r="F40" s="28" t="s">
        <v>108</v>
      </c>
      <c r="G40" s="144">
        <f>D5</f>
        <v>100</v>
      </c>
      <c r="H40" s="81">
        <v>40377</v>
      </c>
      <c r="I40" s="81">
        <v>40379</v>
      </c>
      <c r="J40" s="83">
        <f>L40/M40</f>
        <v>7.1428571428571432</v>
      </c>
      <c r="K40" s="32">
        <v>14</v>
      </c>
      <c r="L40" s="33">
        <f t="shared" si="55"/>
        <v>7.1428571428571432</v>
      </c>
      <c r="M40" s="30">
        <v>1</v>
      </c>
      <c r="N40" s="30"/>
      <c r="O40" s="35">
        <f t="shared" si="56"/>
        <v>50</v>
      </c>
      <c r="P40" s="35">
        <f t="shared" si="57"/>
        <v>0</v>
      </c>
      <c r="Q40" s="85">
        <v>2</v>
      </c>
      <c r="R40" s="83">
        <f ca="1">IF(AND(O40&gt;0,Q40&gt;0),SUMIF('Исходные данные'!$C$13:H35,Q40,'Исходные данные'!$C$17:$H$17),IF(O40=0,0,IF(Q40=0,"РОТ")))</f>
        <v>128.66557526609228</v>
      </c>
      <c r="S40" s="85"/>
      <c r="T40" s="30"/>
      <c r="U40" s="130">
        <f ca="1">O40*R40*'Исходные данные'!$C$37%</f>
        <v>0</v>
      </c>
      <c r="V40" s="130">
        <f>P40*T40*'Исходные данные'!$C$38%</f>
        <v>0</v>
      </c>
      <c r="W40" s="130">
        <f t="shared" ca="1" si="58"/>
        <v>2573.3115053218457</v>
      </c>
      <c r="X40" s="131">
        <f t="shared" si="59"/>
        <v>0</v>
      </c>
      <c r="Y40" s="130">
        <f t="shared" ca="1" si="60"/>
        <v>900.65902686264599</v>
      </c>
      <c r="Z40" s="131">
        <f t="shared" si="61"/>
        <v>0</v>
      </c>
      <c r="AA40" s="130">
        <f t="shared" ca="1" si="62"/>
        <v>643.32787633046144</v>
      </c>
      <c r="AB40" s="131">
        <f t="shared" si="63"/>
        <v>0</v>
      </c>
      <c r="AC40" s="129">
        <v>2.5</v>
      </c>
      <c r="AD40" s="130">
        <f t="shared" ca="1" si="64"/>
        <v>26376.442929548917</v>
      </c>
      <c r="AE40" s="130">
        <f t="shared" si="65"/>
        <v>0</v>
      </c>
      <c r="AF40" s="35">
        <f t="shared" ca="1" si="66"/>
        <v>3941.3075641854698</v>
      </c>
      <c r="AG40" s="73">
        <f t="shared" ca="1" si="66"/>
        <v>0</v>
      </c>
      <c r="AH40" s="35">
        <f t="shared" ca="1" si="67"/>
        <v>30317.750493734387</v>
      </c>
      <c r="AI40" s="35">
        <f t="shared" ca="1" si="67"/>
        <v>0</v>
      </c>
      <c r="AJ40" s="35">
        <f t="shared" ca="1" si="68"/>
        <v>9095.3251481203151</v>
      </c>
      <c r="AK40" s="73">
        <f t="shared" ca="1" si="68"/>
        <v>0</v>
      </c>
      <c r="AL40" s="35">
        <f t="shared" ca="1" si="69"/>
        <v>39413.075641854703</v>
      </c>
      <c r="AM40" s="73">
        <f t="shared" ca="1" si="70"/>
        <v>0</v>
      </c>
      <c r="AN40" s="32">
        <v>2.8</v>
      </c>
      <c r="AO40" s="33">
        <f>'Исходные данные'!$C$53</f>
        <v>0.84</v>
      </c>
      <c r="AP40" s="79">
        <f>(G40*AN40)*AO40/100</f>
        <v>2.3519999999999999</v>
      </c>
      <c r="AQ40" s="33" t="s">
        <v>155</v>
      </c>
      <c r="AR40" s="83" t="e">
        <f>AR20</f>
        <v>#REF!</v>
      </c>
      <c r="AS40" s="36" t="e">
        <f>AP40*AR40</f>
        <v>#REF!</v>
      </c>
      <c r="AT40" s="36"/>
      <c r="AU40" s="36"/>
      <c r="AV40" s="36"/>
      <c r="AW40" s="36"/>
      <c r="AX40" s="36">
        <f>аморт!$G$11</f>
        <v>181.91312849162011</v>
      </c>
      <c r="AY40" s="36">
        <f>AX40*L40</f>
        <v>1299.3794892258579</v>
      </c>
      <c r="AZ40" s="36">
        <f>аморт!$G$38</f>
        <v>144.06779999999998</v>
      </c>
      <c r="BA40" s="36">
        <f>AZ40*L40</f>
        <v>1029.0557142857142</v>
      </c>
      <c r="BB40" s="38">
        <v>82.4</v>
      </c>
      <c r="BC40" s="36">
        <f>BB40*BM40</f>
        <v>3001.7142857142862</v>
      </c>
      <c r="BD40" s="38">
        <v>13.9</v>
      </c>
      <c r="BE40" s="36">
        <f>BD40*BM40</f>
        <v>506.35714285714289</v>
      </c>
      <c r="BF40" s="38">
        <f>4.8*1.045*1.054</f>
        <v>5.2868639999999996</v>
      </c>
      <c r="BG40" s="36">
        <f>BF40*BM40</f>
        <v>192.59290285714286</v>
      </c>
      <c r="BH40" s="36">
        <f>аморт!$C$38*10%/аморт!$E$38*L40*7</f>
        <v>17288.135999999999</v>
      </c>
      <c r="BI40" s="36" t="e">
        <f t="shared" ca="1" si="71"/>
        <v>#REF!</v>
      </c>
      <c r="BJ40" s="36" t="e">
        <f t="shared" ca="1" si="72"/>
        <v>#REF!</v>
      </c>
      <c r="BK40" s="38">
        <f t="shared" si="73"/>
        <v>0.5</v>
      </c>
      <c r="BL40" s="38">
        <v>5.0999999999999996</v>
      </c>
      <c r="BM40" s="39">
        <f>BL40*L40</f>
        <v>36.428571428571431</v>
      </c>
    </row>
    <row r="41" spans="1:65" x14ac:dyDescent="0.2">
      <c r="A41" s="19">
        <v>4</v>
      </c>
      <c r="B41" s="27" t="s">
        <v>95</v>
      </c>
      <c r="C41" s="29">
        <v>5</v>
      </c>
      <c r="D41" s="30" t="s">
        <v>120</v>
      </c>
      <c r="E41" s="31" t="s">
        <v>206</v>
      </c>
      <c r="F41" s="28" t="s">
        <v>108</v>
      </c>
      <c r="G41" s="144">
        <f>D5</f>
        <v>100</v>
      </c>
      <c r="H41" s="82">
        <v>40379</v>
      </c>
      <c r="I41" s="82">
        <v>40386</v>
      </c>
      <c r="J41" s="83">
        <f>L41/N41</f>
        <v>83.333333333333343</v>
      </c>
      <c r="K41" s="32">
        <v>1.2</v>
      </c>
      <c r="L41" s="33">
        <f t="shared" si="55"/>
        <v>83.333333333333343</v>
      </c>
      <c r="M41" s="30"/>
      <c r="N41" s="30">
        <v>1</v>
      </c>
      <c r="O41" s="35">
        <f t="shared" si="56"/>
        <v>0</v>
      </c>
      <c r="P41" s="35">
        <f t="shared" si="57"/>
        <v>583.33333333333337</v>
      </c>
      <c r="Q41" s="85"/>
      <c r="R41" s="30"/>
      <c r="S41" s="85">
        <v>2</v>
      </c>
      <c r="T41" s="83">
        <f ca="1">IF(AND(N41&gt;0,P41&gt;0),SUMIF('Исходные данные'!$C$13:$J$29,S41,'Исходные данные'!$C$33:$J$39),IF(N41=0,0,IF(S41=0,"РОТ")))</f>
        <v>105.700598073999</v>
      </c>
      <c r="U41" s="130">
        <f>O41*R41*'Исходные данные'!$C$37%</f>
        <v>0</v>
      </c>
      <c r="V41" s="130">
        <f ca="1">P41*T41*'Исходные данные'!$C$38%</f>
        <v>0</v>
      </c>
      <c r="W41" s="130">
        <f t="shared" si="58"/>
        <v>0</v>
      </c>
      <c r="X41" s="131">
        <f t="shared" ca="1" si="59"/>
        <v>24663.472883933104</v>
      </c>
      <c r="Y41" s="130">
        <f t="shared" si="60"/>
        <v>0</v>
      </c>
      <c r="Z41" s="131">
        <f t="shared" ca="1" si="61"/>
        <v>4316.1077546882934</v>
      </c>
      <c r="AA41" s="130">
        <f t="shared" si="62"/>
        <v>0</v>
      </c>
      <c r="AB41" s="131">
        <f t="shared" ca="1" si="63"/>
        <v>6165.8682209832759</v>
      </c>
      <c r="AC41" s="129">
        <v>2.5</v>
      </c>
      <c r="AD41" s="130">
        <f t="shared" si="64"/>
        <v>0</v>
      </c>
      <c r="AE41" s="130">
        <f t="shared" ca="1" si="65"/>
        <v>242010.32767359357</v>
      </c>
      <c r="AF41" s="35">
        <f t="shared" ca="1" si="66"/>
        <v>0</v>
      </c>
      <c r="AG41" s="73">
        <f t="shared" ca="1" si="66"/>
        <v>36162.462755824323</v>
      </c>
      <c r="AH41" s="35">
        <f t="shared" ca="1" si="67"/>
        <v>0</v>
      </c>
      <c r="AI41" s="35">
        <f t="shared" ca="1" si="67"/>
        <v>278172.79042941786</v>
      </c>
      <c r="AJ41" s="35">
        <f t="shared" ca="1" si="68"/>
        <v>0</v>
      </c>
      <c r="AK41" s="73">
        <f t="shared" ca="1" si="68"/>
        <v>83451.837128825355</v>
      </c>
      <c r="AL41" s="35">
        <f t="shared" ca="1" si="69"/>
        <v>0</v>
      </c>
      <c r="AM41" s="73">
        <f t="shared" ca="1" si="70"/>
        <v>361624.62755824323</v>
      </c>
      <c r="AN41" s="30"/>
      <c r="AO41" s="30"/>
      <c r="AP41" s="79"/>
      <c r="AQ41" s="37"/>
      <c r="AR41" s="37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>
        <f t="shared" ca="1" si="71"/>
        <v>361624.62755824323</v>
      </c>
      <c r="BJ41" s="36">
        <f t="shared" ca="1" si="72"/>
        <v>3616.2462755824322</v>
      </c>
      <c r="BK41" s="38">
        <f t="shared" si="73"/>
        <v>5.8333333333333339</v>
      </c>
      <c r="BL41" s="36"/>
      <c r="BM41" s="36"/>
    </row>
    <row r="42" spans="1:65" x14ac:dyDescent="0.2">
      <c r="A42" s="19">
        <v>5</v>
      </c>
      <c r="B42" s="27" t="s">
        <v>96</v>
      </c>
      <c r="C42" s="29">
        <v>5</v>
      </c>
      <c r="D42" s="30" t="s">
        <v>120</v>
      </c>
      <c r="E42" s="31" t="s">
        <v>211</v>
      </c>
      <c r="F42" s="28" t="s">
        <v>108</v>
      </c>
      <c r="G42" s="144">
        <f>G38/5</f>
        <v>20</v>
      </c>
      <c r="H42" s="82">
        <v>40387</v>
      </c>
      <c r="I42" s="82">
        <v>40389</v>
      </c>
      <c r="J42" s="83">
        <f>L42/N42</f>
        <v>8</v>
      </c>
      <c r="K42" s="32">
        <v>2.5</v>
      </c>
      <c r="L42" s="33">
        <f t="shared" si="55"/>
        <v>8</v>
      </c>
      <c r="M42" s="30"/>
      <c r="N42" s="30">
        <v>1</v>
      </c>
      <c r="O42" s="35">
        <f t="shared" si="56"/>
        <v>0</v>
      </c>
      <c r="P42" s="35">
        <f t="shared" si="57"/>
        <v>56</v>
      </c>
      <c r="Q42" s="85"/>
      <c r="R42" s="30"/>
      <c r="S42" s="85">
        <v>2</v>
      </c>
      <c r="T42" s="83">
        <f ca="1">IF(AND(N42&gt;0,P42&gt;0),SUMIF('Исходные данные'!$C$13:$J$29,S42,'Исходные данные'!$C$33:$J$39),IF(N42=0,0,IF(S42=0,"РОТ")))</f>
        <v>105.700598073999</v>
      </c>
      <c r="U42" s="130">
        <f>O42*R42*'Исходные данные'!$C$37%</f>
        <v>0</v>
      </c>
      <c r="V42" s="130">
        <f ca="1">P42*T42*'Исходные данные'!$C$38%</f>
        <v>0</v>
      </c>
      <c r="W42" s="130">
        <f t="shared" si="58"/>
        <v>0</v>
      </c>
      <c r="X42" s="131">
        <f t="shared" ca="1" si="59"/>
        <v>2367.6933968575777</v>
      </c>
      <c r="Y42" s="130">
        <f t="shared" si="60"/>
        <v>0</v>
      </c>
      <c r="Z42" s="131">
        <f t="shared" ca="1" si="61"/>
        <v>414.34634445007617</v>
      </c>
      <c r="AA42" s="130">
        <f t="shared" si="62"/>
        <v>0</v>
      </c>
      <c r="AB42" s="131">
        <f t="shared" ca="1" si="63"/>
        <v>591.92334921439442</v>
      </c>
      <c r="AC42" s="129">
        <v>2.5</v>
      </c>
      <c r="AD42" s="130">
        <f t="shared" si="64"/>
        <v>0</v>
      </c>
      <c r="AE42" s="130">
        <f t="shared" ca="1" si="65"/>
        <v>23232.991456664982</v>
      </c>
      <c r="AF42" s="35">
        <f t="shared" ca="1" si="66"/>
        <v>0</v>
      </c>
      <c r="AG42" s="73">
        <f t="shared" ca="1" si="66"/>
        <v>3471.5964245591349</v>
      </c>
      <c r="AH42" s="35">
        <f t="shared" ca="1" si="67"/>
        <v>0</v>
      </c>
      <c r="AI42" s="35">
        <f t="shared" ca="1" si="67"/>
        <v>26704.587881224117</v>
      </c>
      <c r="AJ42" s="35">
        <f t="shared" ca="1" si="68"/>
        <v>0</v>
      </c>
      <c r="AK42" s="73">
        <f t="shared" ca="1" si="68"/>
        <v>8011.3763643672346</v>
      </c>
      <c r="AL42" s="35">
        <f t="shared" ca="1" si="69"/>
        <v>0</v>
      </c>
      <c r="AM42" s="73">
        <f t="shared" ca="1" si="70"/>
        <v>34715.964245591349</v>
      </c>
      <c r="AN42" s="30"/>
      <c r="AO42" s="30"/>
      <c r="AP42" s="79"/>
      <c r="AQ42" s="37"/>
      <c r="AR42" s="37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>
        <f t="shared" ca="1" si="71"/>
        <v>34715.964245591349</v>
      </c>
      <c r="BJ42" s="36">
        <f t="shared" ca="1" si="72"/>
        <v>347.15964245591351</v>
      </c>
      <c r="BK42" s="38">
        <f t="shared" si="73"/>
        <v>0.56000000000000005</v>
      </c>
      <c r="BL42" s="36"/>
      <c r="BM42" s="36"/>
    </row>
    <row r="43" spans="1:65" x14ac:dyDescent="0.2">
      <c r="A43" s="19">
        <v>6</v>
      </c>
      <c r="B43" s="27" t="s">
        <v>97</v>
      </c>
      <c r="C43" s="29">
        <v>5</v>
      </c>
      <c r="D43" s="30" t="s">
        <v>120</v>
      </c>
      <c r="E43" s="31" t="s">
        <v>206</v>
      </c>
      <c r="F43" s="28" t="s">
        <v>111</v>
      </c>
      <c r="G43" s="144">
        <v>116.23529411764707</v>
      </c>
      <c r="H43" s="82">
        <v>40391</v>
      </c>
      <c r="I43" s="82">
        <v>40400</v>
      </c>
      <c r="J43" s="83">
        <f>L43/N43</f>
        <v>38.745098039215691</v>
      </c>
      <c r="K43" s="32">
        <v>3</v>
      </c>
      <c r="L43" s="33">
        <f t="shared" si="55"/>
        <v>38.745098039215691</v>
      </c>
      <c r="M43" s="30"/>
      <c r="N43" s="30">
        <v>1</v>
      </c>
      <c r="O43" s="35">
        <f t="shared" si="56"/>
        <v>0</v>
      </c>
      <c r="P43" s="35">
        <f t="shared" si="57"/>
        <v>271.21568627450984</v>
      </c>
      <c r="Q43" s="85"/>
      <c r="R43" s="30"/>
      <c r="S43" s="85">
        <v>4</v>
      </c>
      <c r="T43" s="83">
        <f ca="1">IF(AND(N43&gt;0,P43&gt;0),SUMIF('Исходные данные'!$C$13:$J$29,S43,'Исходные данные'!$C$33:$J$39),IF(N43=0,0,IF(S43=0,"РОТ")))</f>
        <v>123.48200709579322</v>
      </c>
      <c r="U43" s="130">
        <f>O43*R43*'Исходные данные'!$C$37%</f>
        <v>0</v>
      </c>
      <c r="V43" s="130">
        <f ca="1">P43*T43*'Исходные данные'!$C$38%</f>
        <v>0</v>
      </c>
      <c r="W43" s="130">
        <f t="shared" si="58"/>
        <v>0</v>
      </c>
      <c r="X43" s="131">
        <f t="shared" ca="1" si="59"/>
        <v>13396.102918815783</v>
      </c>
      <c r="Y43" s="130">
        <f t="shared" si="60"/>
        <v>0</v>
      </c>
      <c r="Z43" s="131">
        <f t="shared" ca="1" si="61"/>
        <v>2344.3180107927619</v>
      </c>
      <c r="AA43" s="130">
        <f t="shared" si="62"/>
        <v>0</v>
      </c>
      <c r="AB43" s="131">
        <f t="shared" ca="1" si="63"/>
        <v>3349.0257297039457</v>
      </c>
      <c r="AC43" s="129">
        <v>2.5</v>
      </c>
      <c r="AD43" s="130">
        <f t="shared" si="64"/>
        <v>0</v>
      </c>
      <c r="AE43" s="130">
        <f t="shared" ca="1" si="65"/>
        <v>131449.25989087985</v>
      </c>
      <c r="AF43" s="35">
        <f t="shared" ca="1" si="66"/>
        <v>0</v>
      </c>
      <c r="AG43" s="73">
        <f t="shared" ca="1" si="66"/>
        <v>19641.843431970552</v>
      </c>
      <c r="AH43" s="35">
        <f t="shared" ca="1" si="67"/>
        <v>0</v>
      </c>
      <c r="AI43" s="35">
        <f t="shared" ca="1" si="67"/>
        <v>151091.10332285039</v>
      </c>
      <c r="AJ43" s="35">
        <f t="shared" ca="1" si="68"/>
        <v>0</v>
      </c>
      <c r="AK43" s="73">
        <f t="shared" ca="1" si="68"/>
        <v>45327.330996855118</v>
      </c>
      <c r="AL43" s="35">
        <f t="shared" ca="1" si="69"/>
        <v>0</v>
      </c>
      <c r="AM43" s="73">
        <f t="shared" ca="1" si="70"/>
        <v>196418.43431970553</v>
      </c>
      <c r="AN43" s="30"/>
      <c r="AO43" s="30"/>
      <c r="AP43" s="79"/>
      <c r="AQ43" s="37"/>
      <c r="AR43" s="37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>
        <f t="shared" ca="1" si="71"/>
        <v>196418.43431970553</v>
      </c>
      <c r="BJ43" s="36">
        <f t="shared" ca="1" si="72"/>
        <v>1964.1843431970553</v>
      </c>
      <c r="BK43" s="38">
        <f t="shared" si="73"/>
        <v>2.7121568627450983</v>
      </c>
      <c r="BL43" s="36"/>
      <c r="BM43" s="36"/>
    </row>
    <row r="44" spans="1:65" x14ac:dyDescent="0.2">
      <c r="A44" s="19">
        <v>7</v>
      </c>
      <c r="B44" s="27" t="s">
        <v>96</v>
      </c>
      <c r="C44" s="29">
        <v>5</v>
      </c>
      <c r="D44" s="30" t="s">
        <v>120</v>
      </c>
      <c r="E44" s="31" t="s">
        <v>211</v>
      </c>
      <c r="F44" s="28" t="s">
        <v>108</v>
      </c>
      <c r="G44" s="144">
        <v>20</v>
      </c>
      <c r="H44" s="82">
        <v>40401</v>
      </c>
      <c r="I44" s="82">
        <v>40404</v>
      </c>
      <c r="J44" s="83">
        <f>L44/N44</f>
        <v>8</v>
      </c>
      <c r="K44" s="32">
        <v>2.5</v>
      </c>
      <c r="L44" s="33">
        <f t="shared" si="55"/>
        <v>8</v>
      </c>
      <c r="M44" s="30"/>
      <c r="N44" s="30">
        <v>1</v>
      </c>
      <c r="O44" s="35">
        <f t="shared" si="56"/>
        <v>0</v>
      </c>
      <c r="P44" s="35">
        <f t="shared" si="57"/>
        <v>56</v>
      </c>
      <c r="Q44" s="85"/>
      <c r="R44" s="30"/>
      <c r="S44" s="85">
        <v>2</v>
      </c>
      <c r="T44" s="83">
        <f ca="1">IF(AND(N44&gt;0,P44&gt;0),SUMIF('Исходные данные'!$C$13:$J$29,S44,'Исходные данные'!$C$33:$J$39),IF(N44=0,0,IF(S44=0,"РОТ")))</f>
        <v>105.700598073999</v>
      </c>
      <c r="U44" s="130">
        <f>O44*R44*'Исходные данные'!$C$37%</f>
        <v>0</v>
      </c>
      <c r="V44" s="130">
        <f ca="1">P44*T44*'Исходные данные'!$C$38%</f>
        <v>0</v>
      </c>
      <c r="W44" s="130">
        <f t="shared" si="58"/>
        <v>0</v>
      </c>
      <c r="X44" s="131">
        <f t="shared" ca="1" si="59"/>
        <v>2367.6933968575777</v>
      </c>
      <c r="Y44" s="130">
        <f t="shared" si="60"/>
        <v>0</v>
      </c>
      <c r="Z44" s="131">
        <f t="shared" ca="1" si="61"/>
        <v>414.34634445007617</v>
      </c>
      <c r="AA44" s="130">
        <f t="shared" si="62"/>
        <v>0</v>
      </c>
      <c r="AB44" s="131">
        <f t="shared" ca="1" si="63"/>
        <v>591.92334921439442</v>
      </c>
      <c r="AC44" s="129">
        <v>2.5</v>
      </c>
      <c r="AD44" s="130">
        <f t="shared" si="64"/>
        <v>0</v>
      </c>
      <c r="AE44" s="130">
        <f t="shared" ca="1" si="65"/>
        <v>23232.991456664982</v>
      </c>
      <c r="AF44" s="35">
        <f t="shared" ca="1" si="66"/>
        <v>0</v>
      </c>
      <c r="AG44" s="73">
        <f t="shared" ca="1" si="66"/>
        <v>3471.5964245591349</v>
      </c>
      <c r="AH44" s="35">
        <f t="shared" ca="1" si="67"/>
        <v>0</v>
      </c>
      <c r="AI44" s="35">
        <f t="shared" ca="1" si="67"/>
        <v>26704.587881224117</v>
      </c>
      <c r="AJ44" s="35">
        <f t="shared" ca="1" si="68"/>
        <v>0</v>
      </c>
      <c r="AK44" s="73">
        <f t="shared" ca="1" si="68"/>
        <v>8011.3763643672346</v>
      </c>
      <c r="AL44" s="35">
        <f t="shared" ca="1" si="69"/>
        <v>0</v>
      </c>
      <c r="AM44" s="73">
        <f t="shared" ca="1" si="70"/>
        <v>34715.964245591349</v>
      </c>
      <c r="AN44" s="30"/>
      <c r="AO44" s="30"/>
      <c r="AP44" s="79"/>
      <c r="AQ44" s="37"/>
      <c r="AR44" s="37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 t="shared" ca="1" si="71"/>
        <v>34715.964245591349</v>
      </c>
      <c r="BJ44" s="36">
        <f t="shared" ca="1" si="72"/>
        <v>347.15964245591351</v>
      </c>
      <c r="BK44" s="38">
        <f t="shared" si="73"/>
        <v>0.56000000000000005</v>
      </c>
      <c r="BL44" s="36"/>
      <c r="BM44" s="36"/>
    </row>
    <row r="45" spans="1:65" x14ac:dyDescent="0.2">
      <c r="A45" s="19">
        <v>8</v>
      </c>
      <c r="B45" s="27" t="s">
        <v>98</v>
      </c>
      <c r="C45" s="29">
        <v>5</v>
      </c>
      <c r="D45" s="30" t="s">
        <v>120</v>
      </c>
      <c r="E45" s="31" t="s">
        <v>206</v>
      </c>
      <c r="F45" s="28" t="s">
        <v>111</v>
      </c>
      <c r="G45" s="144">
        <v>116.23529411764707</v>
      </c>
      <c r="H45" s="82">
        <v>40404</v>
      </c>
      <c r="I45" s="82">
        <v>40408</v>
      </c>
      <c r="J45" s="83">
        <f>L45/N45</f>
        <v>19.372549019607845</v>
      </c>
      <c r="K45" s="32">
        <v>6</v>
      </c>
      <c r="L45" s="33">
        <f t="shared" si="55"/>
        <v>19.372549019607845</v>
      </c>
      <c r="M45" s="30"/>
      <c r="N45" s="30">
        <v>1</v>
      </c>
      <c r="O45" s="35">
        <f t="shared" si="56"/>
        <v>0</v>
      </c>
      <c r="P45" s="35">
        <f t="shared" si="57"/>
        <v>135.60784313725492</v>
      </c>
      <c r="Q45" s="85"/>
      <c r="R45" s="30"/>
      <c r="S45" s="85">
        <v>2</v>
      </c>
      <c r="T45" s="83">
        <f ca="1">IF(AND(N45&gt;0,P45&gt;0),SUMIF('Исходные данные'!$C$13:$J$29,S45,'Исходные данные'!$C$33:$J$39),IF(N45=0,0,IF(S45=0,"РОТ")))</f>
        <v>105.700598073999</v>
      </c>
      <c r="U45" s="130">
        <f>O45*R45*'Исходные данные'!$C$37%</f>
        <v>0</v>
      </c>
      <c r="V45" s="130">
        <f ca="1">P45*T45*'Исходные данные'!$C$38%</f>
        <v>0</v>
      </c>
      <c r="W45" s="130">
        <f t="shared" si="58"/>
        <v>0</v>
      </c>
      <c r="X45" s="131">
        <f t="shared" ca="1" si="59"/>
        <v>5733.5320492531546</v>
      </c>
      <c r="Y45" s="130">
        <f t="shared" si="60"/>
        <v>0</v>
      </c>
      <c r="Z45" s="131">
        <f t="shared" ca="1" si="61"/>
        <v>1003.3681086193021</v>
      </c>
      <c r="AA45" s="130">
        <f t="shared" si="62"/>
        <v>0</v>
      </c>
      <c r="AB45" s="131">
        <f t="shared" ca="1" si="63"/>
        <v>1433.3830123132886</v>
      </c>
      <c r="AC45" s="129">
        <v>2.5</v>
      </c>
      <c r="AD45" s="130">
        <f t="shared" si="64"/>
        <v>0</v>
      </c>
      <c r="AE45" s="130">
        <f t="shared" ca="1" si="65"/>
        <v>56260.283233296585</v>
      </c>
      <c r="AF45" s="35">
        <f t="shared" ca="1" si="66"/>
        <v>0</v>
      </c>
      <c r="AG45" s="73">
        <f t="shared" ca="1" si="66"/>
        <v>8406.7089888833962</v>
      </c>
      <c r="AH45" s="35">
        <f t="shared" ca="1" si="67"/>
        <v>0</v>
      </c>
      <c r="AI45" s="35">
        <f t="shared" ca="1" si="67"/>
        <v>64666.992222179979</v>
      </c>
      <c r="AJ45" s="35">
        <f t="shared" ca="1" si="68"/>
        <v>0</v>
      </c>
      <c r="AK45" s="73">
        <f t="shared" ca="1" si="68"/>
        <v>19400.097666653994</v>
      </c>
      <c r="AL45" s="35">
        <f t="shared" ca="1" si="69"/>
        <v>0</v>
      </c>
      <c r="AM45" s="73">
        <f t="shared" ca="1" si="70"/>
        <v>84067.089888833973</v>
      </c>
      <c r="AN45" s="30"/>
      <c r="AO45" s="30"/>
      <c r="AP45" s="79"/>
      <c r="AQ45" s="37"/>
      <c r="AR45" s="37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 t="shared" ca="1" si="71"/>
        <v>84067.089888833973</v>
      </c>
      <c r="BJ45" s="36">
        <f t="shared" ca="1" si="72"/>
        <v>840.67089888833971</v>
      </c>
      <c r="BK45" s="38">
        <f t="shared" si="73"/>
        <v>1.3560784313725491</v>
      </c>
      <c r="BL45" s="36"/>
      <c r="BM45" s="36"/>
    </row>
    <row r="46" spans="1:65" s="54" customFormat="1" x14ac:dyDescent="0.2">
      <c r="A46" s="52"/>
      <c r="B46" s="53" t="s">
        <v>22</v>
      </c>
      <c r="C46" s="53"/>
      <c r="D46" s="53"/>
      <c r="E46" s="53"/>
      <c r="F46" s="55"/>
      <c r="G46" s="56"/>
      <c r="H46" s="56"/>
      <c r="I46" s="56"/>
      <c r="J46" s="65">
        <f>SUM(J38:J45)</f>
        <v>182.5105042016807</v>
      </c>
      <c r="K46" s="65"/>
      <c r="L46" s="65">
        <f>SUM(L38:L45)</f>
        <v>182.5105042016807</v>
      </c>
      <c r="M46" s="65">
        <f t="shared" ref="M46:BM46" si="74">SUM(M38:M45)</f>
        <v>3</v>
      </c>
      <c r="N46" s="65">
        <f t="shared" si="74"/>
        <v>5</v>
      </c>
      <c r="O46" s="65">
        <f t="shared" si="74"/>
        <v>175.41666666666669</v>
      </c>
      <c r="P46" s="65">
        <f t="shared" si="74"/>
        <v>1102.1568627450981</v>
      </c>
      <c r="Q46" s="65"/>
      <c r="R46" s="65"/>
      <c r="S46" s="65"/>
      <c r="T46" s="65"/>
      <c r="U46" s="65">
        <f t="shared" ca="1" si="74"/>
        <v>0</v>
      </c>
      <c r="V46" s="65">
        <f t="shared" ca="1" si="74"/>
        <v>0</v>
      </c>
      <c r="W46" s="65">
        <f t="shared" ca="1" si="74"/>
        <v>10307.433010643692</v>
      </c>
      <c r="X46" s="65">
        <f t="shared" ca="1" si="74"/>
        <v>48528.494645717197</v>
      </c>
      <c r="Y46" s="65">
        <f t="shared" ca="1" si="74"/>
        <v>3607.6015537252924</v>
      </c>
      <c r="Z46" s="65">
        <f t="shared" ca="1" si="74"/>
        <v>8492.4865630005097</v>
      </c>
      <c r="AA46" s="65">
        <f t="shared" ca="1" si="74"/>
        <v>2576.858252660923</v>
      </c>
      <c r="AB46" s="65">
        <f t="shared" ca="1" si="74"/>
        <v>12132.123661429299</v>
      </c>
      <c r="AC46" s="65"/>
      <c r="AD46" s="65">
        <f t="shared" ca="1" si="74"/>
        <v>105651.18835909784</v>
      </c>
      <c r="AE46" s="65">
        <f t="shared" ca="1" si="74"/>
        <v>476185.85371109995</v>
      </c>
      <c r="AF46" s="65">
        <f t="shared" ca="1" si="74"/>
        <v>15786.959180095078</v>
      </c>
      <c r="AG46" s="65">
        <f t="shared" ca="1" si="74"/>
        <v>71154.208025796543</v>
      </c>
      <c r="AH46" s="65">
        <f t="shared" ca="1" si="74"/>
        <v>121438.14753919293</v>
      </c>
      <c r="AI46" s="65">
        <f t="shared" ca="1" si="74"/>
        <v>547340.06173689652</v>
      </c>
      <c r="AJ46" s="65">
        <f t="shared" ca="1" si="74"/>
        <v>36431.444261757875</v>
      </c>
      <c r="AK46" s="65">
        <f t="shared" ca="1" si="74"/>
        <v>164202.01852106891</v>
      </c>
      <c r="AL46" s="65">
        <f t="shared" ca="1" si="74"/>
        <v>157869.59180095079</v>
      </c>
      <c r="AM46" s="65">
        <f t="shared" ca="1" si="74"/>
        <v>711542.08025796537</v>
      </c>
      <c r="AN46" s="65"/>
      <c r="AO46" s="65"/>
      <c r="AP46" s="65">
        <f t="shared" si="74"/>
        <v>8.1143999999999998</v>
      </c>
      <c r="AQ46" s="65"/>
      <c r="AR46" s="65"/>
      <c r="AS46" s="65" t="e">
        <f t="shared" si="74"/>
        <v>#REF!</v>
      </c>
      <c r="AT46" s="65"/>
      <c r="AU46" s="65"/>
      <c r="AV46" s="65"/>
      <c r="AW46" s="65"/>
      <c r="AX46" s="65"/>
      <c r="AY46" s="65">
        <f t="shared" si="74"/>
        <v>4558.6563747007185</v>
      </c>
      <c r="AZ46" s="65"/>
      <c r="BA46" s="65">
        <f t="shared" si="74"/>
        <v>1933.3633809523808</v>
      </c>
      <c r="BB46" s="65"/>
      <c r="BC46" s="65">
        <f t="shared" si="74"/>
        <v>10531.014285714287</v>
      </c>
      <c r="BD46" s="65"/>
      <c r="BE46" s="65">
        <f t="shared" si="74"/>
        <v>1776.4696428571428</v>
      </c>
      <c r="BF46" s="65"/>
      <c r="BG46" s="65">
        <f t="shared" si="74"/>
        <v>675.68010085714286</v>
      </c>
      <c r="BH46" s="65">
        <f t="shared" si="74"/>
        <v>85203.933133333339</v>
      </c>
      <c r="BI46" s="65" t="e">
        <f t="shared" ca="1" si="74"/>
        <v>#REF!</v>
      </c>
      <c r="BJ46" s="65"/>
      <c r="BK46" s="65"/>
      <c r="BL46" s="65"/>
      <c r="BM46" s="65">
        <f t="shared" si="74"/>
        <v>127.80357142857143</v>
      </c>
    </row>
    <row r="47" spans="1:65" s="7" customFormat="1" ht="11.25" customHeight="1" x14ac:dyDescent="0.2">
      <c r="A47" s="21"/>
      <c r="B47" s="533" t="s">
        <v>487</v>
      </c>
      <c r="C47" s="534"/>
      <c r="D47" s="534"/>
      <c r="E47" s="535"/>
      <c r="F47" s="22"/>
      <c r="G47" s="23"/>
      <c r="H47" s="23"/>
      <c r="I47" s="23"/>
      <c r="J47" s="23"/>
      <c r="K47" s="23"/>
      <c r="L47" s="33"/>
      <c r="M47" s="23"/>
      <c r="N47" s="23"/>
      <c r="O47" s="35"/>
      <c r="P47" s="23"/>
      <c r="Q47" s="24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79"/>
      <c r="AQ47" s="26"/>
      <c r="AR47" s="2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3"/>
    </row>
    <row r="48" spans="1:65" x14ac:dyDescent="0.2">
      <c r="A48" s="19">
        <v>1</v>
      </c>
      <c r="B48" s="27" t="s">
        <v>78</v>
      </c>
      <c r="C48" s="29">
        <v>4</v>
      </c>
      <c r="D48" s="30" t="s">
        <v>187</v>
      </c>
      <c r="E48" s="31" t="s">
        <v>488</v>
      </c>
      <c r="F48" s="28" t="s">
        <v>108</v>
      </c>
      <c r="G48" s="144">
        <f>D5</f>
        <v>100</v>
      </c>
      <c r="H48" s="81">
        <v>40374</v>
      </c>
      <c r="I48" s="81">
        <v>40377</v>
      </c>
      <c r="J48" s="83">
        <f t="shared" ref="J48:J55" si="75">L48/N48</f>
        <v>30.864197530864196</v>
      </c>
      <c r="K48" s="32">
        <v>3.24</v>
      </c>
      <c r="L48" s="33">
        <f t="shared" ref="L48:L55" si="76">G48/K48</f>
        <v>30.864197530864196</v>
      </c>
      <c r="M48" s="34"/>
      <c r="N48" s="34">
        <v>1</v>
      </c>
      <c r="O48" s="35">
        <f t="shared" ref="O48:O55" si="77">IF(M48=0,0,L48*$O$15)</f>
        <v>0</v>
      </c>
      <c r="P48" s="35">
        <f t="shared" ref="P48:P55" si="78">IF(N48=0,0,L48*$O$15)</f>
        <v>216.04938271604937</v>
      </c>
      <c r="Q48" s="34"/>
      <c r="R48" s="33"/>
      <c r="S48" s="34">
        <v>4</v>
      </c>
      <c r="T48" s="83">
        <f ca="1">IF(AND(N48&gt;0,P48&gt;0),SUMIF('Исходные данные'!$C$13:$J$29,S48,'Исходные данные'!$C$33:$J$39),IF(N48=0,0,IF(S48=0,"РОТ")))</f>
        <v>123.48200709579322</v>
      </c>
      <c r="U48" s="130">
        <f>O48*R48*'Исходные данные'!$C$37%</f>
        <v>0</v>
      </c>
      <c r="V48" s="130">
        <f ca="1">P48*T48*'Исходные данные'!$C$38%</f>
        <v>0</v>
      </c>
      <c r="W48" s="130">
        <f t="shared" ref="W48:W55" si="79">O48*R48*$W$15</f>
        <v>0</v>
      </c>
      <c r="X48" s="131">
        <f t="shared" ref="X48:X55" ca="1" si="80">P48*T48*$W$15</f>
        <v>10671.284563833982</v>
      </c>
      <c r="Y48" s="130">
        <f t="shared" ref="Y48:Y55" si="81">(O48*R48+U48+W48)*$Y$15</f>
        <v>0</v>
      </c>
      <c r="Z48" s="131">
        <f t="shared" ref="Z48:Z55" ca="1" si="82">(P48*T48+V48+X48)*$Z$15</f>
        <v>1867.4747986709467</v>
      </c>
      <c r="AA48" s="130">
        <f t="shared" ref="AA48:AA55" si="83">(O48*R48+U48)*$AA$15</f>
        <v>0</v>
      </c>
      <c r="AB48" s="131">
        <f t="shared" ref="AB48:AB55" ca="1" si="84">(P48*T48+V48)*$AA$15</f>
        <v>2667.8211409584956</v>
      </c>
      <c r="AC48" s="129">
        <v>2.5</v>
      </c>
      <c r="AD48" s="130">
        <f t="shared" ref="AD48:AD55" si="85">(O48*R48+U48+W48+Y48+AA48)*AC48</f>
        <v>0</v>
      </c>
      <c r="AE48" s="130">
        <f t="shared" ref="AE48:AE55" ca="1" si="86">(P48*T48+V48+X48+Z48+AB48)*AC48</f>
        <v>104711.97978262094</v>
      </c>
      <c r="AF48" s="35">
        <f t="shared" ref="AF48:AG55" ca="1" si="87">AD48*$AF$15</f>
        <v>0</v>
      </c>
      <c r="AG48" s="73">
        <f t="shared" ca="1" si="87"/>
        <v>15646.617668667495</v>
      </c>
      <c r="AH48" s="35">
        <f t="shared" ref="AH48:AI55" ca="1" si="88">AD48+AF48</f>
        <v>0</v>
      </c>
      <c r="AI48" s="35">
        <f t="shared" ca="1" si="88"/>
        <v>120358.59745128843</v>
      </c>
      <c r="AJ48" s="35">
        <f t="shared" ref="AJ48:AK55" ca="1" si="89">AH48*$AJ$15</f>
        <v>0</v>
      </c>
      <c r="AK48" s="73">
        <f t="shared" ca="1" si="89"/>
        <v>36107.579235386525</v>
      </c>
      <c r="AL48" s="35">
        <f t="shared" ref="AL48:AL55" ca="1" si="90">AH48+AJ48</f>
        <v>0</v>
      </c>
      <c r="AM48" s="73">
        <f t="shared" ref="AM48:AM55" ca="1" si="91">AK48+AI48</f>
        <v>156466.17668667494</v>
      </c>
      <c r="AN48" s="32">
        <v>2.0329999999999999</v>
      </c>
      <c r="AO48" s="33">
        <f>'Исходные данные'!$C$53</f>
        <v>0.84</v>
      </c>
      <c r="AP48" s="79">
        <f>(G48*AN48)*AO48/100</f>
        <v>1.7077199999999999</v>
      </c>
      <c r="AQ48" s="33" t="s">
        <v>155</v>
      </c>
      <c r="AR48" s="83" t="e">
        <f>'Исходные данные'!#REF!</f>
        <v>#REF!</v>
      </c>
      <c r="AS48" s="36" t="e">
        <f>AP48*AR48</f>
        <v>#REF!</v>
      </c>
      <c r="AT48" s="36"/>
      <c r="AU48" s="36"/>
      <c r="AV48" s="36"/>
      <c r="AW48" s="36"/>
      <c r="AX48" s="36"/>
      <c r="AY48" s="36"/>
      <c r="AZ48" s="36">
        <f>аморт!G47</f>
        <v>86.069866071428578</v>
      </c>
      <c r="BA48" s="36">
        <f>AZ48*L48</f>
        <v>2656.4773478835978</v>
      </c>
      <c r="BB48" s="36"/>
      <c r="BC48" s="36"/>
      <c r="BD48" s="36"/>
      <c r="BE48" s="36"/>
      <c r="BF48" s="36"/>
      <c r="BG48" s="36"/>
      <c r="BH48" s="36">
        <f>аморт!C47*10%/аморт!E47*L48*7</f>
        <v>133291.40740740739</v>
      </c>
      <c r="BI48" s="36" t="e">
        <f t="shared" ref="BI48:BI55" ca="1" si="92">AL48+AM48+AS48+AY48+BA48+BC48+BE48+BG48+BH48+AW48</f>
        <v>#REF!</v>
      </c>
      <c r="BJ48" s="36" t="e">
        <f t="shared" ref="BJ48:BJ55" ca="1" si="93">BI48/$D$5</f>
        <v>#REF!</v>
      </c>
      <c r="BK48" s="38">
        <f t="shared" ref="BK48:BK55" si="94">(O48+P48)/$D$5</f>
        <v>2.1604938271604937</v>
      </c>
      <c r="BL48" s="38"/>
      <c r="BM48" s="39"/>
    </row>
    <row r="49" spans="1:65" x14ac:dyDescent="0.2">
      <c r="A49" s="20">
        <f>A48+1</f>
        <v>2</v>
      </c>
      <c r="B49" s="27" t="s">
        <v>86</v>
      </c>
      <c r="C49" s="29">
        <v>2</v>
      </c>
      <c r="D49" s="30" t="s">
        <v>187</v>
      </c>
      <c r="E49" s="31" t="s">
        <v>489</v>
      </c>
      <c r="F49" s="28" t="s">
        <v>108</v>
      </c>
      <c r="G49" s="144">
        <v>100</v>
      </c>
      <c r="H49" s="81">
        <v>40376</v>
      </c>
      <c r="I49" s="81">
        <v>40378</v>
      </c>
      <c r="J49" s="83">
        <f t="shared" si="75"/>
        <v>26.455026455026452</v>
      </c>
      <c r="K49" s="32">
        <v>3.7800000000000002</v>
      </c>
      <c r="L49" s="33">
        <f t="shared" si="76"/>
        <v>26.455026455026452</v>
      </c>
      <c r="M49" s="34"/>
      <c r="N49" s="34">
        <v>1</v>
      </c>
      <c r="O49" s="35">
        <f t="shared" si="77"/>
        <v>0</v>
      </c>
      <c r="P49" s="35">
        <f t="shared" si="78"/>
        <v>185.18518518518516</v>
      </c>
      <c r="Q49" s="34"/>
      <c r="R49" s="33"/>
      <c r="S49" s="34">
        <v>1</v>
      </c>
      <c r="T49" s="83">
        <f ca="1">IF(AND(N49&gt;0,P49&gt;0),SUMIF('Исходные данные'!$C$13:$J$29,S49,'Исходные данные'!$C$33:$J$39),IF(N49=0,0,IF(S49=0,"РОТ")))</f>
        <v>98.785605676634574</v>
      </c>
      <c r="U49" s="130">
        <f>O49*R49*'Исходные данные'!$C$37%</f>
        <v>0</v>
      </c>
      <c r="V49" s="130">
        <f ca="1">P49*T49*'Исходные данные'!$C$38%</f>
        <v>0</v>
      </c>
      <c r="W49" s="130">
        <f t="shared" si="79"/>
        <v>0</v>
      </c>
      <c r="X49" s="131">
        <f t="shared" ca="1" si="80"/>
        <v>7317.452272343301</v>
      </c>
      <c r="Y49" s="130">
        <f t="shared" si="81"/>
        <v>0</v>
      </c>
      <c r="Z49" s="131">
        <f t="shared" ca="1" si="82"/>
        <v>1280.5541476600777</v>
      </c>
      <c r="AA49" s="130">
        <f t="shared" si="83"/>
        <v>0</v>
      </c>
      <c r="AB49" s="131">
        <f t="shared" ca="1" si="84"/>
        <v>1829.3630680858253</v>
      </c>
      <c r="AC49" s="129">
        <v>2.5</v>
      </c>
      <c r="AD49" s="130">
        <f t="shared" si="85"/>
        <v>0</v>
      </c>
      <c r="AE49" s="130">
        <f t="shared" ca="1" si="86"/>
        <v>71802.500422368641</v>
      </c>
      <c r="AF49" s="35">
        <f t="shared" ca="1" si="87"/>
        <v>0</v>
      </c>
      <c r="AG49" s="73">
        <f t="shared" ca="1" si="87"/>
        <v>10729.109258514853</v>
      </c>
      <c r="AH49" s="35">
        <f t="shared" ca="1" si="88"/>
        <v>0</v>
      </c>
      <c r="AI49" s="35">
        <f t="shared" ca="1" si="88"/>
        <v>82531.609680883499</v>
      </c>
      <c r="AJ49" s="35">
        <f t="shared" ca="1" si="89"/>
        <v>0</v>
      </c>
      <c r="AK49" s="73">
        <f t="shared" ca="1" si="89"/>
        <v>24759.482904265049</v>
      </c>
      <c r="AL49" s="35">
        <f t="shared" ca="1" si="90"/>
        <v>0</v>
      </c>
      <c r="AM49" s="73">
        <f t="shared" ca="1" si="91"/>
        <v>107291.09258514855</v>
      </c>
      <c r="AN49" s="33">
        <v>2.3719999999999999</v>
      </c>
      <c r="AO49" s="33">
        <f>'Исходные данные'!$C$53</f>
        <v>0.84</v>
      </c>
      <c r="AP49" s="79">
        <f>(G49*AN49)*AO49/100</f>
        <v>1.9924799999999998</v>
      </c>
      <c r="AQ49" s="33" t="s">
        <v>155</v>
      </c>
      <c r="AR49" s="83" t="e">
        <f>'Исходные данные'!#REF!</f>
        <v>#REF!</v>
      </c>
      <c r="AS49" s="36" t="e">
        <f>AP49*AR49</f>
        <v>#REF!</v>
      </c>
      <c r="AT49" s="36"/>
      <c r="AU49" s="36"/>
      <c r="AV49" s="36"/>
      <c r="AW49" s="36"/>
      <c r="AX49" s="36"/>
      <c r="AY49" s="36"/>
      <c r="AZ49" s="36"/>
      <c r="BA49" s="36">
        <f>AZ49*L49</f>
        <v>0</v>
      </c>
      <c r="BB49" s="36"/>
      <c r="BC49" s="36"/>
      <c r="BD49" s="36"/>
      <c r="BE49" s="36"/>
      <c r="BF49" s="36"/>
      <c r="BG49" s="36"/>
      <c r="BH49" s="36"/>
      <c r="BI49" s="36" t="e">
        <f t="shared" ca="1" si="92"/>
        <v>#REF!</v>
      </c>
      <c r="BJ49" s="36" t="e">
        <f t="shared" ca="1" si="93"/>
        <v>#REF!</v>
      </c>
      <c r="BK49" s="38">
        <f t="shared" si="94"/>
        <v>1.8518518518518516</v>
      </c>
      <c r="BL49" s="38"/>
      <c r="BM49" s="39"/>
    </row>
    <row r="50" spans="1:65" x14ac:dyDescent="0.2">
      <c r="A50" s="20">
        <f>A49+1</f>
        <v>3</v>
      </c>
      <c r="B50" s="27" t="s">
        <v>102</v>
      </c>
      <c r="C50" s="29">
        <v>4</v>
      </c>
      <c r="D50" s="30" t="s">
        <v>187</v>
      </c>
      <c r="E50" s="31" t="s">
        <v>490</v>
      </c>
      <c r="F50" s="28" t="s">
        <v>108</v>
      </c>
      <c r="G50" s="144">
        <f>D5</f>
        <v>100</v>
      </c>
      <c r="H50" s="81">
        <v>40377</v>
      </c>
      <c r="I50" s="81">
        <v>40379</v>
      </c>
      <c r="J50" s="83">
        <f t="shared" si="75"/>
        <v>26.455026455026452</v>
      </c>
      <c r="K50" s="32">
        <v>3.7800000000000002</v>
      </c>
      <c r="L50" s="33">
        <f t="shared" si="76"/>
        <v>26.455026455026452</v>
      </c>
      <c r="M50" s="34"/>
      <c r="N50" s="34">
        <v>1</v>
      </c>
      <c r="O50" s="35">
        <f t="shared" si="77"/>
        <v>0</v>
      </c>
      <c r="P50" s="35">
        <f t="shared" si="78"/>
        <v>185.18518518518516</v>
      </c>
      <c r="Q50" s="34"/>
      <c r="R50" s="33"/>
      <c r="S50" s="34">
        <v>2</v>
      </c>
      <c r="T50" s="83">
        <f ca="1">IF(AND(N50&gt;0,P50&gt;0),SUMIF('Исходные данные'!$C$13:$J$29,S50,'Исходные данные'!$C$33:$J$39),IF(N50=0,0,IF(S50=0,"РОТ")))</f>
        <v>105.700598073999</v>
      </c>
      <c r="U50" s="130">
        <f>O50*R50*'Исходные данные'!$C$37%</f>
        <v>0</v>
      </c>
      <c r="V50" s="130">
        <f ca="1">P50*T50*'Исходные данные'!$C$38%</f>
        <v>0</v>
      </c>
      <c r="W50" s="130">
        <f t="shared" si="79"/>
        <v>0</v>
      </c>
      <c r="X50" s="131">
        <f t="shared" ca="1" si="80"/>
        <v>7829.6739314073338</v>
      </c>
      <c r="Y50" s="130">
        <f t="shared" si="81"/>
        <v>0</v>
      </c>
      <c r="Z50" s="131">
        <f t="shared" ca="1" si="82"/>
        <v>1370.1929379962835</v>
      </c>
      <c r="AA50" s="130">
        <f t="shared" si="83"/>
        <v>0</v>
      </c>
      <c r="AB50" s="131">
        <f t="shared" ca="1" si="84"/>
        <v>1957.4184828518335</v>
      </c>
      <c r="AC50" s="129">
        <v>2.5</v>
      </c>
      <c r="AD50" s="130">
        <f t="shared" si="85"/>
        <v>0</v>
      </c>
      <c r="AE50" s="130">
        <f t="shared" ca="1" si="86"/>
        <v>76828.675451934454</v>
      </c>
      <c r="AF50" s="35">
        <f t="shared" ca="1" si="87"/>
        <v>0</v>
      </c>
      <c r="AG50" s="73">
        <f t="shared" ca="1" si="87"/>
        <v>11480.146906610895</v>
      </c>
      <c r="AH50" s="35">
        <f t="shared" ca="1" si="88"/>
        <v>0</v>
      </c>
      <c r="AI50" s="35">
        <f t="shared" ca="1" si="88"/>
        <v>88308.822358545352</v>
      </c>
      <c r="AJ50" s="35">
        <f t="shared" ca="1" si="89"/>
        <v>0</v>
      </c>
      <c r="AK50" s="73">
        <f t="shared" ca="1" si="89"/>
        <v>26492.646707563606</v>
      </c>
      <c r="AL50" s="35">
        <f t="shared" ca="1" si="90"/>
        <v>0</v>
      </c>
      <c r="AM50" s="73">
        <f t="shared" ca="1" si="91"/>
        <v>114801.46906610896</v>
      </c>
      <c r="AN50" s="33">
        <v>2.3719999999999999</v>
      </c>
      <c r="AO50" s="33">
        <f>'Исходные данные'!$C$53</f>
        <v>0.84</v>
      </c>
      <c r="AP50" s="79">
        <f>(G50*AN50)*AO50/100</f>
        <v>1.9924799999999998</v>
      </c>
      <c r="AQ50" s="33" t="s">
        <v>155</v>
      </c>
      <c r="AR50" s="83" t="e">
        <f>'Исходные данные'!#REF!</f>
        <v>#REF!</v>
      </c>
      <c r="AS50" s="36" t="e">
        <f>AP50*AR50</f>
        <v>#REF!</v>
      </c>
      <c r="AT50" s="36"/>
      <c r="AU50" s="36"/>
      <c r="AV50" s="36"/>
      <c r="AW50" s="36"/>
      <c r="AX50" s="36"/>
      <c r="AY50" s="36"/>
      <c r="AZ50" s="36">
        <f>аморт!G39</f>
        <v>97.318579234972674</v>
      </c>
      <c r="BA50" s="36">
        <f>AZ50*L50</f>
        <v>2574.5655882267902</v>
      </c>
      <c r="BB50" s="36"/>
      <c r="BC50" s="36"/>
      <c r="BD50" s="36"/>
      <c r="BE50" s="36"/>
      <c r="BF50" s="36"/>
      <c r="BG50" s="36"/>
      <c r="BH50" s="36">
        <f>аморт!C39*10%/аморт!E39*L50*7</f>
        <v>79152.444444444438</v>
      </c>
      <c r="BI50" s="36" t="e">
        <f t="shared" ca="1" si="92"/>
        <v>#REF!</v>
      </c>
      <c r="BJ50" s="36" t="e">
        <f t="shared" ca="1" si="93"/>
        <v>#REF!</v>
      </c>
      <c r="BK50" s="38">
        <f t="shared" si="94"/>
        <v>1.8518518518518516</v>
      </c>
      <c r="BL50" s="38"/>
      <c r="BM50" s="39"/>
    </row>
    <row r="51" spans="1:65" x14ac:dyDescent="0.2">
      <c r="A51" s="20">
        <f>A50+1</f>
        <v>4</v>
      </c>
      <c r="B51" s="27" t="s">
        <v>95</v>
      </c>
      <c r="C51" s="29">
        <v>10</v>
      </c>
      <c r="D51" s="30" t="s">
        <v>120</v>
      </c>
      <c r="E51" s="31" t="s">
        <v>206</v>
      </c>
      <c r="F51" s="28" t="s">
        <v>108</v>
      </c>
      <c r="G51" s="144">
        <f>D5</f>
        <v>100</v>
      </c>
      <c r="H51" s="81">
        <v>40378</v>
      </c>
      <c r="I51" s="81">
        <v>40388</v>
      </c>
      <c r="J51" s="83">
        <f t="shared" si="75"/>
        <v>83.333333333333343</v>
      </c>
      <c r="K51" s="32">
        <v>1.2</v>
      </c>
      <c r="L51" s="33">
        <f t="shared" si="76"/>
        <v>83.333333333333343</v>
      </c>
      <c r="M51" s="34"/>
      <c r="N51" s="34">
        <v>1</v>
      </c>
      <c r="O51" s="35">
        <f t="shared" si="77"/>
        <v>0</v>
      </c>
      <c r="P51" s="35">
        <f t="shared" si="78"/>
        <v>583.33333333333337</v>
      </c>
      <c r="Q51" s="34"/>
      <c r="R51" s="33"/>
      <c r="S51" s="34">
        <v>2</v>
      </c>
      <c r="T51" s="83">
        <f ca="1">IF(AND(N51&gt;0,P51&gt;0),SUMIF('Исходные данные'!$C$13:$J$29,S51,'Исходные данные'!$C$33:$J$39),IF(N51=0,0,IF(S51=0,"РОТ")))</f>
        <v>105.700598073999</v>
      </c>
      <c r="U51" s="130">
        <f>O51*R51*'Исходные данные'!$C$37%</f>
        <v>0</v>
      </c>
      <c r="V51" s="130">
        <f ca="1">P51*T51*'Исходные данные'!$C$38%</f>
        <v>0</v>
      </c>
      <c r="W51" s="130">
        <f t="shared" si="79"/>
        <v>0</v>
      </c>
      <c r="X51" s="131">
        <f t="shared" ca="1" si="80"/>
        <v>24663.472883933104</v>
      </c>
      <c r="Y51" s="130">
        <f t="shared" si="81"/>
        <v>0</v>
      </c>
      <c r="Z51" s="131">
        <f t="shared" ca="1" si="82"/>
        <v>4316.1077546882934</v>
      </c>
      <c r="AA51" s="130">
        <f t="shared" si="83"/>
        <v>0</v>
      </c>
      <c r="AB51" s="131">
        <f t="shared" ca="1" si="84"/>
        <v>6165.8682209832759</v>
      </c>
      <c r="AC51" s="129">
        <v>2.5</v>
      </c>
      <c r="AD51" s="130">
        <f t="shared" si="85"/>
        <v>0</v>
      </c>
      <c r="AE51" s="130">
        <f t="shared" ca="1" si="86"/>
        <v>242010.32767359357</v>
      </c>
      <c r="AF51" s="35">
        <f t="shared" ca="1" si="87"/>
        <v>0</v>
      </c>
      <c r="AG51" s="73">
        <f t="shared" ca="1" si="87"/>
        <v>36162.462755824323</v>
      </c>
      <c r="AH51" s="35">
        <f t="shared" ca="1" si="88"/>
        <v>0</v>
      </c>
      <c r="AI51" s="35">
        <f t="shared" ca="1" si="88"/>
        <v>278172.79042941786</v>
      </c>
      <c r="AJ51" s="35">
        <f t="shared" ca="1" si="89"/>
        <v>0</v>
      </c>
      <c r="AK51" s="73">
        <f t="shared" ca="1" si="89"/>
        <v>83451.837128825355</v>
      </c>
      <c r="AL51" s="35">
        <f t="shared" ca="1" si="90"/>
        <v>0</v>
      </c>
      <c r="AM51" s="73">
        <f t="shared" ca="1" si="91"/>
        <v>361624.62755824323</v>
      </c>
      <c r="AN51" s="32"/>
      <c r="AO51" s="32"/>
      <c r="AP51" s="79"/>
      <c r="AQ51" s="37"/>
      <c r="AR51" s="37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>
        <f t="shared" ca="1" si="92"/>
        <v>361624.62755824323</v>
      </c>
      <c r="BJ51" s="36">
        <f t="shared" ca="1" si="93"/>
        <v>3616.2462755824322</v>
      </c>
      <c r="BK51" s="38">
        <f t="shared" si="94"/>
        <v>5.8333333333333339</v>
      </c>
      <c r="BL51" s="38"/>
      <c r="BM51" s="39"/>
    </row>
    <row r="52" spans="1:65" x14ac:dyDescent="0.2">
      <c r="A52" s="20">
        <f>A51+1</f>
        <v>5</v>
      </c>
      <c r="B52" s="27" t="s">
        <v>96</v>
      </c>
      <c r="C52" s="29">
        <v>10</v>
      </c>
      <c r="D52" s="30" t="s">
        <v>120</v>
      </c>
      <c r="E52" s="31" t="s">
        <v>211</v>
      </c>
      <c r="F52" s="28" t="s">
        <v>108</v>
      </c>
      <c r="G52" s="144">
        <f>D5</f>
        <v>100</v>
      </c>
      <c r="H52" s="81">
        <v>40378</v>
      </c>
      <c r="I52" s="81">
        <v>40388</v>
      </c>
      <c r="J52" s="83">
        <f t="shared" si="75"/>
        <v>40</v>
      </c>
      <c r="K52" s="32">
        <v>2.5</v>
      </c>
      <c r="L52" s="33">
        <f t="shared" si="76"/>
        <v>40</v>
      </c>
      <c r="M52" s="34"/>
      <c r="N52" s="34">
        <v>1</v>
      </c>
      <c r="O52" s="35">
        <f t="shared" si="77"/>
        <v>0</v>
      </c>
      <c r="P52" s="35">
        <f t="shared" si="78"/>
        <v>280</v>
      </c>
      <c r="Q52" s="34"/>
      <c r="R52" s="33"/>
      <c r="S52" s="34">
        <v>2</v>
      </c>
      <c r="T52" s="83">
        <f ca="1">IF(AND(N52&gt;0,P52&gt;0),SUMIF('Исходные данные'!$C$13:$J$29,S52,'Исходные данные'!$C$33:$J$39),IF(N52=0,0,IF(S52=0,"РОТ")))</f>
        <v>105.700598073999</v>
      </c>
      <c r="U52" s="130">
        <f>O52*R52*'Исходные данные'!$C$37%</f>
        <v>0</v>
      </c>
      <c r="V52" s="130">
        <f ca="1">P52*T52*'Исходные данные'!$C$38%</f>
        <v>0</v>
      </c>
      <c r="W52" s="130">
        <f t="shared" si="79"/>
        <v>0</v>
      </c>
      <c r="X52" s="131">
        <f t="shared" ca="1" si="80"/>
        <v>11838.466984287888</v>
      </c>
      <c r="Y52" s="130">
        <f t="shared" si="81"/>
        <v>0</v>
      </c>
      <c r="Z52" s="131">
        <f t="shared" ca="1" si="82"/>
        <v>2071.7317222503802</v>
      </c>
      <c r="AA52" s="130">
        <f t="shared" si="83"/>
        <v>0</v>
      </c>
      <c r="AB52" s="131">
        <f t="shared" ca="1" si="84"/>
        <v>2959.6167460719721</v>
      </c>
      <c r="AC52" s="129">
        <v>2.5</v>
      </c>
      <c r="AD52" s="130">
        <f t="shared" si="85"/>
        <v>0</v>
      </c>
      <c r="AE52" s="130">
        <f t="shared" ca="1" si="86"/>
        <v>116164.9572833249</v>
      </c>
      <c r="AF52" s="35">
        <f t="shared" ca="1" si="87"/>
        <v>0</v>
      </c>
      <c r="AG52" s="73">
        <f t="shared" ca="1" si="87"/>
        <v>17357.982122795671</v>
      </c>
      <c r="AH52" s="35">
        <f t="shared" ca="1" si="88"/>
        <v>0</v>
      </c>
      <c r="AI52" s="35">
        <f t="shared" ca="1" si="88"/>
        <v>133522.93940612057</v>
      </c>
      <c r="AJ52" s="35">
        <f t="shared" ca="1" si="89"/>
        <v>0</v>
      </c>
      <c r="AK52" s="73">
        <f t="shared" ca="1" si="89"/>
        <v>40056.88182183617</v>
      </c>
      <c r="AL52" s="35">
        <f t="shared" ca="1" si="90"/>
        <v>0</v>
      </c>
      <c r="AM52" s="73">
        <f t="shared" ca="1" si="91"/>
        <v>173579.82122795674</v>
      </c>
      <c r="AN52" s="32"/>
      <c r="AO52" s="32"/>
      <c r="AP52" s="79"/>
      <c r="AQ52" s="37"/>
      <c r="AR52" s="37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>
        <f t="shared" ca="1" si="92"/>
        <v>173579.82122795674</v>
      </c>
      <c r="BJ52" s="36">
        <f t="shared" ca="1" si="93"/>
        <v>1735.7982122795675</v>
      </c>
      <c r="BK52" s="38">
        <f t="shared" si="94"/>
        <v>2.8</v>
      </c>
      <c r="BL52" s="38"/>
      <c r="BM52" s="39"/>
    </row>
    <row r="53" spans="1:65" x14ac:dyDescent="0.2">
      <c r="A53" s="20">
        <v>6</v>
      </c>
      <c r="B53" s="27" t="s">
        <v>103</v>
      </c>
      <c r="C53" s="29">
        <v>10</v>
      </c>
      <c r="D53" s="30" t="s">
        <v>120</v>
      </c>
      <c r="E53" s="31" t="s">
        <v>215</v>
      </c>
      <c r="F53" s="28" t="s">
        <v>111</v>
      </c>
      <c r="G53" s="144">
        <v>116.23529411764707</v>
      </c>
      <c r="H53" s="81">
        <v>40389</v>
      </c>
      <c r="I53" s="81">
        <v>40397</v>
      </c>
      <c r="J53" s="83">
        <f t="shared" si="75"/>
        <v>19.372549019607845</v>
      </c>
      <c r="K53" s="32">
        <v>3</v>
      </c>
      <c r="L53" s="33">
        <f t="shared" si="76"/>
        <v>38.745098039215691</v>
      </c>
      <c r="M53" s="34"/>
      <c r="N53" s="34">
        <v>2</v>
      </c>
      <c r="O53" s="35">
        <f t="shared" si="77"/>
        <v>0</v>
      </c>
      <c r="P53" s="35">
        <f t="shared" si="78"/>
        <v>271.21568627450984</v>
      </c>
      <c r="Q53" s="34"/>
      <c r="R53" s="33"/>
      <c r="S53" s="34">
        <v>3</v>
      </c>
      <c r="T53" s="83">
        <f ca="1">IF(AND(N53&gt;0,P53&gt;0),SUMIF('Исходные данные'!$C$13:$J$29,S53,'Исходные данные'!$C$33:$J$39),IF(N53=0,0,IF(S53=0,"РОТ")))</f>
        <v>113.60344652812975</v>
      </c>
      <c r="U53" s="130">
        <f>O53*R53*'Исходные данные'!$C$37%</f>
        <v>0</v>
      </c>
      <c r="V53" s="130">
        <f ca="1">P53*T53*'Исходные данные'!$C$38%</f>
        <v>0</v>
      </c>
      <c r="W53" s="130">
        <f t="shared" si="79"/>
        <v>0</v>
      </c>
      <c r="X53" s="131">
        <f t="shared" ca="1" si="80"/>
        <v>12324.414685310518</v>
      </c>
      <c r="Y53" s="130">
        <f t="shared" si="81"/>
        <v>0</v>
      </c>
      <c r="Z53" s="131">
        <f t="shared" ca="1" si="82"/>
        <v>2156.7725699293405</v>
      </c>
      <c r="AA53" s="130">
        <f t="shared" si="83"/>
        <v>0</v>
      </c>
      <c r="AB53" s="131">
        <f t="shared" ca="1" si="84"/>
        <v>3081.1036713276294</v>
      </c>
      <c r="AC53" s="129">
        <v>2.5</v>
      </c>
      <c r="AD53" s="130">
        <f t="shared" si="85"/>
        <v>0</v>
      </c>
      <c r="AE53" s="130">
        <f t="shared" ca="1" si="86"/>
        <v>120933.31909960943</v>
      </c>
      <c r="AF53" s="35">
        <f t="shared" ca="1" si="87"/>
        <v>0</v>
      </c>
      <c r="AG53" s="73">
        <f t="shared" ca="1" si="87"/>
        <v>18070.495957412902</v>
      </c>
      <c r="AH53" s="35">
        <f t="shared" ca="1" si="88"/>
        <v>0</v>
      </c>
      <c r="AI53" s="35">
        <f t="shared" ca="1" si="88"/>
        <v>139003.81505702232</v>
      </c>
      <c r="AJ53" s="35">
        <f t="shared" ca="1" si="89"/>
        <v>0</v>
      </c>
      <c r="AK53" s="73">
        <f t="shared" ca="1" si="89"/>
        <v>41701.144517106695</v>
      </c>
      <c r="AL53" s="35">
        <f t="shared" ca="1" si="90"/>
        <v>0</v>
      </c>
      <c r="AM53" s="73">
        <f t="shared" ca="1" si="91"/>
        <v>180704.95957412902</v>
      </c>
      <c r="AN53" s="32"/>
      <c r="AO53" s="32"/>
      <c r="AP53" s="79"/>
      <c r="AQ53" s="37"/>
      <c r="AR53" s="37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>
        <f t="shared" ca="1" si="92"/>
        <v>180704.95957412902</v>
      </c>
      <c r="BJ53" s="36">
        <f t="shared" ca="1" si="93"/>
        <v>1807.0495957412902</v>
      </c>
      <c r="BK53" s="38">
        <f t="shared" si="94"/>
        <v>2.7121568627450983</v>
      </c>
      <c r="BL53" s="38"/>
      <c r="BM53" s="39"/>
    </row>
    <row r="54" spans="1:65" x14ac:dyDescent="0.2">
      <c r="A54" s="20">
        <v>7</v>
      </c>
      <c r="B54" s="27" t="s">
        <v>97</v>
      </c>
      <c r="C54" s="29">
        <v>10</v>
      </c>
      <c r="D54" s="30" t="s">
        <v>120</v>
      </c>
      <c r="E54" s="31" t="s">
        <v>206</v>
      </c>
      <c r="F54" s="28" t="s">
        <v>111</v>
      </c>
      <c r="G54" s="144">
        <v>116.23529411764707</v>
      </c>
      <c r="H54" s="81">
        <v>40397</v>
      </c>
      <c r="I54" s="81">
        <v>40405</v>
      </c>
      <c r="J54" s="83">
        <f t="shared" si="75"/>
        <v>38.745098039215691</v>
      </c>
      <c r="K54" s="32">
        <v>3</v>
      </c>
      <c r="L54" s="33">
        <f t="shared" si="76"/>
        <v>38.745098039215691</v>
      </c>
      <c r="M54" s="34"/>
      <c r="N54" s="34">
        <v>1</v>
      </c>
      <c r="O54" s="35">
        <f t="shared" si="77"/>
        <v>0</v>
      </c>
      <c r="P54" s="35">
        <f t="shared" si="78"/>
        <v>271.21568627450984</v>
      </c>
      <c r="Q54" s="34"/>
      <c r="R54" s="33"/>
      <c r="S54" s="34">
        <v>4</v>
      </c>
      <c r="T54" s="83">
        <f ca="1">IF(AND(N54&gt;0,P54&gt;0),SUMIF('Исходные данные'!$C$13:$J$29,S54,'Исходные данные'!$C$33:$J$39),IF(N54=0,0,IF(S54=0,"РОТ")))</f>
        <v>123.48200709579322</v>
      </c>
      <c r="U54" s="130">
        <f>O54*R54*'Исходные данные'!$C$37%</f>
        <v>0</v>
      </c>
      <c r="V54" s="130">
        <f ca="1">P54*T54*'Исходные данные'!$C$38%</f>
        <v>0</v>
      </c>
      <c r="W54" s="130">
        <f t="shared" si="79"/>
        <v>0</v>
      </c>
      <c r="X54" s="131">
        <f t="shared" ca="1" si="80"/>
        <v>13396.102918815783</v>
      </c>
      <c r="Y54" s="130">
        <f t="shared" si="81"/>
        <v>0</v>
      </c>
      <c r="Z54" s="131">
        <f t="shared" ca="1" si="82"/>
        <v>2344.3180107927619</v>
      </c>
      <c r="AA54" s="130">
        <f t="shared" si="83"/>
        <v>0</v>
      </c>
      <c r="AB54" s="131">
        <f t="shared" ca="1" si="84"/>
        <v>3349.0257297039457</v>
      </c>
      <c r="AC54" s="129">
        <v>2.5</v>
      </c>
      <c r="AD54" s="130">
        <f t="shared" si="85"/>
        <v>0</v>
      </c>
      <c r="AE54" s="130">
        <f t="shared" ca="1" si="86"/>
        <v>131449.25989087985</v>
      </c>
      <c r="AF54" s="35">
        <f t="shared" ca="1" si="87"/>
        <v>0</v>
      </c>
      <c r="AG54" s="73">
        <f t="shared" ca="1" si="87"/>
        <v>19641.843431970552</v>
      </c>
      <c r="AH54" s="35">
        <f t="shared" ca="1" si="88"/>
        <v>0</v>
      </c>
      <c r="AI54" s="35">
        <f t="shared" ca="1" si="88"/>
        <v>151091.10332285039</v>
      </c>
      <c r="AJ54" s="35">
        <f t="shared" ca="1" si="89"/>
        <v>0</v>
      </c>
      <c r="AK54" s="73">
        <f t="shared" ca="1" si="89"/>
        <v>45327.330996855118</v>
      </c>
      <c r="AL54" s="35">
        <f t="shared" ca="1" si="90"/>
        <v>0</v>
      </c>
      <c r="AM54" s="73">
        <f t="shared" ca="1" si="91"/>
        <v>196418.43431970553</v>
      </c>
      <c r="AN54" s="32"/>
      <c r="AO54" s="32"/>
      <c r="AP54" s="79"/>
      <c r="AQ54" s="37"/>
      <c r="AR54" s="37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>
        <f t="shared" ca="1" si="92"/>
        <v>196418.43431970553</v>
      </c>
      <c r="BJ54" s="36">
        <f t="shared" ca="1" si="93"/>
        <v>1964.1843431970553</v>
      </c>
      <c r="BK54" s="38">
        <f t="shared" si="94"/>
        <v>2.7121568627450983</v>
      </c>
      <c r="BL54" s="38"/>
      <c r="BM54" s="39"/>
    </row>
    <row r="55" spans="1:65" x14ac:dyDescent="0.2">
      <c r="A55" s="20">
        <v>8</v>
      </c>
      <c r="B55" s="27" t="s">
        <v>98</v>
      </c>
      <c r="C55" s="29">
        <v>10</v>
      </c>
      <c r="D55" s="30" t="s">
        <v>120</v>
      </c>
      <c r="E55" s="31" t="s">
        <v>206</v>
      </c>
      <c r="F55" s="28" t="s">
        <v>111</v>
      </c>
      <c r="G55" s="144">
        <v>116.23529411764707</v>
      </c>
      <c r="H55" s="81">
        <v>40397</v>
      </c>
      <c r="I55" s="81">
        <v>40410</v>
      </c>
      <c r="J55" s="83">
        <f t="shared" si="75"/>
        <v>19.372549019607845</v>
      </c>
      <c r="K55" s="32">
        <v>6</v>
      </c>
      <c r="L55" s="33">
        <f t="shared" si="76"/>
        <v>19.372549019607845</v>
      </c>
      <c r="M55" s="34"/>
      <c r="N55" s="34">
        <v>1</v>
      </c>
      <c r="O55" s="35">
        <f t="shared" si="77"/>
        <v>0</v>
      </c>
      <c r="P55" s="35">
        <f t="shared" si="78"/>
        <v>135.60784313725492</v>
      </c>
      <c r="Q55" s="34"/>
      <c r="R55" s="33"/>
      <c r="S55" s="34">
        <v>2</v>
      </c>
      <c r="T55" s="83">
        <f ca="1">IF(AND(N55&gt;0,P55&gt;0),SUMIF('Исходные данные'!$C$13:$J$29,S55,'Исходные данные'!$C$33:$J$39),IF(N55=0,0,IF(S55=0,"РОТ")))</f>
        <v>105.700598073999</v>
      </c>
      <c r="U55" s="130">
        <f>O55*R55*'Исходные данные'!$C$37%</f>
        <v>0</v>
      </c>
      <c r="V55" s="130">
        <f ca="1">P55*T55*'Исходные данные'!$C$38%</f>
        <v>0</v>
      </c>
      <c r="W55" s="130">
        <f t="shared" si="79"/>
        <v>0</v>
      </c>
      <c r="X55" s="131">
        <f t="shared" ca="1" si="80"/>
        <v>5733.5320492531546</v>
      </c>
      <c r="Y55" s="130">
        <f t="shared" si="81"/>
        <v>0</v>
      </c>
      <c r="Z55" s="131">
        <f t="shared" ca="1" si="82"/>
        <v>1003.3681086193021</v>
      </c>
      <c r="AA55" s="130">
        <f t="shared" si="83"/>
        <v>0</v>
      </c>
      <c r="AB55" s="131">
        <f t="shared" ca="1" si="84"/>
        <v>1433.3830123132886</v>
      </c>
      <c r="AC55" s="129">
        <v>2.5</v>
      </c>
      <c r="AD55" s="130">
        <f t="shared" si="85"/>
        <v>0</v>
      </c>
      <c r="AE55" s="130">
        <f t="shared" ca="1" si="86"/>
        <v>56260.283233296585</v>
      </c>
      <c r="AF55" s="35">
        <f t="shared" ca="1" si="87"/>
        <v>0</v>
      </c>
      <c r="AG55" s="73">
        <f t="shared" ca="1" si="87"/>
        <v>8406.7089888833962</v>
      </c>
      <c r="AH55" s="35">
        <f t="shared" ca="1" si="88"/>
        <v>0</v>
      </c>
      <c r="AI55" s="35">
        <f t="shared" ca="1" si="88"/>
        <v>64666.992222179979</v>
      </c>
      <c r="AJ55" s="35">
        <f t="shared" ca="1" si="89"/>
        <v>0</v>
      </c>
      <c r="AK55" s="73">
        <f t="shared" ca="1" si="89"/>
        <v>19400.097666653994</v>
      </c>
      <c r="AL55" s="35">
        <f t="shared" ca="1" si="90"/>
        <v>0</v>
      </c>
      <c r="AM55" s="73">
        <f t="shared" ca="1" si="91"/>
        <v>84067.089888833973</v>
      </c>
      <c r="AN55" s="32"/>
      <c r="AO55" s="32"/>
      <c r="AP55" s="79"/>
      <c r="AQ55" s="37"/>
      <c r="AR55" s="37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>
        <f t="shared" ca="1" si="92"/>
        <v>84067.089888833973</v>
      </c>
      <c r="BJ55" s="36">
        <f t="shared" ca="1" si="93"/>
        <v>840.67089888833971</v>
      </c>
      <c r="BK55" s="38">
        <f t="shared" si="94"/>
        <v>1.3560784313725491</v>
      </c>
      <c r="BL55" s="38"/>
      <c r="BM55" s="39"/>
    </row>
    <row r="56" spans="1:65" s="62" customFormat="1" x14ac:dyDescent="0.2">
      <c r="A56" s="59"/>
      <c r="B56" s="53" t="s">
        <v>22</v>
      </c>
      <c r="C56" s="53"/>
      <c r="D56" s="53"/>
      <c r="E56" s="53"/>
      <c r="F56" s="60"/>
      <c r="G56" s="61"/>
      <c r="H56" s="61"/>
      <c r="I56" s="61"/>
      <c r="J56" s="57">
        <f>SUM(J48:J55)</f>
        <v>284.59777985268181</v>
      </c>
      <c r="K56" s="57"/>
      <c r="L56" s="57">
        <f>SUM(L48:L55)</f>
        <v>303.97032887228966</v>
      </c>
      <c r="M56" s="57">
        <f t="shared" ref="M56:BM56" si="95">SUM(M48:M55)</f>
        <v>0</v>
      </c>
      <c r="N56" s="57">
        <f t="shared" si="95"/>
        <v>9</v>
      </c>
      <c r="O56" s="57">
        <f t="shared" si="95"/>
        <v>0</v>
      </c>
      <c r="P56" s="57">
        <f t="shared" si="95"/>
        <v>2127.7923021060274</v>
      </c>
      <c r="Q56" s="57"/>
      <c r="R56" s="57"/>
      <c r="S56" s="57"/>
      <c r="T56" s="57"/>
      <c r="U56" s="57">
        <f t="shared" si="95"/>
        <v>0</v>
      </c>
      <c r="V56" s="57">
        <f t="shared" ca="1" si="95"/>
        <v>0</v>
      </c>
      <c r="W56" s="57">
        <f t="shared" si="95"/>
        <v>0</v>
      </c>
      <c r="X56" s="57">
        <f t="shared" ca="1" si="95"/>
        <v>93774.400289185069</v>
      </c>
      <c r="Y56" s="57">
        <f t="shared" si="95"/>
        <v>0</v>
      </c>
      <c r="Z56" s="57">
        <f t="shared" ca="1" si="95"/>
        <v>16410.520050607385</v>
      </c>
      <c r="AA56" s="57">
        <f t="shared" si="95"/>
        <v>0</v>
      </c>
      <c r="AB56" s="57">
        <f t="shared" ca="1" si="95"/>
        <v>23443.600072296267</v>
      </c>
      <c r="AC56" s="57"/>
      <c r="AD56" s="57">
        <f t="shared" si="95"/>
        <v>0</v>
      </c>
      <c r="AE56" s="57">
        <f t="shared" ca="1" si="95"/>
        <v>920161.30283762829</v>
      </c>
      <c r="AF56" s="57">
        <f t="shared" ca="1" si="95"/>
        <v>0</v>
      </c>
      <c r="AG56" s="57">
        <f t="shared" ca="1" si="95"/>
        <v>137495.36709068008</v>
      </c>
      <c r="AH56" s="57">
        <f t="shared" ca="1" si="95"/>
        <v>0</v>
      </c>
      <c r="AI56" s="57">
        <f t="shared" ca="1" si="95"/>
        <v>1057656.6699283086</v>
      </c>
      <c r="AJ56" s="57">
        <f t="shared" ca="1" si="95"/>
        <v>0</v>
      </c>
      <c r="AK56" s="57">
        <f t="shared" ca="1" si="95"/>
        <v>317297.00097849249</v>
      </c>
      <c r="AL56" s="57">
        <f t="shared" ca="1" si="95"/>
        <v>0</v>
      </c>
      <c r="AM56" s="57">
        <f t="shared" ca="1" si="95"/>
        <v>1374953.6709068008</v>
      </c>
      <c r="AN56" s="57"/>
      <c r="AO56" s="57"/>
      <c r="AP56" s="57">
        <f t="shared" si="95"/>
        <v>5.6926799999999993</v>
      </c>
      <c r="AQ56" s="57"/>
      <c r="AR56" s="57"/>
      <c r="AS56" s="57" t="e">
        <f t="shared" si="95"/>
        <v>#REF!</v>
      </c>
      <c r="AT56" s="57"/>
      <c r="AU56" s="57"/>
      <c r="AV56" s="57"/>
      <c r="AW56" s="57"/>
      <c r="AX56" s="57"/>
      <c r="AY56" s="57">
        <f t="shared" si="95"/>
        <v>0</v>
      </c>
      <c r="AZ56" s="57"/>
      <c r="BA56" s="57">
        <f t="shared" si="95"/>
        <v>5231.0429361103879</v>
      </c>
      <c r="BB56" s="57"/>
      <c r="BC56" s="57">
        <f t="shared" si="95"/>
        <v>0</v>
      </c>
      <c r="BD56" s="57"/>
      <c r="BE56" s="57">
        <f t="shared" si="95"/>
        <v>0</v>
      </c>
      <c r="BF56" s="57"/>
      <c r="BG56" s="57">
        <f t="shared" si="95"/>
        <v>0</v>
      </c>
      <c r="BH56" s="57">
        <f t="shared" si="95"/>
        <v>212443.85185185182</v>
      </c>
      <c r="BI56" s="57" t="e">
        <f t="shared" ca="1" si="95"/>
        <v>#REF!</v>
      </c>
      <c r="BJ56" s="57"/>
      <c r="BK56" s="57"/>
      <c r="BL56" s="57"/>
      <c r="BM56" s="57">
        <f t="shared" si="95"/>
        <v>0</v>
      </c>
    </row>
    <row r="57" spans="1:65" ht="11.25" customHeight="1" x14ac:dyDescent="0.2">
      <c r="A57" s="20"/>
      <c r="B57" s="533" t="s">
        <v>104</v>
      </c>
      <c r="C57" s="534"/>
      <c r="D57" s="534"/>
      <c r="E57" s="535"/>
      <c r="F57" s="28"/>
      <c r="G57" s="29"/>
      <c r="H57" s="29"/>
      <c r="I57" s="29"/>
      <c r="J57" s="29"/>
      <c r="K57" s="32"/>
      <c r="L57" s="33"/>
      <c r="M57" s="34"/>
      <c r="N57" s="34"/>
      <c r="O57" s="35"/>
      <c r="P57" s="35"/>
      <c r="Q57" s="34"/>
      <c r="R57" s="33"/>
      <c r="S57" s="34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2"/>
      <c r="AN57" s="32"/>
      <c r="AO57" s="32"/>
      <c r="AP57" s="79"/>
      <c r="AQ57" s="37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8"/>
      <c r="BM57" s="39"/>
    </row>
    <row r="58" spans="1:65" x14ac:dyDescent="0.2">
      <c r="A58" s="20">
        <v>1</v>
      </c>
      <c r="B58" s="27" t="s">
        <v>78</v>
      </c>
      <c r="C58" s="29">
        <v>10</v>
      </c>
      <c r="D58" s="30" t="s">
        <v>120</v>
      </c>
      <c r="E58" s="31" t="s">
        <v>216</v>
      </c>
      <c r="F58" s="28" t="s">
        <v>108</v>
      </c>
      <c r="G58" s="144">
        <f>D5</f>
        <v>100</v>
      </c>
      <c r="H58" s="81">
        <v>40374</v>
      </c>
      <c r="I58" s="81">
        <v>40384</v>
      </c>
      <c r="J58" s="83">
        <f t="shared" ref="J58:J64" si="96">L58/N58</f>
        <v>166.66666666666669</v>
      </c>
      <c r="K58" s="32">
        <v>0.6</v>
      </c>
      <c r="L58" s="33">
        <f t="shared" ref="L58:L64" si="97">G58/K58</f>
        <v>166.66666666666669</v>
      </c>
      <c r="M58" s="34"/>
      <c r="N58" s="34">
        <v>1</v>
      </c>
      <c r="O58" s="35">
        <f t="shared" ref="O58:O64" si="98">IF(M58=0,0,L58*$O$15)</f>
        <v>0</v>
      </c>
      <c r="P58" s="35">
        <f t="shared" ref="P58:P64" si="99">IF(N58=0,0,L58*$O$15)</f>
        <v>1166.6666666666667</v>
      </c>
      <c r="Q58" s="34"/>
      <c r="R58" s="33"/>
      <c r="S58" s="34">
        <v>4</v>
      </c>
      <c r="T58" s="83">
        <f ca="1">IF(AND(N58&gt;0,P58&gt;0),SUMIF('Исходные данные'!$C$13:$J$29,S58,'Исходные данные'!$C$33:$J$39),IF(N58=0,0,IF(S58=0,"РОТ")))</f>
        <v>123.48200709579322</v>
      </c>
      <c r="U58" s="130">
        <f>O58*R58*'Исходные данные'!$C$37%</f>
        <v>0</v>
      </c>
      <c r="V58" s="130">
        <f ca="1">P58*T58*'Исходные данные'!$C$38%</f>
        <v>0</v>
      </c>
      <c r="W58" s="130">
        <f t="shared" ref="W58:W64" si="100">O58*R58*$W$15</f>
        <v>0</v>
      </c>
      <c r="X58" s="131">
        <f t="shared" ref="X58:X64" ca="1" si="101">P58*T58*$W$15</f>
        <v>57624.936644703514</v>
      </c>
      <c r="Y58" s="130">
        <f t="shared" ref="Y58:Y64" si="102">(O58*R58+U58+W58)*$Y$15</f>
        <v>0</v>
      </c>
      <c r="Z58" s="131"/>
      <c r="AA58" s="130">
        <f t="shared" ref="AA58:AA64" si="103">(O58*R58+U58)*$AA$15</f>
        <v>0</v>
      </c>
      <c r="AB58" s="131"/>
      <c r="AC58" s="129">
        <v>2.5</v>
      </c>
      <c r="AD58" s="130">
        <f t="shared" ref="AD58:AD64" si="104">(O58*R58+U58+W58+Y58+AA58)*AC58</f>
        <v>0</v>
      </c>
      <c r="AE58" s="130">
        <f t="shared" ref="AE58:AE64" ca="1" si="105">(P58*T58+V58+X58+Z58+AB58)*AC58</f>
        <v>504218.19564115576</v>
      </c>
      <c r="AF58" s="35">
        <f t="shared" ref="AF58:AG64" ca="1" si="106">AD58*$AF$15</f>
        <v>0</v>
      </c>
      <c r="AG58" s="73">
        <f t="shared" ca="1" si="106"/>
        <v>75342.948773965792</v>
      </c>
      <c r="AH58" s="35">
        <f t="shared" ref="AH58:AI64" ca="1" si="107">AD58+AF58</f>
        <v>0</v>
      </c>
      <c r="AI58" s="35">
        <f t="shared" ca="1" si="107"/>
        <v>579561.14441512153</v>
      </c>
      <c r="AJ58" s="35">
        <f t="shared" ref="AJ58:AK64" ca="1" si="108">AH58*$AJ$15</f>
        <v>0</v>
      </c>
      <c r="AK58" s="73">
        <f t="shared" ca="1" si="108"/>
        <v>173868.34332453646</v>
      </c>
      <c r="AL58" s="35">
        <f t="shared" ref="AL58:AL64" ca="1" si="109">AH58+AJ58</f>
        <v>0</v>
      </c>
      <c r="AM58" s="73">
        <f t="shared" ref="AM58:AM64" ca="1" si="110">AK58+AI58</f>
        <v>753429.48773965798</v>
      </c>
      <c r="AN58" s="32"/>
      <c r="AO58" s="32"/>
      <c r="AP58" s="79"/>
      <c r="AQ58" s="37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>
        <f t="shared" ref="BI58:BI64" ca="1" si="111">AL58+AM58+AS58+AY58+BA58+BC58+BE58+BG58+BH58+AW58</f>
        <v>753429.48773965798</v>
      </c>
      <c r="BJ58" s="36">
        <f t="shared" ref="BJ58:BJ64" ca="1" si="112">BI58/$D$5</f>
        <v>7534.29487739658</v>
      </c>
      <c r="BK58" s="38">
        <f t="shared" ref="BK58:BK64" si="113">(O58+P58)/$D$5</f>
        <v>11.666666666666668</v>
      </c>
      <c r="BL58" s="38"/>
      <c r="BM58" s="39"/>
    </row>
    <row r="59" spans="1:65" x14ac:dyDescent="0.2">
      <c r="A59" s="20">
        <v>2</v>
      </c>
      <c r="B59" s="27" t="s">
        <v>86</v>
      </c>
      <c r="C59" s="29">
        <v>10</v>
      </c>
      <c r="D59" s="30" t="s">
        <v>120</v>
      </c>
      <c r="E59" s="31" t="s">
        <v>211</v>
      </c>
      <c r="F59" s="28" t="s">
        <v>108</v>
      </c>
      <c r="G59" s="144">
        <v>20</v>
      </c>
      <c r="H59" s="81">
        <v>40376</v>
      </c>
      <c r="I59" s="81">
        <v>40386</v>
      </c>
      <c r="J59" s="83">
        <f t="shared" si="96"/>
        <v>12.5</v>
      </c>
      <c r="K59" s="32">
        <v>1.6</v>
      </c>
      <c r="L59" s="33">
        <f t="shared" si="97"/>
        <v>12.5</v>
      </c>
      <c r="M59" s="34"/>
      <c r="N59" s="34">
        <v>1</v>
      </c>
      <c r="O59" s="35">
        <f t="shared" si="98"/>
        <v>0</v>
      </c>
      <c r="P59" s="35">
        <f t="shared" si="99"/>
        <v>87.5</v>
      </c>
      <c r="Q59" s="34"/>
      <c r="R59" s="33"/>
      <c r="S59" s="34">
        <v>1</v>
      </c>
      <c r="T59" s="83">
        <f ca="1">IF(AND(N59&gt;0,P59&gt;0),SUMIF('Исходные данные'!$C$13:$J$29,S59,'Исходные данные'!$C$33:$J$39),IF(N59=0,0,IF(S59=0,"РОТ")))</f>
        <v>98.785605676634574</v>
      </c>
      <c r="U59" s="130">
        <f>O59*R59*'Исходные данные'!$C$37%</f>
        <v>0</v>
      </c>
      <c r="V59" s="130">
        <f ca="1">P59*T59*'Исходные данные'!$C$38%</f>
        <v>0</v>
      </c>
      <c r="W59" s="130">
        <f t="shared" si="100"/>
        <v>0</v>
      </c>
      <c r="X59" s="131">
        <f t="shared" ca="1" si="101"/>
        <v>3457.49619868221</v>
      </c>
      <c r="Y59" s="130">
        <f t="shared" si="102"/>
        <v>0</v>
      </c>
      <c r="Z59" s="131"/>
      <c r="AA59" s="130">
        <f t="shared" si="103"/>
        <v>0</v>
      </c>
      <c r="AB59" s="131"/>
      <c r="AC59" s="129">
        <v>2.5</v>
      </c>
      <c r="AD59" s="130">
        <f t="shared" si="104"/>
        <v>0</v>
      </c>
      <c r="AE59" s="130">
        <f t="shared" ca="1" si="105"/>
        <v>30253.091738469338</v>
      </c>
      <c r="AF59" s="35">
        <f t="shared" ca="1" si="106"/>
        <v>0</v>
      </c>
      <c r="AG59" s="73">
        <f t="shared" ca="1" si="106"/>
        <v>4520.5769264379469</v>
      </c>
      <c r="AH59" s="35">
        <f t="shared" ca="1" si="107"/>
        <v>0</v>
      </c>
      <c r="AI59" s="35">
        <f t="shared" ca="1" si="107"/>
        <v>34773.668664907287</v>
      </c>
      <c r="AJ59" s="35">
        <f t="shared" ca="1" si="108"/>
        <v>0</v>
      </c>
      <c r="AK59" s="73">
        <f t="shared" ca="1" si="108"/>
        <v>10432.100599472185</v>
      </c>
      <c r="AL59" s="35">
        <f t="shared" ca="1" si="109"/>
        <v>0</v>
      </c>
      <c r="AM59" s="73">
        <f t="shared" ca="1" si="110"/>
        <v>45205.769264379473</v>
      </c>
      <c r="AN59" s="32"/>
      <c r="AO59" s="32"/>
      <c r="AP59" s="79"/>
      <c r="AQ59" s="37"/>
      <c r="AR59" s="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>
        <f t="shared" ca="1" si="111"/>
        <v>45205.769264379473</v>
      </c>
      <c r="BJ59" s="36">
        <f t="shared" ca="1" si="112"/>
        <v>452.05769264379472</v>
      </c>
      <c r="BK59" s="38">
        <f t="shared" si="113"/>
        <v>0.875</v>
      </c>
      <c r="BL59" s="38"/>
      <c r="BM59" s="39"/>
    </row>
    <row r="60" spans="1:65" x14ac:dyDescent="0.2">
      <c r="A60" s="20">
        <v>3</v>
      </c>
      <c r="B60" s="27" t="s">
        <v>102</v>
      </c>
      <c r="C60" s="29">
        <v>10</v>
      </c>
      <c r="D60" s="30" t="s">
        <v>120</v>
      </c>
      <c r="E60" s="31" t="s">
        <v>211</v>
      </c>
      <c r="F60" s="28" t="s">
        <v>108</v>
      </c>
      <c r="G60" s="144">
        <f>D5</f>
        <v>100</v>
      </c>
      <c r="H60" s="81">
        <v>40377</v>
      </c>
      <c r="I60" s="81">
        <v>40387</v>
      </c>
      <c r="J60" s="83">
        <f t="shared" si="96"/>
        <v>125</v>
      </c>
      <c r="K60" s="32">
        <v>0.8</v>
      </c>
      <c r="L60" s="33">
        <f t="shared" si="97"/>
        <v>125</v>
      </c>
      <c r="M60" s="34"/>
      <c r="N60" s="34">
        <v>1</v>
      </c>
      <c r="O60" s="35">
        <f t="shared" si="98"/>
        <v>0</v>
      </c>
      <c r="P60" s="35">
        <f t="shared" si="99"/>
        <v>875</v>
      </c>
      <c r="Q60" s="34"/>
      <c r="R60" s="33"/>
      <c r="S60" s="34">
        <v>2</v>
      </c>
      <c r="T60" s="83">
        <f ca="1">IF(AND(N60&gt;0,P60&gt;0),SUMIF('Исходные данные'!$C$13:$J$29,S60,'Исходные данные'!$C$33:$J$39),IF(N60=0,0,IF(S60=0,"РОТ")))</f>
        <v>105.700598073999</v>
      </c>
      <c r="U60" s="130">
        <f>O60*R60*'Исходные данные'!$C$37%</f>
        <v>0</v>
      </c>
      <c r="V60" s="130">
        <f ca="1">P60*T60*'Исходные данные'!$C$38%</f>
        <v>0</v>
      </c>
      <c r="W60" s="130">
        <f t="shared" si="100"/>
        <v>0</v>
      </c>
      <c r="X60" s="131">
        <f t="shared" ca="1" si="101"/>
        <v>36995.209325899654</v>
      </c>
      <c r="Y60" s="130">
        <f t="shared" si="102"/>
        <v>0</v>
      </c>
      <c r="Z60" s="131"/>
      <c r="AA60" s="130">
        <f t="shared" si="103"/>
        <v>0</v>
      </c>
      <c r="AB60" s="131"/>
      <c r="AC60" s="129">
        <v>2.5</v>
      </c>
      <c r="AD60" s="130">
        <f t="shared" si="104"/>
        <v>0</v>
      </c>
      <c r="AE60" s="130">
        <f t="shared" ca="1" si="105"/>
        <v>323708.08160162193</v>
      </c>
      <c r="AF60" s="35">
        <f t="shared" ca="1" si="106"/>
        <v>0</v>
      </c>
      <c r="AG60" s="73">
        <f t="shared" ca="1" si="106"/>
        <v>48370.173112886034</v>
      </c>
      <c r="AH60" s="35">
        <f t="shared" ca="1" si="107"/>
        <v>0</v>
      </c>
      <c r="AI60" s="35">
        <f t="shared" ca="1" si="107"/>
        <v>372078.25471450796</v>
      </c>
      <c r="AJ60" s="35">
        <f t="shared" ca="1" si="108"/>
        <v>0</v>
      </c>
      <c r="AK60" s="73">
        <f t="shared" ca="1" si="108"/>
        <v>111623.47641435238</v>
      </c>
      <c r="AL60" s="35">
        <f t="shared" ca="1" si="109"/>
        <v>0</v>
      </c>
      <c r="AM60" s="73">
        <f t="shared" ca="1" si="110"/>
        <v>483701.73112886032</v>
      </c>
      <c r="AN60" s="32"/>
      <c r="AO60" s="32"/>
      <c r="AP60" s="79"/>
      <c r="AQ60" s="37"/>
      <c r="AR60" s="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>
        <f t="shared" ca="1" si="111"/>
        <v>483701.73112886032</v>
      </c>
      <c r="BJ60" s="36">
        <f t="shared" ca="1" si="112"/>
        <v>4837.0173112886032</v>
      </c>
      <c r="BK60" s="38">
        <f t="shared" si="113"/>
        <v>8.75</v>
      </c>
      <c r="BL60" s="38"/>
      <c r="BM60" s="39"/>
    </row>
    <row r="61" spans="1:65" x14ac:dyDescent="0.2">
      <c r="A61" s="20">
        <v>4</v>
      </c>
      <c r="B61" s="27" t="s">
        <v>95</v>
      </c>
      <c r="C61" s="29">
        <v>10</v>
      </c>
      <c r="D61" s="30" t="s">
        <v>120</v>
      </c>
      <c r="E61" s="31" t="s">
        <v>206</v>
      </c>
      <c r="F61" s="28" t="s">
        <v>108</v>
      </c>
      <c r="G61" s="144">
        <f>G60</f>
        <v>100</v>
      </c>
      <c r="H61" s="81">
        <v>40378</v>
      </c>
      <c r="I61" s="81">
        <v>40388</v>
      </c>
      <c r="J61" s="83">
        <f t="shared" si="96"/>
        <v>28.571428571428573</v>
      </c>
      <c r="K61" s="32">
        <v>3.5</v>
      </c>
      <c r="L61" s="33">
        <f t="shared" si="97"/>
        <v>28.571428571428573</v>
      </c>
      <c r="M61" s="34"/>
      <c r="N61" s="34">
        <v>1</v>
      </c>
      <c r="O61" s="35">
        <f t="shared" si="98"/>
        <v>0</v>
      </c>
      <c r="P61" s="35">
        <f t="shared" si="99"/>
        <v>200</v>
      </c>
      <c r="Q61" s="34"/>
      <c r="R61" s="33"/>
      <c r="S61" s="34">
        <v>2</v>
      </c>
      <c r="T61" s="83">
        <f ca="1">IF(AND(N61&gt;0,P61&gt;0),SUMIF('Исходные данные'!$C$13:$J$29,S61,'Исходные данные'!$C$33:$J$39),IF(N61=0,0,IF(S61=0,"РОТ")))</f>
        <v>105.700598073999</v>
      </c>
      <c r="U61" s="130">
        <f>O61*R61*'Исходные данные'!$C$37%</f>
        <v>0</v>
      </c>
      <c r="V61" s="130">
        <f ca="1">P61*T61*'Исходные данные'!$C$38%</f>
        <v>0</v>
      </c>
      <c r="W61" s="130">
        <f t="shared" si="100"/>
        <v>0</v>
      </c>
      <c r="X61" s="131">
        <f t="shared" ca="1" si="101"/>
        <v>8456.0478459199203</v>
      </c>
      <c r="Y61" s="130">
        <f t="shared" si="102"/>
        <v>0</v>
      </c>
      <c r="Z61" s="131"/>
      <c r="AA61" s="130">
        <f t="shared" si="103"/>
        <v>0</v>
      </c>
      <c r="AB61" s="131"/>
      <c r="AC61" s="129">
        <v>2.5</v>
      </c>
      <c r="AD61" s="130">
        <f t="shared" si="104"/>
        <v>0</v>
      </c>
      <c r="AE61" s="130">
        <f t="shared" ca="1" si="105"/>
        <v>73990.418651799293</v>
      </c>
      <c r="AF61" s="35">
        <f t="shared" ca="1" si="106"/>
        <v>0</v>
      </c>
      <c r="AG61" s="73">
        <f t="shared" ca="1" si="106"/>
        <v>11056.039568659664</v>
      </c>
      <c r="AH61" s="35">
        <f t="shared" ca="1" si="107"/>
        <v>0</v>
      </c>
      <c r="AI61" s="35">
        <f t="shared" ca="1" si="107"/>
        <v>85046.458220458953</v>
      </c>
      <c r="AJ61" s="35">
        <f t="shared" ca="1" si="108"/>
        <v>0</v>
      </c>
      <c r="AK61" s="73">
        <f t="shared" ca="1" si="108"/>
        <v>25513.937466137686</v>
      </c>
      <c r="AL61" s="35">
        <f t="shared" ca="1" si="109"/>
        <v>0</v>
      </c>
      <c r="AM61" s="73">
        <f t="shared" ca="1" si="110"/>
        <v>110560.39568659663</v>
      </c>
      <c r="AN61" s="32"/>
      <c r="AO61" s="32"/>
      <c r="AP61" s="79"/>
      <c r="AQ61" s="37"/>
      <c r="AR61" s="37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>
        <f t="shared" ca="1" si="111"/>
        <v>110560.39568659663</v>
      </c>
      <c r="BJ61" s="36">
        <f t="shared" ca="1" si="112"/>
        <v>1105.6039568659662</v>
      </c>
      <c r="BK61" s="38">
        <f t="shared" si="113"/>
        <v>2</v>
      </c>
      <c r="BL61" s="38"/>
      <c r="BM61" s="39"/>
    </row>
    <row r="62" spans="1:65" x14ac:dyDescent="0.2">
      <c r="A62" s="20">
        <v>5</v>
      </c>
      <c r="B62" s="27" t="s">
        <v>103</v>
      </c>
      <c r="C62" s="29">
        <v>10</v>
      </c>
      <c r="D62" s="30" t="s">
        <v>120</v>
      </c>
      <c r="E62" s="31" t="s">
        <v>215</v>
      </c>
      <c r="F62" s="28" t="s">
        <v>111</v>
      </c>
      <c r="G62" s="144">
        <v>139.48235294117649</v>
      </c>
      <c r="H62" s="81">
        <v>40389</v>
      </c>
      <c r="I62" s="81">
        <v>40397</v>
      </c>
      <c r="J62" s="83">
        <f t="shared" si="96"/>
        <v>19.926050420168071</v>
      </c>
      <c r="K62" s="32">
        <v>3.5</v>
      </c>
      <c r="L62" s="33">
        <f t="shared" si="97"/>
        <v>39.852100840336142</v>
      </c>
      <c r="M62" s="34"/>
      <c r="N62" s="34">
        <v>2</v>
      </c>
      <c r="O62" s="35">
        <f t="shared" si="98"/>
        <v>0</v>
      </c>
      <c r="P62" s="35">
        <f t="shared" si="99"/>
        <v>278.96470588235297</v>
      </c>
      <c r="Q62" s="34"/>
      <c r="R62" s="33"/>
      <c r="S62" s="34">
        <v>3</v>
      </c>
      <c r="T62" s="83">
        <f ca="1">IF(AND(N62&gt;0,P62&gt;0),SUMIF('Исходные данные'!$C$13:$J$29,S62,'Исходные данные'!$C$33:$J$39),IF(N62=0,0,IF(S62=0,"РОТ")))</f>
        <v>113.60344652812975</v>
      </c>
      <c r="U62" s="130">
        <f>O62*R62*'Исходные данные'!$C$37%</f>
        <v>0</v>
      </c>
      <c r="V62" s="130">
        <f ca="1">P62*T62*'Исходные данные'!$C$38%</f>
        <v>0</v>
      </c>
      <c r="W62" s="130">
        <f t="shared" si="100"/>
        <v>0</v>
      </c>
      <c r="X62" s="131">
        <f t="shared" ca="1" si="101"/>
        <v>12676.540819176531</v>
      </c>
      <c r="Y62" s="130">
        <f t="shared" si="102"/>
        <v>0</v>
      </c>
      <c r="Z62" s="131"/>
      <c r="AA62" s="130">
        <f t="shared" si="103"/>
        <v>0</v>
      </c>
      <c r="AB62" s="131"/>
      <c r="AC62" s="129">
        <v>2.5</v>
      </c>
      <c r="AD62" s="130">
        <f t="shared" si="104"/>
        <v>0</v>
      </c>
      <c r="AE62" s="130">
        <f t="shared" ca="1" si="105"/>
        <v>110919.73216779465</v>
      </c>
      <c r="AF62" s="35">
        <f t="shared" ca="1" si="106"/>
        <v>0</v>
      </c>
      <c r="AG62" s="73">
        <f t="shared" ca="1" si="106"/>
        <v>16574.212852658969</v>
      </c>
      <c r="AH62" s="35">
        <f t="shared" ca="1" si="107"/>
        <v>0</v>
      </c>
      <c r="AI62" s="35">
        <f t="shared" ca="1" si="107"/>
        <v>127493.94502045361</v>
      </c>
      <c r="AJ62" s="35">
        <f t="shared" ca="1" si="108"/>
        <v>0</v>
      </c>
      <c r="AK62" s="73">
        <f t="shared" ca="1" si="108"/>
        <v>38248.183506136083</v>
      </c>
      <c r="AL62" s="35">
        <f t="shared" ca="1" si="109"/>
        <v>0</v>
      </c>
      <c r="AM62" s="73">
        <f t="shared" ca="1" si="110"/>
        <v>165742.12852658969</v>
      </c>
      <c r="AN62" s="32"/>
      <c r="AO62" s="32"/>
      <c r="AP62" s="79"/>
      <c r="AQ62" s="37"/>
      <c r="AR62" s="37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>
        <f t="shared" ca="1" si="111"/>
        <v>165742.12852658969</v>
      </c>
      <c r="BJ62" s="36">
        <f t="shared" ca="1" si="112"/>
        <v>1657.4212852658968</v>
      </c>
      <c r="BK62" s="38">
        <f t="shared" si="113"/>
        <v>2.7896470588235296</v>
      </c>
      <c r="BL62" s="38"/>
      <c r="BM62" s="39"/>
    </row>
    <row r="63" spans="1:65" x14ac:dyDescent="0.2">
      <c r="A63" s="20">
        <v>6</v>
      </c>
      <c r="B63" s="27" t="s">
        <v>97</v>
      </c>
      <c r="C63" s="29">
        <v>10</v>
      </c>
      <c r="D63" s="30" t="s">
        <v>120</v>
      </c>
      <c r="E63" s="31" t="s">
        <v>206</v>
      </c>
      <c r="F63" s="28" t="s">
        <v>111</v>
      </c>
      <c r="G63" s="144">
        <v>139.48235294117649</v>
      </c>
      <c r="H63" s="81">
        <v>40397</v>
      </c>
      <c r="I63" s="81">
        <v>40405</v>
      </c>
      <c r="J63" s="83">
        <f t="shared" si="96"/>
        <v>19.926050420168071</v>
      </c>
      <c r="K63" s="32">
        <v>7</v>
      </c>
      <c r="L63" s="33">
        <f t="shared" si="97"/>
        <v>19.926050420168071</v>
      </c>
      <c r="M63" s="34"/>
      <c r="N63" s="34">
        <v>1</v>
      </c>
      <c r="O63" s="35">
        <f t="shared" si="98"/>
        <v>0</v>
      </c>
      <c r="P63" s="35">
        <f t="shared" si="99"/>
        <v>139.48235294117649</v>
      </c>
      <c r="Q63" s="34"/>
      <c r="R63" s="33"/>
      <c r="S63" s="34">
        <v>3</v>
      </c>
      <c r="T63" s="83">
        <f ca="1">IF(AND(N63&gt;0,P63&gt;0),SUMIF('Исходные данные'!$C$13:$J$29,S63,'Исходные данные'!$C$33:$J$39),IF(N63=0,0,IF(S63=0,"РОТ")))</f>
        <v>113.60344652812975</v>
      </c>
      <c r="U63" s="130">
        <f>O63*R63*'Исходные данные'!$C$37%</f>
        <v>0</v>
      </c>
      <c r="V63" s="130">
        <f ca="1">P63*T63*'Исходные данные'!$C$38%</f>
        <v>0</v>
      </c>
      <c r="W63" s="130">
        <f t="shared" si="100"/>
        <v>0</v>
      </c>
      <c r="X63" s="131">
        <f t="shared" ca="1" si="101"/>
        <v>6338.2704095882655</v>
      </c>
      <c r="Y63" s="130">
        <f t="shared" si="102"/>
        <v>0</v>
      </c>
      <c r="Z63" s="131"/>
      <c r="AA63" s="130">
        <f t="shared" si="103"/>
        <v>0</v>
      </c>
      <c r="AB63" s="131"/>
      <c r="AC63" s="129">
        <v>2.5</v>
      </c>
      <c r="AD63" s="130">
        <f t="shared" si="104"/>
        <v>0</v>
      </c>
      <c r="AE63" s="130">
        <f t="shared" ca="1" si="105"/>
        <v>55459.866083897323</v>
      </c>
      <c r="AF63" s="35">
        <f t="shared" ca="1" si="106"/>
        <v>0</v>
      </c>
      <c r="AG63" s="73">
        <f t="shared" ca="1" si="106"/>
        <v>8287.1064263294847</v>
      </c>
      <c r="AH63" s="35">
        <f t="shared" ca="1" si="107"/>
        <v>0</v>
      </c>
      <c r="AI63" s="35">
        <f t="shared" ca="1" si="107"/>
        <v>63746.972510226806</v>
      </c>
      <c r="AJ63" s="35">
        <f t="shared" ca="1" si="108"/>
        <v>0</v>
      </c>
      <c r="AK63" s="73">
        <f t="shared" ca="1" si="108"/>
        <v>19124.091753068042</v>
      </c>
      <c r="AL63" s="35">
        <f t="shared" ca="1" si="109"/>
        <v>0</v>
      </c>
      <c r="AM63" s="73">
        <f t="shared" ca="1" si="110"/>
        <v>82871.064263294844</v>
      </c>
      <c r="AN63" s="32"/>
      <c r="AO63" s="32"/>
      <c r="AP63" s="79"/>
      <c r="AQ63" s="37"/>
      <c r="AR63" s="37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>
        <f t="shared" ca="1" si="111"/>
        <v>82871.064263294844</v>
      </c>
      <c r="BJ63" s="36">
        <f t="shared" ca="1" si="112"/>
        <v>828.71064263294841</v>
      </c>
      <c r="BK63" s="38">
        <f t="shared" si="113"/>
        <v>1.3948235294117648</v>
      </c>
      <c r="BL63" s="38"/>
      <c r="BM63" s="39"/>
    </row>
    <row r="64" spans="1:65" x14ac:dyDescent="0.2">
      <c r="A64" s="20">
        <v>7</v>
      </c>
      <c r="B64" s="27" t="s">
        <v>98</v>
      </c>
      <c r="C64" s="29">
        <v>10</v>
      </c>
      <c r="D64" s="30" t="s">
        <v>120</v>
      </c>
      <c r="E64" s="31" t="s">
        <v>206</v>
      </c>
      <c r="F64" s="28" t="s">
        <v>111</v>
      </c>
      <c r="G64" s="144">
        <v>139.48235294117649</v>
      </c>
      <c r="H64" s="81">
        <v>40397</v>
      </c>
      <c r="I64" s="81">
        <v>40410</v>
      </c>
      <c r="J64" s="83">
        <f t="shared" si="96"/>
        <v>12.680213903743317</v>
      </c>
      <c r="K64" s="32">
        <v>11</v>
      </c>
      <c r="L64" s="33">
        <f t="shared" si="97"/>
        <v>12.680213903743317</v>
      </c>
      <c r="M64" s="34"/>
      <c r="N64" s="34">
        <v>1</v>
      </c>
      <c r="O64" s="35">
        <f t="shared" si="98"/>
        <v>0</v>
      </c>
      <c r="P64" s="35">
        <f t="shared" si="99"/>
        <v>88.761497326203212</v>
      </c>
      <c r="Q64" s="34"/>
      <c r="R64" s="33"/>
      <c r="S64" s="34">
        <v>2</v>
      </c>
      <c r="T64" s="83">
        <f ca="1">IF(AND(N64&gt;0,P64&gt;0),SUMIF('Исходные данные'!$C$13:$J$29,S64,'Исходные данные'!$C$33:$J$39),IF(N64=0,0,IF(S64=0,"РОТ")))</f>
        <v>105.700598073999</v>
      </c>
      <c r="U64" s="130">
        <f>O64*R64*'Исходные данные'!$C$37%</f>
        <v>0</v>
      </c>
      <c r="V64" s="130">
        <f ca="1">P64*T64*'Исходные данные'!$C$38%</f>
        <v>0</v>
      </c>
      <c r="W64" s="130">
        <f t="shared" si="100"/>
        <v>0</v>
      </c>
      <c r="X64" s="131">
        <f t="shared" ca="1" si="101"/>
        <v>3752.8573413293375</v>
      </c>
      <c r="Y64" s="130">
        <f t="shared" si="102"/>
        <v>0</v>
      </c>
      <c r="Z64" s="131"/>
      <c r="AA64" s="130">
        <f t="shared" si="103"/>
        <v>0</v>
      </c>
      <c r="AB64" s="131"/>
      <c r="AC64" s="129">
        <v>2.5</v>
      </c>
      <c r="AD64" s="130">
        <f t="shared" si="104"/>
        <v>0</v>
      </c>
      <c r="AE64" s="130">
        <f t="shared" ca="1" si="105"/>
        <v>32837.501736631704</v>
      </c>
      <c r="AF64" s="35">
        <f t="shared" ca="1" si="106"/>
        <v>0</v>
      </c>
      <c r="AG64" s="73">
        <f t="shared" ca="1" si="106"/>
        <v>4906.7531330599095</v>
      </c>
      <c r="AH64" s="35">
        <f t="shared" ca="1" si="107"/>
        <v>0</v>
      </c>
      <c r="AI64" s="35">
        <f t="shared" ca="1" si="107"/>
        <v>37744.254869691613</v>
      </c>
      <c r="AJ64" s="35">
        <f t="shared" ca="1" si="108"/>
        <v>0</v>
      </c>
      <c r="AK64" s="73">
        <f t="shared" ca="1" si="108"/>
        <v>11323.276460907484</v>
      </c>
      <c r="AL64" s="35">
        <f t="shared" ca="1" si="109"/>
        <v>0</v>
      </c>
      <c r="AM64" s="73">
        <f t="shared" ca="1" si="110"/>
        <v>49067.5313305991</v>
      </c>
      <c r="AN64" s="32"/>
      <c r="AO64" s="32"/>
      <c r="AP64" s="79"/>
      <c r="AQ64" s="37"/>
      <c r="AR64" s="37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>
        <f t="shared" ca="1" si="111"/>
        <v>49067.5313305991</v>
      </c>
      <c r="BJ64" s="36">
        <f t="shared" ca="1" si="112"/>
        <v>490.67531330599098</v>
      </c>
      <c r="BK64" s="38">
        <f t="shared" si="113"/>
        <v>0.88761497326203209</v>
      </c>
      <c r="BL64" s="38"/>
      <c r="BM64" s="39"/>
    </row>
    <row r="65" spans="1:65" s="62" customFormat="1" x14ac:dyDescent="0.2">
      <c r="A65" s="59"/>
      <c r="B65" s="53" t="s">
        <v>22</v>
      </c>
      <c r="C65" s="53"/>
      <c r="D65" s="53"/>
      <c r="E65" s="53"/>
      <c r="F65" s="60"/>
      <c r="G65" s="61"/>
      <c r="H65" s="61"/>
      <c r="I65" s="61"/>
      <c r="J65" s="57">
        <f>SUM(J58:J64)</f>
        <v>385.27040998217467</v>
      </c>
      <c r="K65" s="57"/>
      <c r="L65" s="57">
        <f t="shared" ref="L65:BM65" si="114">SUM(L58:L64)</f>
        <v>405.19646040234278</v>
      </c>
      <c r="M65" s="57">
        <f t="shared" si="114"/>
        <v>0</v>
      </c>
      <c r="N65" s="57">
        <f t="shared" si="114"/>
        <v>8</v>
      </c>
      <c r="O65" s="57">
        <f t="shared" si="114"/>
        <v>0</v>
      </c>
      <c r="P65" s="57">
        <f t="shared" si="114"/>
        <v>2836.3752228163999</v>
      </c>
      <c r="Q65" s="57"/>
      <c r="R65" s="57"/>
      <c r="S65" s="57"/>
      <c r="T65" s="57"/>
      <c r="U65" s="57">
        <f t="shared" si="114"/>
        <v>0</v>
      </c>
      <c r="V65" s="57">
        <f t="shared" ca="1" si="114"/>
        <v>0</v>
      </c>
      <c r="W65" s="57">
        <f t="shared" si="114"/>
        <v>0</v>
      </c>
      <c r="X65" s="57">
        <f t="shared" ca="1" si="114"/>
        <v>129301.35858529943</v>
      </c>
      <c r="Y65" s="57">
        <f t="shared" si="114"/>
        <v>0</v>
      </c>
      <c r="Z65" s="57">
        <f t="shared" si="114"/>
        <v>0</v>
      </c>
      <c r="AA65" s="57">
        <f t="shared" si="114"/>
        <v>0</v>
      </c>
      <c r="AB65" s="57">
        <f t="shared" si="114"/>
        <v>0</v>
      </c>
      <c r="AC65" s="57"/>
      <c r="AD65" s="57">
        <f t="shared" si="114"/>
        <v>0</v>
      </c>
      <c r="AE65" s="57">
        <f t="shared" ca="1" si="114"/>
        <v>1131386.8876213699</v>
      </c>
      <c r="AF65" s="57">
        <f t="shared" ca="1" si="114"/>
        <v>0</v>
      </c>
      <c r="AG65" s="57">
        <f t="shared" ca="1" si="114"/>
        <v>169057.81079399784</v>
      </c>
      <c r="AH65" s="57">
        <f t="shared" ca="1" si="114"/>
        <v>0</v>
      </c>
      <c r="AI65" s="57">
        <f t="shared" ca="1" si="114"/>
        <v>1300444.6984153676</v>
      </c>
      <c r="AJ65" s="57">
        <f t="shared" ca="1" si="114"/>
        <v>0</v>
      </c>
      <c r="AK65" s="57">
        <f t="shared" ca="1" si="114"/>
        <v>390133.40952461027</v>
      </c>
      <c r="AL65" s="57">
        <f t="shared" ca="1" si="114"/>
        <v>0</v>
      </c>
      <c r="AM65" s="57">
        <f t="shared" ca="1" si="114"/>
        <v>1690578.1079399781</v>
      </c>
      <c r="AN65" s="57"/>
      <c r="AO65" s="57"/>
      <c r="AP65" s="57">
        <f t="shared" si="114"/>
        <v>0</v>
      </c>
      <c r="AQ65" s="57"/>
      <c r="AR65" s="57"/>
      <c r="AS65" s="57">
        <f t="shared" si="114"/>
        <v>0</v>
      </c>
      <c r="AT65" s="57"/>
      <c r="AU65" s="57"/>
      <c r="AV65" s="57"/>
      <c r="AW65" s="57"/>
      <c r="AX65" s="57"/>
      <c r="AY65" s="57">
        <f t="shared" si="114"/>
        <v>0</v>
      </c>
      <c r="AZ65" s="57"/>
      <c r="BA65" s="57">
        <f t="shared" si="114"/>
        <v>0</v>
      </c>
      <c r="BB65" s="57"/>
      <c r="BC65" s="57">
        <f t="shared" si="114"/>
        <v>0</v>
      </c>
      <c r="BD65" s="57"/>
      <c r="BE65" s="57">
        <f t="shared" si="114"/>
        <v>0</v>
      </c>
      <c r="BF65" s="57"/>
      <c r="BG65" s="57">
        <f t="shared" si="114"/>
        <v>0</v>
      </c>
      <c r="BH65" s="57">
        <f t="shared" si="114"/>
        <v>0</v>
      </c>
      <c r="BI65" s="57">
        <f t="shared" ca="1" si="114"/>
        <v>1690578.1079399781</v>
      </c>
      <c r="BJ65" s="57"/>
      <c r="BK65" s="57"/>
      <c r="BL65" s="57"/>
      <c r="BM65" s="57">
        <f t="shared" si="114"/>
        <v>0</v>
      </c>
    </row>
    <row r="66" spans="1:65" s="51" customFormat="1" x14ac:dyDescent="0.2">
      <c r="A66" s="48"/>
      <c r="B66" s="58" t="s">
        <v>30</v>
      </c>
      <c r="C66" s="58"/>
      <c r="D66" s="58"/>
      <c r="E66" s="58"/>
      <c r="F66" s="49"/>
      <c r="G66" s="50"/>
      <c r="H66" s="50"/>
      <c r="I66" s="50"/>
      <c r="J66" s="78">
        <f>J26+J36+J46+J56+J65</f>
        <v>947.92006105769747</v>
      </c>
      <c r="K66" s="78"/>
      <c r="L66" s="78">
        <f t="shared" ref="L66:BM66" si="115">L26+L36+L46+L56+L65</f>
        <v>987.21866049747337</v>
      </c>
      <c r="M66" s="78">
        <f t="shared" si="115"/>
        <v>17</v>
      </c>
      <c r="N66" s="78">
        <f t="shared" si="115"/>
        <v>26</v>
      </c>
      <c r="O66" s="78">
        <f t="shared" si="115"/>
        <v>844.20623581478844</v>
      </c>
      <c r="P66" s="78">
        <f t="shared" si="115"/>
        <v>6303.895414026787</v>
      </c>
      <c r="Q66" s="78"/>
      <c r="R66" s="78"/>
      <c r="S66" s="78"/>
      <c r="T66" s="78"/>
      <c r="U66" s="78">
        <f t="shared" ca="1" si="115"/>
        <v>0</v>
      </c>
      <c r="V66" s="78">
        <f t="shared" ca="1" si="115"/>
        <v>0</v>
      </c>
      <c r="W66" s="78">
        <f t="shared" ca="1" si="115"/>
        <v>54797.002323863773</v>
      </c>
      <c r="X66" s="78">
        <f t="shared" ca="1" si="115"/>
        <v>283338.5523852614</v>
      </c>
      <c r="Y66" s="78">
        <f t="shared" ca="1" si="115"/>
        <v>19178.950813352327</v>
      </c>
      <c r="Z66" s="78">
        <f t="shared" ca="1" si="115"/>
        <v>26956.508914993341</v>
      </c>
      <c r="AA66" s="78">
        <f t="shared" ca="1" si="115"/>
        <v>13699.250580965943</v>
      </c>
      <c r="AB66" s="78">
        <f t="shared" ca="1" si="115"/>
        <v>38509.298449990485</v>
      </c>
      <c r="AC66" s="78"/>
      <c r="AD66" s="78">
        <f t="shared" ca="1" si="115"/>
        <v>561669.27381960372</v>
      </c>
      <c r="AE66" s="78">
        <f t="shared" ca="1" si="115"/>
        <v>2642876.8517834963</v>
      </c>
      <c r="AF66" s="78">
        <f t="shared" ca="1" si="115"/>
        <v>83927.592639710885</v>
      </c>
      <c r="AG66" s="78">
        <f t="shared" ca="1" si="115"/>
        <v>394912.63302512019</v>
      </c>
      <c r="AH66" s="78">
        <f t="shared" ca="1" si="115"/>
        <v>645596.86645931471</v>
      </c>
      <c r="AI66" s="78">
        <f t="shared" ca="1" si="115"/>
        <v>3037789.4848086163</v>
      </c>
      <c r="AJ66" s="78">
        <f t="shared" ca="1" si="115"/>
        <v>193679.0599377944</v>
      </c>
      <c r="AK66" s="78">
        <f t="shared" ca="1" si="115"/>
        <v>911336.84544258483</v>
      </c>
      <c r="AL66" s="78">
        <f t="shared" ca="1" si="115"/>
        <v>839275.92639710905</v>
      </c>
      <c r="AM66" s="78">
        <f t="shared" ca="1" si="115"/>
        <v>3949126.3302512015</v>
      </c>
      <c r="AN66" s="78"/>
      <c r="AO66" s="78"/>
      <c r="AP66" s="78">
        <f t="shared" si="115"/>
        <v>44.049649411764705</v>
      </c>
      <c r="AQ66" s="78"/>
      <c r="AR66" s="78"/>
      <c r="AS66" s="78" t="e">
        <f t="shared" si="115"/>
        <v>#REF!</v>
      </c>
      <c r="AT66" s="78"/>
      <c r="AU66" s="78">
        <f>AU26+AU36+AU46+AU56+AU65</f>
        <v>301.39534883720938</v>
      </c>
      <c r="AV66" s="78"/>
      <c r="AW66" s="78">
        <f>AW26+AW36+AW46+AW56+AW65</f>
        <v>301395.3488372094</v>
      </c>
      <c r="AX66" s="78"/>
      <c r="AY66" s="78">
        <f t="shared" si="115"/>
        <v>20427.607051648003</v>
      </c>
      <c r="AZ66" s="78"/>
      <c r="BA66" s="78">
        <f t="shared" si="115"/>
        <v>12968.777514488955</v>
      </c>
      <c r="BB66" s="78"/>
      <c r="BC66" s="78">
        <f t="shared" si="115"/>
        <v>47190.093747302053</v>
      </c>
      <c r="BD66" s="78"/>
      <c r="BE66" s="78">
        <f t="shared" si="115"/>
        <v>7960.4648432948852</v>
      </c>
      <c r="BF66" s="78"/>
      <c r="BG66" s="78">
        <f t="shared" si="115"/>
        <v>3027.7622304518964</v>
      </c>
      <c r="BH66" s="78">
        <f t="shared" si="115"/>
        <v>895072.51928146183</v>
      </c>
      <c r="BI66" s="78" t="e">
        <f t="shared" ca="1" si="115"/>
        <v>#REF!</v>
      </c>
      <c r="BJ66" s="78"/>
      <c r="BK66" s="78"/>
      <c r="BL66" s="78"/>
      <c r="BM66" s="78">
        <f t="shared" si="115"/>
        <v>572.69531246725785</v>
      </c>
    </row>
  </sheetData>
  <mergeCells count="104">
    <mergeCell ref="B19:E19"/>
    <mergeCell ref="B27:E27"/>
    <mergeCell ref="B37:E37"/>
    <mergeCell ref="B47:E47"/>
    <mergeCell ref="B57:E57"/>
    <mergeCell ref="BC16:BC17"/>
    <mergeCell ref="BB16:BB17"/>
    <mergeCell ref="AU15:AU17"/>
    <mergeCell ref="AV15:AV17"/>
    <mergeCell ref="AW15:AW17"/>
    <mergeCell ref="B18:E18"/>
    <mergeCell ref="AJ16:AJ17"/>
    <mergeCell ref="AK16:AK17"/>
    <mergeCell ref="AH15:AH17"/>
    <mergeCell ref="AI15:AI17"/>
    <mergeCell ref="AJ15:AK15"/>
    <mergeCell ref="AA15:AB15"/>
    <mergeCell ref="AC15:AC17"/>
    <mergeCell ref="AD15:AD17"/>
    <mergeCell ref="AE15:AE17"/>
    <mergeCell ref="AY16:AY17"/>
    <mergeCell ref="AZ16:AZ17"/>
    <mergeCell ref="BA16:BA17"/>
    <mergeCell ref="AO15:AO17"/>
    <mergeCell ref="C16:C17"/>
    <mergeCell ref="D16:D17"/>
    <mergeCell ref="E16:E17"/>
    <mergeCell ref="O16:O17"/>
    <mergeCell ref="P16:P17"/>
    <mergeCell ref="Q16:Q17"/>
    <mergeCell ref="R16:R17"/>
    <mergeCell ref="S16:S17"/>
    <mergeCell ref="T16:T17"/>
    <mergeCell ref="AT15:AT17"/>
    <mergeCell ref="W16:W17"/>
    <mergeCell ref="AA16:AA17"/>
    <mergeCell ref="AB16:AB17"/>
    <mergeCell ref="AF16:AF17"/>
    <mergeCell ref="AG16:AG17"/>
    <mergeCell ref="Z16:Z17"/>
    <mergeCell ref="X16:X17"/>
    <mergeCell ref="BM15:BM17"/>
    <mergeCell ref="BD15:BE15"/>
    <mergeCell ref="BF15:BG15"/>
    <mergeCell ref="BH15:BH17"/>
    <mergeCell ref="BI15:BI17"/>
    <mergeCell ref="BJ15:BJ17"/>
    <mergeCell ref="BL15:BL17"/>
    <mergeCell ref="BD16:BD17"/>
    <mergeCell ref="BE16:BE17"/>
    <mergeCell ref="BF16:BF17"/>
    <mergeCell ref="BG16:BG17"/>
    <mergeCell ref="AX15:AY15"/>
    <mergeCell ref="AZ15:BA15"/>
    <mergeCell ref="BB15:BC15"/>
    <mergeCell ref="AX16:AX17"/>
    <mergeCell ref="O15:P15"/>
    <mergeCell ref="S15:T15"/>
    <mergeCell ref="U15:U17"/>
    <mergeCell ref="W13:X14"/>
    <mergeCell ref="Y13:Z14"/>
    <mergeCell ref="BI13:BJ14"/>
    <mergeCell ref="BK13:BK17"/>
    <mergeCell ref="BL13:BM14"/>
    <mergeCell ref="BB13:BH14"/>
    <mergeCell ref="AF13:AG14"/>
    <mergeCell ref="AH13:AI14"/>
    <mergeCell ref="AL15:AL17"/>
    <mergeCell ref="AM15:AM17"/>
    <mergeCell ref="AN15:AN17"/>
    <mergeCell ref="AF15:AG15"/>
    <mergeCell ref="AJ13:AK14"/>
    <mergeCell ref="AL13:AM14"/>
    <mergeCell ref="AN13:AS14"/>
    <mergeCell ref="AT13:AW14"/>
    <mergeCell ref="AX13:BA14"/>
    <mergeCell ref="AP15:AP17"/>
    <mergeCell ref="AQ15:AQ17"/>
    <mergeCell ref="AR15:AR17"/>
    <mergeCell ref="AS15:AS17"/>
    <mergeCell ref="AA13:AB14"/>
    <mergeCell ref="AC13:AE14"/>
    <mergeCell ref="A13:A17"/>
    <mergeCell ref="B13:E14"/>
    <mergeCell ref="F13:F17"/>
    <mergeCell ref="G13:G17"/>
    <mergeCell ref="H13:I14"/>
    <mergeCell ref="J13:J17"/>
    <mergeCell ref="K13:K17"/>
    <mergeCell ref="L13:L17"/>
    <mergeCell ref="M13:N14"/>
    <mergeCell ref="M15:M17"/>
    <mergeCell ref="N15:N17"/>
    <mergeCell ref="B15:B17"/>
    <mergeCell ref="C15:E15"/>
    <mergeCell ref="H15:H17"/>
    <mergeCell ref="I15:I17"/>
    <mergeCell ref="O13:P14"/>
    <mergeCell ref="Q13:T14"/>
    <mergeCell ref="U13:V14"/>
    <mergeCell ref="Q15:R15"/>
    <mergeCell ref="Y16:Y17"/>
    <mergeCell ref="W15:X15"/>
    <mergeCell ref="V15:V17"/>
  </mergeCells>
  <conditionalFormatting sqref="AP20:AP25 AS38:AW40 AS28:AW35 AP28:AP35 AP38:AP40 AX37:AX40 AN57:BM64 AR41:AX45 AN41:AP45 AQ44:AQ45 U58:AM64 U20:AM25 U28:AM35 U38:AM45 AY19:BM25 H19:I66 U48:AM55 AX27:BM36 AS20:AX25 J65:BM66 K27 K19 K37 K47 G65:G66 G19 G26:G27 G36:G37 G46:G47 G56:G57 R37 R27 R19 J19:J64 T27:T33 T19:T22 T37:T40 T47:AM47 U27:AW27 T57:AM57 K36:T36 U19:AX19 K57 U36:AW37 K56:BM56 T25 S19:S25 K26:BM26 S27:S35 O19:P19 R41:R45 S37:S45 O27:P27 K46:BM46 O37:P37 O47:P47 O57:P57 L19:N25 Q19:Q25 L27:N35 Q27:Q35 L37:N45 Q37:Q45 L47:N55 Q47:S55 L57:N64 Q57:S64 AY37:BM45 AN47:AN55 AO51:AO55 AO47 AP47:AP55 AS47:BM55 AQ47:AR47 AQ51:AR55">
    <cfRule type="cellIs" dxfId="11" priority="9" stopIfTrue="1" operator="greaterThan">
      <formula>0</formula>
    </cfRule>
  </conditionalFormatting>
  <conditionalFormatting sqref="AN20:AN25 AN28:AN35 AN38:AN40 K20:K25 K28:K35 K38:K45 K48:K55 K58:K64">
    <cfRule type="cellIs" dxfId="10" priority="10" stopIfTrue="1" operator="greaterThan">
      <formula>0</formula>
    </cfRule>
  </conditionalFormatting>
  <conditionalFormatting sqref="E48:E55 E28:E35 E58:E64 E38:E45 E20:E25">
    <cfRule type="cellIs" dxfId="9" priority="11" stopIfTrue="1" operator="equal">
      <formula>0</formula>
    </cfRule>
  </conditionalFormatting>
  <conditionalFormatting sqref="O20:P25 O28:P35 O38:P45 O48:P55 O58:P64">
    <cfRule type="cellIs" dxfId="8" priority="12" stopIfTrue="1" operator="greaterThan">
      <formula>0</formula>
    </cfRule>
  </conditionalFormatting>
  <conditionalFormatting sqref="AT31:AW31">
    <cfRule type="cellIs" dxfId="7" priority="8" stopIfTrue="1" operator="greaterThan">
      <formula>0</formula>
    </cfRule>
  </conditionalFormatting>
  <conditionalFormatting sqref="K58:K64">
    <cfRule type="cellIs" dxfId="6" priority="7" stopIfTrue="1" operator="greaterThan">
      <formula>0</formula>
    </cfRule>
  </conditionalFormatting>
  <conditionalFormatting sqref="S58:S64">
    <cfRule type="cellIs" dxfId="5" priority="6" stopIfTrue="1" operator="greaterThan">
      <formula>0</formula>
    </cfRule>
  </conditionalFormatting>
  <conditionalFormatting sqref="AN48:AN50">
    <cfRule type="cellIs" dxfId="4" priority="5" stopIfTrue="1" operator="greaterThan">
      <formula>0</formula>
    </cfRule>
  </conditionalFormatting>
  <conditionalFormatting sqref="AN48:AN50">
    <cfRule type="cellIs" dxfId="3" priority="4" stopIfTrue="1" operator="greaterThan">
      <formula>0</formula>
    </cfRule>
  </conditionalFormatting>
  <conditionalFormatting sqref="AN48:AN50">
    <cfRule type="cellIs" dxfId="2" priority="3" stopIfTrue="1" operator="greaterThan">
      <formula>0</formula>
    </cfRule>
  </conditionalFormatting>
  <conditionalFormatting sqref="AN48:AN50">
    <cfRule type="cellIs" dxfId="1" priority="2" stopIfTrue="1" operator="greaterThan">
      <formula>0</formula>
    </cfRule>
  </conditionalFormatting>
  <conditionalFormatting sqref="AN48:AN50">
    <cfRule type="cellIs" dxfId="0" priority="1" stopIfTrue="1" operator="greaterThan">
      <formula>0</formula>
    </cfRule>
  </conditionalFormatting>
  <dataValidations count="2">
    <dataValidation type="list" allowBlank="1" showInputMessage="1" showErrorMessage="1" sqref="AQ41:AQ43">
      <formula1>$B$107:$B$110</formula1>
    </dataValidation>
    <dataValidation type="list" allowBlank="1" showInputMessage="1" showErrorMessage="1" sqref="AQ27:AR27 AQ57:AR64 AQ51:AR55">
      <formula1>#REF!</formula1>
    </dataValidation>
  </dataValidations>
  <pageMargins left="0.19685039370078741" right="0.19685039370078741" top="0.19685039370078741" bottom="0.19685039370078741" header="0.19685039370078741" footer="0.19685039370078741"/>
  <pageSetup paperSize="9" scale="54" fitToWidth="5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3" workbookViewId="0">
      <selection sqref="A1:I1"/>
    </sheetView>
  </sheetViews>
  <sheetFormatPr defaultRowHeight="12.75" x14ac:dyDescent="0.2"/>
  <cols>
    <col min="1" max="1" width="3.28515625" customWidth="1"/>
    <col min="2" max="2" width="21.42578125" customWidth="1"/>
  </cols>
  <sheetData>
    <row r="1" spans="1:9" x14ac:dyDescent="0.2">
      <c r="A1" s="536" t="s">
        <v>439</v>
      </c>
      <c r="B1" s="536"/>
      <c r="C1" s="536"/>
      <c r="D1" s="536"/>
      <c r="E1" s="536"/>
      <c r="F1" s="536"/>
      <c r="G1" s="536"/>
      <c r="H1" s="536"/>
      <c r="I1" s="536"/>
    </row>
    <row r="2" spans="1:9" ht="15" x14ac:dyDescent="0.2">
      <c r="A2" s="149"/>
      <c r="B2" s="149"/>
      <c r="C2" s="149"/>
      <c r="D2" s="149"/>
      <c r="E2" s="149"/>
      <c r="F2" s="149"/>
      <c r="G2" s="149"/>
      <c r="H2" s="149"/>
      <c r="I2" s="150" t="s">
        <v>440</v>
      </c>
    </row>
    <row r="3" spans="1:9" ht="38.25" x14ac:dyDescent="0.2">
      <c r="A3" s="127" t="s">
        <v>441</v>
      </c>
      <c r="B3" s="143" t="s">
        <v>442</v>
      </c>
      <c r="C3" s="143">
        <v>2011</v>
      </c>
      <c r="D3" s="143">
        <v>2012</v>
      </c>
      <c r="E3" s="143">
        <v>2013</v>
      </c>
      <c r="F3" s="143">
        <v>2014</v>
      </c>
      <c r="G3" s="143">
        <v>2015</v>
      </c>
      <c r="H3" s="143" t="s">
        <v>443</v>
      </c>
      <c r="I3" s="143" t="s">
        <v>444</v>
      </c>
    </row>
    <row r="4" spans="1:9" x14ac:dyDescent="0.2">
      <c r="A4" s="152"/>
      <c r="B4" s="153" t="s">
        <v>445</v>
      </c>
      <c r="C4" s="154">
        <v>1.1599999999999999</v>
      </c>
      <c r="D4" s="154">
        <v>1.1599999999999999</v>
      </c>
      <c r="E4" s="154">
        <v>1.04</v>
      </c>
      <c r="F4" s="154">
        <v>1.26</v>
      </c>
      <c r="G4" s="154">
        <v>1.18</v>
      </c>
      <c r="H4" s="154">
        <v>1.18</v>
      </c>
      <c r="I4" s="126">
        <v>1.1599999999999999</v>
      </c>
    </row>
    <row r="5" spans="1:9" x14ac:dyDescent="0.2">
      <c r="A5" s="127">
        <v>1</v>
      </c>
      <c r="B5" s="128" t="s">
        <v>446</v>
      </c>
      <c r="C5" s="127">
        <v>1.6</v>
      </c>
      <c r="D5" s="127">
        <v>1.5</v>
      </c>
      <c r="E5" s="127">
        <v>1.2</v>
      </c>
      <c r="F5" s="127">
        <v>1.3</v>
      </c>
      <c r="G5" s="127">
        <v>1.4</v>
      </c>
      <c r="H5" s="127">
        <v>1.4</v>
      </c>
      <c r="I5" s="155"/>
    </row>
    <row r="6" spans="1:9" x14ac:dyDescent="0.2">
      <c r="A6" s="127">
        <v>2</v>
      </c>
      <c r="B6" s="128" t="s">
        <v>447</v>
      </c>
      <c r="C6" s="127">
        <v>0.7</v>
      </c>
      <c r="D6" s="127">
        <v>0.8</v>
      </c>
      <c r="E6" s="127">
        <v>1</v>
      </c>
      <c r="F6" s="127">
        <v>1</v>
      </c>
      <c r="G6" s="127">
        <v>1</v>
      </c>
      <c r="H6" s="127">
        <v>1</v>
      </c>
      <c r="I6" s="126">
        <v>0.91</v>
      </c>
    </row>
    <row r="7" spans="1:9" x14ac:dyDescent="0.2">
      <c r="A7" s="127">
        <v>3</v>
      </c>
      <c r="B7" s="128" t="s">
        <v>448</v>
      </c>
      <c r="C7" s="127">
        <v>1.6</v>
      </c>
      <c r="D7" s="127">
        <v>1.8</v>
      </c>
      <c r="E7" s="127">
        <v>1.4</v>
      </c>
      <c r="F7" s="127">
        <v>2.2999999999999998</v>
      </c>
      <c r="G7" s="127">
        <v>1.6</v>
      </c>
      <c r="H7" s="127">
        <v>1.6</v>
      </c>
      <c r="I7" s="126">
        <v>1.74</v>
      </c>
    </row>
    <row r="8" spans="1:9" x14ac:dyDescent="0.2">
      <c r="A8" s="127">
        <v>4</v>
      </c>
      <c r="B8" s="128" t="s">
        <v>449</v>
      </c>
      <c r="C8" s="127">
        <v>0.5</v>
      </c>
      <c r="D8" s="127">
        <v>0.7</v>
      </c>
      <c r="E8" s="127">
        <v>1.2</v>
      </c>
      <c r="F8" s="127">
        <v>1.6</v>
      </c>
      <c r="G8" s="127">
        <v>1.1000000000000001</v>
      </c>
      <c r="H8" s="127">
        <v>1.1000000000000001</v>
      </c>
      <c r="I8" s="126">
        <v>1.04</v>
      </c>
    </row>
    <row r="9" spans="1:9" x14ac:dyDescent="0.2">
      <c r="A9" s="127">
        <v>5</v>
      </c>
      <c r="B9" s="128" t="s">
        <v>450</v>
      </c>
      <c r="C9" s="156"/>
      <c r="D9" s="156"/>
      <c r="E9" s="156"/>
      <c r="F9" s="156"/>
      <c r="G9" s="156"/>
      <c r="H9" s="156"/>
      <c r="I9" s="155">
        <v>0</v>
      </c>
    </row>
    <row r="10" spans="1:9" x14ac:dyDescent="0.2">
      <c r="A10" s="127">
        <v>6</v>
      </c>
      <c r="B10" s="128" t="s">
        <v>451</v>
      </c>
      <c r="C10" s="127">
        <v>1</v>
      </c>
      <c r="D10" s="127">
        <v>1.5</v>
      </c>
      <c r="E10" s="127">
        <v>0.5</v>
      </c>
      <c r="F10" s="127">
        <v>1.4</v>
      </c>
      <c r="G10" s="127">
        <v>1.5</v>
      </c>
      <c r="H10" s="127">
        <v>1.5</v>
      </c>
      <c r="I10" s="126">
        <v>1.2</v>
      </c>
    </row>
    <row r="11" spans="1:9" x14ac:dyDescent="0.2">
      <c r="A11" s="127">
        <v>7</v>
      </c>
      <c r="B11" s="128" t="s">
        <v>452</v>
      </c>
      <c r="C11" s="127">
        <v>1</v>
      </c>
      <c r="D11" s="127">
        <v>1.2</v>
      </c>
      <c r="E11" s="127">
        <v>0.9</v>
      </c>
      <c r="F11" s="127">
        <v>1.2</v>
      </c>
      <c r="G11" s="127">
        <v>1.3</v>
      </c>
      <c r="H11" s="127">
        <v>1.3</v>
      </c>
      <c r="I11" s="126">
        <v>1.1200000000000001</v>
      </c>
    </row>
    <row r="12" spans="1:9" x14ac:dyDescent="0.2">
      <c r="A12" s="127">
        <v>8</v>
      </c>
      <c r="B12" s="128" t="s">
        <v>453</v>
      </c>
      <c r="C12" s="127">
        <v>1.3</v>
      </c>
      <c r="D12" s="127">
        <v>0.9</v>
      </c>
      <c r="E12" s="127">
        <v>1</v>
      </c>
      <c r="F12" s="127">
        <v>1</v>
      </c>
      <c r="G12" s="127">
        <v>0.7</v>
      </c>
      <c r="H12" s="127">
        <v>0.7</v>
      </c>
      <c r="I12" s="126">
        <v>0.97</v>
      </c>
    </row>
    <row r="13" spans="1:9" x14ac:dyDescent="0.2">
      <c r="A13" s="127">
        <v>9</v>
      </c>
      <c r="B13" s="128" t="s">
        <v>454</v>
      </c>
      <c r="C13" s="127">
        <v>1.4</v>
      </c>
      <c r="D13" s="127">
        <v>1.4</v>
      </c>
      <c r="E13" s="127">
        <v>1.1000000000000001</v>
      </c>
      <c r="F13" s="127">
        <v>1.3</v>
      </c>
      <c r="G13" s="127">
        <v>1.2</v>
      </c>
      <c r="H13" s="127">
        <v>1.2</v>
      </c>
      <c r="I13" s="126">
        <v>1.28</v>
      </c>
    </row>
    <row r="14" spans="1:9" x14ac:dyDescent="0.2">
      <c r="A14" s="127">
        <v>10</v>
      </c>
      <c r="B14" s="128" t="s">
        <v>455</v>
      </c>
      <c r="C14" s="127">
        <v>1.7</v>
      </c>
      <c r="D14" s="127">
        <v>1.8</v>
      </c>
      <c r="E14" s="127">
        <v>0.9</v>
      </c>
      <c r="F14" s="127">
        <v>1.7</v>
      </c>
      <c r="G14" s="127">
        <v>1</v>
      </c>
      <c r="H14" s="127">
        <v>1</v>
      </c>
      <c r="I14" s="126">
        <v>1.41</v>
      </c>
    </row>
    <row r="15" spans="1:9" x14ac:dyDescent="0.2">
      <c r="A15" s="127">
        <v>11</v>
      </c>
      <c r="B15" s="128" t="s">
        <v>456</v>
      </c>
      <c r="C15" s="127">
        <v>0.8</v>
      </c>
      <c r="D15" s="127">
        <v>0.9</v>
      </c>
      <c r="E15" s="127">
        <v>0.7</v>
      </c>
      <c r="F15" s="127">
        <v>1</v>
      </c>
      <c r="G15" s="127">
        <v>1</v>
      </c>
      <c r="H15" s="127">
        <v>1</v>
      </c>
      <c r="I15" s="126">
        <v>0.87</v>
      </c>
    </row>
    <row r="16" spans="1:9" x14ac:dyDescent="0.2">
      <c r="A16" s="127">
        <v>12</v>
      </c>
      <c r="B16" s="128" t="s">
        <v>457</v>
      </c>
      <c r="C16" s="127">
        <v>1.6</v>
      </c>
      <c r="D16" s="127">
        <v>1</v>
      </c>
      <c r="E16" s="127">
        <v>0.8</v>
      </c>
      <c r="F16" s="127">
        <v>0.9</v>
      </c>
      <c r="G16" s="127">
        <v>1.1000000000000001</v>
      </c>
      <c r="H16" s="127">
        <v>1.1000000000000001</v>
      </c>
      <c r="I16" s="126">
        <v>1.08</v>
      </c>
    </row>
    <row r="17" spans="1:9" x14ac:dyDescent="0.2">
      <c r="A17" s="127">
        <v>13</v>
      </c>
      <c r="B17" s="128" t="s">
        <v>458</v>
      </c>
      <c r="C17" s="127">
        <v>0.9</v>
      </c>
      <c r="D17" s="127">
        <v>1.3</v>
      </c>
      <c r="E17" s="127">
        <v>1.1000000000000001</v>
      </c>
      <c r="F17" s="127">
        <v>1.1000000000000001</v>
      </c>
      <c r="G17" s="127">
        <v>1.1000000000000001</v>
      </c>
      <c r="H17" s="127">
        <v>1.1000000000000001</v>
      </c>
      <c r="I17" s="126">
        <v>1.1000000000000001</v>
      </c>
    </row>
    <row r="18" spans="1:9" x14ac:dyDescent="0.2">
      <c r="A18" s="127">
        <v>14</v>
      </c>
      <c r="B18" s="128" t="s">
        <v>459</v>
      </c>
      <c r="C18" s="127">
        <v>2.2000000000000002</v>
      </c>
      <c r="D18" s="127">
        <v>1.8</v>
      </c>
      <c r="E18" s="127">
        <v>2</v>
      </c>
      <c r="F18" s="127">
        <v>2</v>
      </c>
      <c r="G18" s="127">
        <v>1.7</v>
      </c>
      <c r="H18" s="127">
        <v>1.7</v>
      </c>
      <c r="I18" s="126">
        <v>1.93</v>
      </c>
    </row>
    <row r="19" spans="1:9" x14ac:dyDescent="0.2">
      <c r="A19" s="127">
        <v>15</v>
      </c>
      <c r="B19" s="128" t="s">
        <v>460</v>
      </c>
      <c r="C19" s="127">
        <v>0.7</v>
      </c>
      <c r="D19" s="127">
        <v>0.7</v>
      </c>
      <c r="E19" s="127">
        <v>0.9</v>
      </c>
      <c r="F19" s="127">
        <v>1</v>
      </c>
      <c r="G19" s="127">
        <v>1</v>
      </c>
      <c r="H19" s="127">
        <v>1</v>
      </c>
      <c r="I19" s="126">
        <v>0.88</v>
      </c>
    </row>
    <row r="20" spans="1:9" x14ac:dyDescent="0.2">
      <c r="A20" s="127">
        <v>16</v>
      </c>
      <c r="B20" s="128" t="s">
        <v>461</v>
      </c>
      <c r="C20" s="127">
        <v>0.5</v>
      </c>
      <c r="D20" s="127">
        <v>0.5</v>
      </c>
      <c r="E20" s="127">
        <v>0.8</v>
      </c>
      <c r="F20" s="127">
        <v>0.8</v>
      </c>
      <c r="G20" s="127">
        <v>0.9</v>
      </c>
      <c r="H20" s="127">
        <v>0.9</v>
      </c>
      <c r="I20" s="126">
        <v>0.68</v>
      </c>
    </row>
    <row r="21" spans="1:9" x14ac:dyDescent="0.2">
      <c r="A21" s="127">
        <v>17</v>
      </c>
      <c r="B21" s="128" t="s">
        <v>462</v>
      </c>
      <c r="C21" s="127">
        <v>0.9</v>
      </c>
      <c r="D21" s="127">
        <v>0.8</v>
      </c>
      <c r="E21" s="127">
        <v>0.7</v>
      </c>
      <c r="F21" s="127">
        <v>0.9</v>
      </c>
      <c r="G21" s="127">
        <v>0.8</v>
      </c>
      <c r="H21" s="127">
        <v>0.8</v>
      </c>
      <c r="I21" s="126">
        <v>0.82</v>
      </c>
    </row>
    <row r="22" spans="1:9" x14ac:dyDescent="0.2">
      <c r="A22" s="127">
        <v>18</v>
      </c>
      <c r="B22" s="128" t="s">
        <v>463</v>
      </c>
      <c r="C22" s="127">
        <v>1.4</v>
      </c>
      <c r="D22" s="127">
        <v>1.2</v>
      </c>
      <c r="E22" s="127">
        <v>1.3</v>
      </c>
      <c r="F22" s="127">
        <v>1.2</v>
      </c>
      <c r="G22" s="127">
        <v>1.2</v>
      </c>
      <c r="H22" s="127">
        <v>1.2</v>
      </c>
      <c r="I22" s="126">
        <v>1.25</v>
      </c>
    </row>
    <row r="23" spans="1:9" x14ac:dyDescent="0.2">
      <c r="A23" s="127">
        <v>19</v>
      </c>
      <c r="B23" s="128" t="s">
        <v>464</v>
      </c>
      <c r="C23" s="127">
        <v>0.5</v>
      </c>
      <c r="D23" s="127">
        <v>0.5</v>
      </c>
      <c r="E23" s="127">
        <v>0.1</v>
      </c>
      <c r="F23" s="127">
        <v>0.1</v>
      </c>
      <c r="G23" s="127">
        <v>0.1</v>
      </c>
      <c r="H23" s="127">
        <v>0.1</v>
      </c>
      <c r="I23" s="126">
        <v>0.26</v>
      </c>
    </row>
    <row r="24" spans="1:9" x14ac:dyDescent="0.2">
      <c r="A24" s="127">
        <v>20</v>
      </c>
      <c r="B24" s="128" t="s">
        <v>465</v>
      </c>
      <c r="C24" s="127">
        <v>1.5</v>
      </c>
      <c r="D24" s="127">
        <v>1.8</v>
      </c>
      <c r="E24" s="127">
        <v>0.8</v>
      </c>
      <c r="F24" s="127">
        <v>1.4</v>
      </c>
      <c r="G24" s="127">
        <v>1.2</v>
      </c>
      <c r="H24" s="127">
        <v>1.2</v>
      </c>
      <c r="I24" s="126">
        <v>1.33</v>
      </c>
    </row>
    <row r="25" spans="1:9" x14ac:dyDescent="0.2">
      <c r="A25" s="127">
        <v>21</v>
      </c>
      <c r="B25" s="128" t="s">
        <v>466</v>
      </c>
      <c r="C25" s="127">
        <v>1.4</v>
      </c>
      <c r="D25" s="127">
        <v>1.4</v>
      </c>
      <c r="E25" s="127">
        <v>1.1000000000000001</v>
      </c>
      <c r="F25" s="127">
        <v>1.4</v>
      </c>
      <c r="G25" s="127">
        <v>1.2</v>
      </c>
      <c r="H25" s="127">
        <v>1.2</v>
      </c>
      <c r="I25" s="126">
        <v>1.29</v>
      </c>
    </row>
    <row r="26" spans="1:9" x14ac:dyDescent="0.2">
      <c r="A26" s="127">
        <v>22</v>
      </c>
      <c r="B26" s="128" t="s">
        <v>467</v>
      </c>
      <c r="C26" s="127">
        <v>1.3</v>
      </c>
      <c r="D26" s="127">
        <v>1.4</v>
      </c>
      <c r="E26" s="127">
        <v>1.5</v>
      </c>
      <c r="F26" s="127">
        <v>1.3</v>
      </c>
      <c r="G26" s="127">
        <v>1.6</v>
      </c>
      <c r="H26" s="127">
        <v>1.6</v>
      </c>
      <c r="I26" s="126">
        <v>1.42</v>
      </c>
    </row>
    <row r="27" spans="1:9" x14ac:dyDescent="0.2">
      <c r="A27" s="127">
        <v>23</v>
      </c>
      <c r="B27" s="128" t="s">
        <v>468</v>
      </c>
      <c r="C27" s="127">
        <v>0.7</v>
      </c>
      <c r="D27" s="127">
        <v>0.7</v>
      </c>
      <c r="E27" s="127">
        <v>1.1000000000000001</v>
      </c>
      <c r="F27" s="127">
        <v>0.6</v>
      </c>
      <c r="G27" s="127">
        <v>0.5</v>
      </c>
      <c r="H27" s="127">
        <v>0.5</v>
      </c>
      <c r="I27" s="126">
        <v>0.73</v>
      </c>
    </row>
    <row r="28" spans="1:9" x14ac:dyDescent="0.2">
      <c r="A28" s="127">
        <v>24</v>
      </c>
      <c r="B28" s="128" t="s">
        <v>469</v>
      </c>
      <c r="C28" s="127">
        <v>1.4</v>
      </c>
      <c r="D28" s="127">
        <v>1.3</v>
      </c>
      <c r="E28" s="127">
        <v>1.1000000000000001</v>
      </c>
      <c r="F28" s="127">
        <v>1.2</v>
      </c>
      <c r="G28" s="127">
        <v>1.1000000000000001</v>
      </c>
      <c r="H28" s="127">
        <v>1.1000000000000001</v>
      </c>
      <c r="I28" s="126">
        <v>1.21</v>
      </c>
    </row>
    <row r="29" spans="1:9" x14ac:dyDescent="0.2">
      <c r="A29" s="127">
        <v>25</v>
      </c>
      <c r="B29" s="128" t="s">
        <v>470</v>
      </c>
      <c r="C29" s="127">
        <v>1</v>
      </c>
      <c r="D29" s="127">
        <v>1</v>
      </c>
      <c r="E29" s="127">
        <v>0.9</v>
      </c>
      <c r="F29" s="127">
        <v>1.1000000000000001</v>
      </c>
      <c r="G29" s="127">
        <v>1</v>
      </c>
      <c r="H29" s="127">
        <v>1</v>
      </c>
      <c r="I29" s="126">
        <v>0.99</v>
      </c>
    </row>
    <row r="30" spans="1:9" x14ac:dyDescent="0.2">
      <c r="A30" s="157">
        <v>26</v>
      </c>
      <c r="B30" s="158" t="s">
        <v>471</v>
      </c>
      <c r="C30" s="127">
        <v>1.1000000000000001</v>
      </c>
      <c r="D30" s="127">
        <v>0.8</v>
      </c>
      <c r="E30" s="127">
        <v>1.1000000000000001</v>
      </c>
      <c r="F30" s="127">
        <v>1.1000000000000001</v>
      </c>
      <c r="G30" s="127">
        <v>1.5</v>
      </c>
      <c r="H30" s="127">
        <v>1.5</v>
      </c>
      <c r="I30" s="159">
        <v>1.1200000000000001</v>
      </c>
    </row>
    <row r="31" spans="1:9" x14ac:dyDescent="0.2">
      <c r="A31" s="127">
        <v>27</v>
      </c>
      <c r="B31" s="128" t="s">
        <v>472</v>
      </c>
      <c r="C31" s="127">
        <v>1</v>
      </c>
      <c r="D31" s="127">
        <v>0.8</v>
      </c>
      <c r="E31" s="127">
        <v>1</v>
      </c>
      <c r="F31" s="127">
        <v>1.1000000000000001</v>
      </c>
      <c r="G31" s="127">
        <v>0.9</v>
      </c>
      <c r="H31" s="127">
        <v>0.9</v>
      </c>
      <c r="I31" s="126">
        <v>0.95</v>
      </c>
    </row>
    <row r="32" spans="1:9" x14ac:dyDescent="0.2">
      <c r="A32" s="127">
        <v>28</v>
      </c>
      <c r="B32" s="128" t="s">
        <v>473</v>
      </c>
      <c r="C32" s="127">
        <v>0.9</v>
      </c>
      <c r="D32" s="127">
        <v>0.8</v>
      </c>
      <c r="E32" s="127">
        <v>0.8</v>
      </c>
      <c r="F32" s="127">
        <v>0.9</v>
      </c>
      <c r="G32" s="127">
        <v>0.9</v>
      </c>
      <c r="H32" s="127">
        <v>0.9</v>
      </c>
      <c r="I32" s="126">
        <v>0.86</v>
      </c>
    </row>
    <row r="33" spans="1:10" x14ac:dyDescent="0.2">
      <c r="A33" s="127">
        <v>29</v>
      </c>
      <c r="B33" s="128" t="s">
        <v>474</v>
      </c>
      <c r="C33" s="127">
        <v>1.7</v>
      </c>
      <c r="D33" s="127">
        <v>1.5</v>
      </c>
      <c r="E33" s="127">
        <v>1.6</v>
      </c>
      <c r="F33" s="127">
        <v>1.5</v>
      </c>
      <c r="G33" s="127">
        <v>1.5</v>
      </c>
      <c r="H33" s="127">
        <v>1.5</v>
      </c>
      <c r="I33" s="126">
        <v>1.56</v>
      </c>
    </row>
    <row r="34" spans="1:10" x14ac:dyDescent="0.2">
      <c r="A34" s="127">
        <v>30</v>
      </c>
      <c r="B34" s="128" t="s">
        <v>475</v>
      </c>
      <c r="C34" s="127">
        <v>0.6</v>
      </c>
      <c r="D34" s="127">
        <v>0.7</v>
      </c>
      <c r="E34" s="127">
        <v>0.7</v>
      </c>
      <c r="F34" s="127">
        <v>1.3</v>
      </c>
      <c r="G34" s="127">
        <v>1.1000000000000001</v>
      </c>
      <c r="H34" s="127">
        <v>1.1000000000000001</v>
      </c>
      <c r="I34" s="126">
        <v>0.88</v>
      </c>
    </row>
    <row r="35" spans="1:10" x14ac:dyDescent="0.2">
      <c r="A35" s="127">
        <v>31</v>
      </c>
      <c r="B35" s="128" t="s">
        <v>476</v>
      </c>
      <c r="C35" s="127">
        <v>1.5</v>
      </c>
      <c r="D35" s="127">
        <v>1.5</v>
      </c>
      <c r="E35" s="127">
        <v>1.4</v>
      </c>
      <c r="F35" s="127">
        <v>1.3</v>
      </c>
      <c r="G35" s="127">
        <v>1.3</v>
      </c>
      <c r="H35" s="127">
        <v>1.3</v>
      </c>
      <c r="I35" s="126">
        <v>1.43</v>
      </c>
    </row>
    <row r="36" spans="1:10" x14ac:dyDescent="0.2">
      <c r="A36" s="127">
        <v>32</v>
      </c>
      <c r="B36" s="128" t="s">
        <v>477</v>
      </c>
      <c r="C36" s="127">
        <v>0.5</v>
      </c>
      <c r="D36" s="127">
        <v>0.5</v>
      </c>
      <c r="E36" s="127">
        <v>1</v>
      </c>
      <c r="F36" s="127">
        <v>1.1000000000000001</v>
      </c>
      <c r="G36" s="127">
        <v>1.1000000000000001</v>
      </c>
      <c r="H36" s="127">
        <v>1.1000000000000001</v>
      </c>
      <c r="I36" s="126">
        <v>0.83</v>
      </c>
    </row>
    <row r="37" spans="1:10" x14ac:dyDescent="0.2">
      <c r="A37" s="127">
        <v>33</v>
      </c>
      <c r="B37" s="128" t="s">
        <v>478</v>
      </c>
      <c r="C37" s="127">
        <v>2.1</v>
      </c>
      <c r="D37" s="127">
        <v>2.1</v>
      </c>
      <c r="E37" s="127">
        <v>1</v>
      </c>
      <c r="F37" s="127">
        <v>1.4</v>
      </c>
      <c r="G37" s="127">
        <v>1.1000000000000001</v>
      </c>
      <c r="H37" s="127">
        <v>1.1000000000000001</v>
      </c>
      <c r="I37" s="126">
        <v>1.54</v>
      </c>
    </row>
    <row r="38" spans="1:10" x14ac:dyDescent="0.2">
      <c r="A38" s="127">
        <v>34</v>
      </c>
      <c r="B38" s="128" t="s">
        <v>479</v>
      </c>
      <c r="C38" s="127">
        <v>1.3</v>
      </c>
      <c r="D38" s="127">
        <v>1.3</v>
      </c>
      <c r="E38" s="127">
        <v>1.3</v>
      </c>
      <c r="F38" s="127">
        <v>1.3</v>
      </c>
      <c r="G38" s="127">
        <v>1.3</v>
      </c>
      <c r="H38" s="127">
        <v>1.3</v>
      </c>
      <c r="I38" s="126">
        <v>1.25</v>
      </c>
    </row>
    <row r="39" spans="1:10" x14ac:dyDescent="0.2">
      <c r="A39" s="127">
        <v>35</v>
      </c>
      <c r="B39" s="128" t="s">
        <v>480</v>
      </c>
      <c r="C39" s="127">
        <v>1.3</v>
      </c>
      <c r="D39" s="127">
        <v>1.4</v>
      </c>
      <c r="E39" s="127">
        <v>1.9</v>
      </c>
      <c r="F39" s="127">
        <v>1.3</v>
      </c>
      <c r="G39" s="127">
        <v>1.7</v>
      </c>
      <c r="H39" s="127">
        <v>1.7</v>
      </c>
      <c r="I39" s="126">
        <v>1.5</v>
      </c>
    </row>
    <row r="40" spans="1:10" x14ac:dyDescent="0.2">
      <c r="A40" s="127">
        <v>36</v>
      </c>
      <c r="B40" s="128" t="s">
        <v>481</v>
      </c>
      <c r="C40" s="127">
        <v>1.1000000000000001</v>
      </c>
      <c r="D40" s="127">
        <v>1.1000000000000001</v>
      </c>
      <c r="E40" s="127">
        <v>1</v>
      </c>
      <c r="F40" s="127">
        <v>2.9</v>
      </c>
      <c r="G40" s="127">
        <v>2.9</v>
      </c>
      <c r="H40" s="127">
        <v>2.9</v>
      </c>
      <c r="I40" s="126">
        <v>1.8</v>
      </c>
    </row>
    <row r="41" spans="1:10" ht="14.25" x14ac:dyDescent="0.2">
      <c r="A41" s="156"/>
      <c r="B41" s="160"/>
      <c r="C41" s="161"/>
      <c r="D41" s="156"/>
      <c r="E41" s="156"/>
      <c r="F41" s="156"/>
      <c r="G41" s="162"/>
      <c r="H41" s="163"/>
      <c r="I41" s="156"/>
    </row>
    <row r="42" spans="1:10" x14ac:dyDescent="0.2">
      <c r="A42" s="164"/>
      <c r="B42" s="152"/>
      <c r="C42" s="164"/>
      <c r="D42" s="164"/>
      <c r="E42" s="164"/>
      <c r="F42" s="164"/>
      <c r="G42" s="164"/>
      <c r="H42" s="165"/>
      <c r="I42" s="164"/>
    </row>
    <row r="43" spans="1:10" x14ac:dyDescent="0.2">
      <c r="A43" s="166"/>
      <c r="B43" s="167" t="s">
        <v>482</v>
      </c>
      <c r="C43" s="166"/>
      <c r="D43" s="166"/>
      <c r="E43" s="166"/>
      <c r="F43" s="166"/>
      <c r="G43" s="166"/>
      <c r="H43" s="166"/>
      <c r="I43" s="168">
        <v>1.11626817922616</v>
      </c>
      <c r="J43" s="80"/>
    </row>
    <row r="44" spans="1:10" x14ac:dyDescent="0.2">
      <c r="A44" s="165"/>
      <c r="B44" s="167" t="s">
        <v>483</v>
      </c>
      <c r="C44" s="165"/>
      <c r="D44" s="165"/>
      <c r="E44" s="165"/>
      <c r="F44" s="165"/>
      <c r="G44" s="165"/>
      <c r="H44" s="165"/>
      <c r="I44" s="168">
        <v>0.89749931824679419</v>
      </c>
      <c r="J44" s="80"/>
    </row>
    <row r="45" spans="1:10" x14ac:dyDescent="0.2">
      <c r="A45" s="166"/>
      <c r="B45" s="167" t="s">
        <v>484</v>
      </c>
      <c r="C45" s="166"/>
      <c r="D45" s="166"/>
      <c r="E45" s="166"/>
      <c r="F45" s="166"/>
      <c r="G45" s="166"/>
      <c r="H45" s="166"/>
      <c r="I45" s="168">
        <v>1.211841043637808</v>
      </c>
      <c r="J45" s="80"/>
    </row>
    <row r="46" spans="1:10" x14ac:dyDescent="0.2">
      <c r="A46" s="165"/>
      <c r="B46" s="167" t="s">
        <v>485</v>
      </c>
      <c r="C46" s="165"/>
      <c r="D46" s="165"/>
      <c r="E46" s="165"/>
      <c r="F46" s="165"/>
      <c r="G46" s="165"/>
      <c r="H46" s="165"/>
      <c r="I46" s="168">
        <v>1.1528532312613062</v>
      </c>
      <c r="J46" s="80"/>
    </row>
    <row r="47" spans="1:10" x14ac:dyDescent="0.2">
      <c r="A47" s="166"/>
      <c r="B47" s="167" t="s">
        <v>486</v>
      </c>
      <c r="C47" s="166"/>
      <c r="D47" s="166"/>
      <c r="E47" s="166"/>
      <c r="F47" s="166"/>
      <c r="G47" s="166"/>
      <c r="H47" s="166"/>
      <c r="I47" s="168">
        <v>1.2836269963281008</v>
      </c>
      <c r="J47" s="80"/>
    </row>
    <row r="48" spans="1:10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:10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2" zoomScale="60" zoomScaleNormal="100" workbookViewId="0">
      <selection activeCell="B17" sqref="B17"/>
    </sheetView>
  </sheetViews>
  <sheetFormatPr defaultColWidth="9.140625" defaultRowHeight="15.75" x14ac:dyDescent="0.25"/>
  <cols>
    <col min="1" max="1" width="44.85546875" style="70" customWidth="1"/>
    <col min="2" max="2" width="22.140625" style="70" customWidth="1"/>
    <col min="3" max="3" width="20" style="70" customWidth="1"/>
    <col min="4" max="4" width="9.140625" style="70"/>
    <col min="5" max="5" width="16.42578125" style="70" customWidth="1"/>
    <col min="6" max="6" width="14.5703125" style="70" bestFit="1" customWidth="1"/>
    <col min="7" max="7" width="12.28515625" style="70" customWidth="1"/>
    <col min="8" max="9" width="9.140625" style="70" hidden="1" customWidth="1"/>
    <col min="10" max="16384" width="9.140625" style="70"/>
  </cols>
  <sheetData>
    <row r="1" spans="1:4" hidden="1" x14ac:dyDescent="0.25"/>
    <row r="2" spans="1:4" hidden="1" x14ac:dyDescent="0.25">
      <c r="A2" s="437" t="s">
        <v>12</v>
      </c>
      <c r="B2" s="437"/>
      <c r="C2" s="437"/>
    </row>
    <row r="3" spans="1:4" hidden="1" x14ac:dyDescent="0.25"/>
    <row r="4" spans="1:4" hidden="1" x14ac:dyDescent="0.25"/>
    <row r="5" spans="1:4" hidden="1" x14ac:dyDescent="0.25"/>
    <row r="6" spans="1:4" hidden="1" x14ac:dyDescent="0.25">
      <c r="A6" s="245"/>
    </row>
    <row r="7" spans="1:4" hidden="1" x14ac:dyDescent="0.25"/>
    <row r="8" spans="1:4" hidden="1" x14ac:dyDescent="0.25"/>
    <row r="9" spans="1:4" hidden="1" x14ac:dyDescent="0.25"/>
    <row r="10" spans="1:4" hidden="1" x14ac:dyDescent="0.25"/>
    <row r="11" spans="1:4" hidden="1" x14ac:dyDescent="0.25"/>
    <row r="12" spans="1:4" x14ac:dyDescent="0.25">
      <c r="A12" s="438" t="s">
        <v>561</v>
      </c>
      <c r="B12" s="438"/>
      <c r="C12" s="438"/>
    </row>
    <row r="13" spans="1:4" x14ac:dyDescent="0.25">
      <c r="A13" s="248" t="s">
        <v>191</v>
      </c>
      <c r="B13" s="249"/>
      <c r="C13" s="249"/>
    </row>
    <row r="14" spans="1:4" s="251" customFormat="1" ht="15.75" customHeight="1" x14ac:dyDescent="0.25">
      <c r="A14" s="440" t="s">
        <v>557</v>
      </c>
      <c r="B14" s="439" t="s">
        <v>192</v>
      </c>
      <c r="C14" s="439"/>
      <c r="D14" s="391" t="s">
        <v>522</v>
      </c>
    </row>
    <row r="15" spans="1:4" s="251" customFormat="1" ht="15.75" customHeight="1" x14ac:dyDescent="0.25">
      <c r="A15" s="440"/>
      <c r="B15" s="389" t="s">
        <v>539</v>
      </c>
      <c r="C15" s="389" t="s">
        <v>540</v>
      </c>
      <c r="D15" s="391"/>
    </row>
    <row r="16" spans="1:4" x14ac:dyDescent="0.25">
      <c r="A16" s="392" t="s">
        <v>551</v>
      </c>
      <c r="B16" s="393">
        <v>1.5</v>
      </c>
      <c r="C16" s="389">
        <v>1.5</v>
      </c>
      <c r="D16" s="247">
        <v>28000</v>
      </c>
    </row>
    <row r="17" spans="1:4" ht="31.5" x14ac:dyDescent="0.25">
      <c r="A17" s="392" t="s">
        <v>523</v>
      </c>
      <c r="B17" s="433">
        <v>1</v>
      </c>
      <c r="C17" s="389">
        <v>1.5</v>
      </c>
      <c r="D17" s="247">
        <v>33700</v>
      </c>
    </row>
    <row r="18" spans="1:4" x14ac:dyDescent="0.25">
      <c r="A18" s="250" t="s">
        <v>543</v>
      </c>
      <c r="B18" s="393">
        <v>2</v>
      </c>
      <c r="C18" s="393">
        <v>2</v>
      </c>
      <c r="D18" s="390">
        <v>12500</v>
      </c>
    </row>
    <row r="19" spans="1:4" x14ac:dyDescent="0.25">
      <c r="A19" s="246" t="s">
        <v>552</v>
      </c>
      <c r="B19" s="393">
        <v>0.85</v>
      </c>
      <c r="C19" s="393">
        <v>0.85</v>
      </c>
      <c r="D19" s="246"/>
    </row>
    <row r="20" spans="1:4" x14ac:dyDescent="0.25">
      <c r="A20" s="239" t="s">
        <v>541</v>
      </c>
      <c r="B20" s="134"/>
      <c r="C20" s="134"/>
    </row>
    <row r="21" spans="1:4" x14ac:dyDescent="0.25">
      <c r="A21" s="435" t="s">
        <v>335</v>
      </c>
      <c r="B21" s="434" t="s">
        <v>536</v>
      </c>
      <c r="C21" s="434"/>
    </row>
    <row r="22" spans="1:4" x14ac:dyDescent="0.25">
      <c r="A22" s="436"/>
      <c r="B22" s="219" t="s">
        <v>539</v>
      </c>
      <c r="C22" s="219" t="s">
        <v>540</v>
      </c>
    </row>
    <row r="23" spans="1:4" x14ac:dyDescent="0.25">
      <c r="A23" s="220" t="s">
        <v>221</v>
      </c>
      <c r="B23" s="219">
        <v>80</v>
      </c>
      <c r="C23" s="219">
        <v>150</v>
      </c>
    </row>
    <row r="25" spans="1:4" x14ac:dyDescent="0.25">
      <c r="A25" s="248" t="s">
        <v>382</v>
      </c>
      <c r="B25" s="248"/>
      <c r="C25" s="248"/>
    </row>
    <row r="26" spans="1:4" x14ac:dyDescent="0.25">
      <c r="A26" s="246"/>
      <c r="B26" s="246" t="s">
        <v>384</v>
      </c>
      <c r="C26" s="246" t="s">
        <v>385</v>
      </c>
    </row>
    <row r="27" spans="1:4" x14ac:dyDescent="0.25">
      <c r="A27" s="246" t="s">
        <v>75</v>
      </c>
      <c r="B27" s="246">
        <v>2</v>
      </c>
      <c r="C27" s="246">
        <v>300</v>
      </c>
    </row>
    <row r="28" spans="1:4" x14ac:dyDescent="0.25">
      <c r="A28" s="246" t="s">
        <v>383</v>
      </c>
      <c r="B28" s="246">
        <f>B27</f>
        <v>2</v>
      </c>
      <c r="C28" s="246">
        <f>B27*C27</f>
        <v>600</v>
      </c>
    </row>
  </sheetData>
  <mergeCells count="6">
    <mergeCell ref="B21:C21"/>
    <mergeCell ref="A21:A22"/>
    <mergeCell ref="A2:C2"/>
    <mergeCell ref="A12:C12"/>
    <mergeCell ref="B14:C14"/>
    <mergeCell ref="A14:A15"/>
  </mergeCells>
  <pageMargins left="0.7" right="0.7" top="0.75" bottom="0.75" header="0.3" footer="0.3"/>
  <pageSetup paperSize="9" orientation="portrait" verticalDpi="0" r:id="rId1"/>
  <headerFooter>
    <oddFooter>&amp;LОтдел СЭР села ЯНИИСХ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view="pageBreakPreview" topLeftCell="A79" zoomScale="90" zoomScaleNormal="100" zoomScaleSheetLayoutView="90" workbookViewId="0">
      <selection activeCell="C143" sqref="C143"/>
    </sheetView>
  </sheetViews>
  <sheetFormatPr defaultColWidth="9.140625" defaultRowHeight="15.75" x14ac:dyDescent="0.25"/>
  <cols>
    <col min="1" max="1" width="40.5703125" style="71" customWidth="1"/>
    <col min="2" max="2" width="31.7109375" style="72" customWidth="1"/>
    <col min="3" max="3" width="14.140625" style="70" customWidth="1"/>
    <col min="4" max="4" width="16.140625" style="70" customWidth="1"/>
    <col min="5" max="5" width="13.5703125" style="70" customWidth="1"/>
    <col min="6" max="6" width="12.7109375" style="70" customWidth="1"/>
    <col min="7" max="7" width="12.85546875" style="70" customWidth="1"/>
    <col min="8" max="8" width="13.85546875" style="70" customWidth="1"/>
    <col min="9" max="10" width="9.140625" style="70"/>
    <col min="11" max="11" width="0" style="70" hidden="1" customWidth="1"/>
    <col min="12" max="16384" width="9.140625" style="70"/>
  </cols>
  <sheetData>
    <row r="1" spans="1:11" x14ac:dyDescent="0.25">
      <c r="A1" s="441" t="s">
        <v>547</v>
      </c>
      <c r="B1" s="441"/>
      <c r="C1" s="441"/>
      <c r="D1" s="441"/>
      <c r="E1" s="441"/>
      <c r="F1" s="441"/>
      <c r="G1" s="441"/>
      <c r="H1" s="441"/>
    </row>
    <row r="2" spans="1:11" x14ac:dyDescent="0.25">
      <c r="A2" s="191" t="s">
        <v>546</v>
      </c>
      <c r="B2" s="226"/>
      <c r="C2" s="222"/>
      <c r="D2" s="222"/>
      <c r="E2" s="222"/>
      <c r="F2" s="222"/>
    </row>
    <row r="3" spans="1:11" ht="31.5" x14ac:dyDescent="0.25">
      <c r="A3" s="227" t="s">
        <v>514</v>
      </c>
      <c r="B3" s="228">
        <f>B4*B9</f>
        <v>40605</v>
      </c>
      <c r="C3" s="228" t="s">
        <v>515</v>
      </c>
      <c r="D3" s="222"/>
      <c r="E3" s="222"/>
      <c r="F3" s="222"/>
    </row>
    <row r="4" spans="1:11" ht="47.25" customHeight="1" x14ac:dyDescent="0.25">
      <c r="A4" s="227" t="s">
        <v>630</v>
      </c>
      <c r="B4" s="229">
        <v>16242</v>
      </c>
      <c r="C4" s="228" t="s">
        <v>515</v>
      </c>
      <c r="D4" s="222"/>
      <c r="E4" s="222"/>
      <c r="F4" s="222"/>
    </row>
    <row r="5" spans="1:11" ht="31.5" x14ac:dyDescent="0.25">
      <c r="A5" s="230" t="s">
        <v>516</v>
      </c>
      <c r="B5" s="231">
        <v>1973</v>
      </c>
      <c r="C5" s="232" t="s">
        <v>517</v>
      </c>
      <c r="D5" s="222"/>
      <c r="E5" s="222"/>
      <c r="F5" s="222"/>
    </row>
    <row r="6" spans="1:11" x14ac:dyDescent="0.25">
      <c r="A6" s="230" t="s">
        <v>518</v>
      </c>
      <c r="B6" s="233">
        <f>B5/12</f>
        <v>164.41666666666666</v>
      </c>
      <c r="C6" s="232" t="s">
        <v>517</v>
      </c>
      <c r="D6" s="222"/>
      <c r="E6" s="222"/>
      <c r="F6" s="222"/>
    </row>
    <row r="7" spans="1:11" ht="31.5" customHeight="1" x14ac:dyDescent="0.25">
      <c r="A7" s="227" t="s">
        <v>631</v>
      </c>
      <c r="B7" s="234">
        <v>247</v>
      </c>
      <c r="C7" s="228" t="s">
        <v>519</v>
      </c>
      <c r="D7" s="222"/>
      <c r="E7" s="222"/>
      <c r="F7" s="222"/>
    </row>
    <row r="8" spans="1:11" ht="19.5" customHeight="1" x14ac:dyDescent="0.25">
      <c r="A8" s="230" t="s">
        <v>520</v>
      </c>
      <c r="B8" s="235">
        <f>B7/12</f>
        <v>20.583333333333332</v>
      </c>
      <c r="C8" s="232" t="s">
        <v>519</v>
      </c>
      <c r="D8" s="222"/>
      <c r="E8" s="222"/>
      <c r="F8" s="222"/>
    </row>
    <row r="9" spans="1:11" ht="18.75" customHeight="1" x14ac:dyDescent="0.25">
      <c r="A9" s="230" t="s">
        <v>19</v>
      </c>
      <c r="B9" s="225">
        <v>2.5</v>
      </c>
      <c r="C9" s="224"/>
      <c r="D9" s="222"/>
      <c r="E9" s="222"/>
      <c r="F9" s="222"/>
    </row>
    <row r="10" spans="1:11" x14ac:dyDescent="0.25">
      <c r="A10" s="236" t="s">
        <v>521</v>
      </c>
      <c r="B10" s="225">
        <f>B6/B8</f>
        <v>7.9878542510121457</v>
      </c>
      <c r="C10" s="224"/>
      <c r="D10" s="222"/>
      <c r="E10" s="222"/>
      <c r="F10" s="222"/>
    </row>
    <row r="11" spans="1:11" x14ac:dyDescent="0.25">
      <c r="A11" s="442" t="s">
        <v>157</v>
      </c>
      <c r="B11" s="442"/>
      <c r="C11" s="442"/>
      <c r="D11" s="442"/>
      <c r="E11" s="442"/>
      <c r="F11" s="442"/>
      <c r="G11" s="442"/>
      <c r="H11" s="442"/>
    </row>
    <row r="12" spans="1:11" s="134" customFormat="1" x14ac:dyDescent="0.2">
      <c r="A12" s="434" t="s">
        <v>158</v>
      </c>
      <c r="B12" s="434" t="s">
        <v>159</v>
      </c>
      <c r="C12" s="434" t="s">
        <v>160</v>
      </c>
      <c r="D12" s="434"/>
      <c r="E12" s="434"/>
      <c r="F12" s="434"/>
      <c r="G12" s="434"/>
      <c r="H12" s="434"/>
      <c r="J12" s="192"/>
    </row>
    <row r="13" spans="1:11" s="134" customFormat="1" x14ac:dyDescent="0.2">
      <c r="A13" s="434"/>
      <c r="B13" s="434"/>
      <c r="C13" s="219">
        <v>1</v>
      </c>
      <c r="D13" s="219">
        <v>2</v>
      </c>
      <c r="E13" s="219">
        <v>3</v>
      </c>
      <c r="F13" s="219">
        <v>4</v>
      </c>
      <c r="G13" s="219">
        <v>5</v>
      </c>
      <c r="H13" s="219">
        <v>6</v>
      </c>
    </row>
    <row r="14" spans="1:11" ht="17.25" customHeight="1" x14ac:dyDescent="0.25">
      <c r="A14" s="446" t="s">
        <v>411</v>
      </c>
      <c r="B14" s="67" t="s">
        <v>161</v>
      </c>
      <c r="C14" s="397">
        <v>1.18</v>
      </c>
      <c r="D14" s="397">
        <v>1.28</v>
      </c>
      <c r="E14" s="397">
        <v>1.4</v>
      </c>
      <c r="F14" s="397">
        <v>1.58</v>
      </c>
      <c r="G14" s="397">
        <v>1.82</v>
      </c>
      <c r="H14" s="397">
        <v>2.12</v>
      </c>
      <c r="K14" s="68">
        <v>666</v>
      </c>
    </row>
    <row r="15" spans="1:11" ht="16.5" customHeight="1" x14ac:dyDescent="0.25">
      <c r="A15" s="447"/>
      <c r="B15" s="69" t="s">
        <v>162</v>
      </c>
      <c r="C15" s="397">
        <f t="shared" ref="C15:H15" si="0">$B$3/$B$9*C14</f>
        <v>19165.559999999998</v>
      </c>
      <c r="D15" s="397">
        <f t="shared" si="0"/>
        <v>20789.760000000002</v>
      </c>
      <c r="E15" s="397">
        <f t="shared" si="0"/>
        <v>22738.799999999999</v>
      </c>
      <c r="F15" s="397">
        <f t="shared" si="0"/>
        <v>25662.36</v>
      </c>
      <c r="G15" s="397">
        <f t="shared" si="0"/>
        <v>29560.440000000002</v>
      </c>
      <c r="H15" s="397">
        <f t="shared" si="0"/>
        <v>34433.040000000001</v>
      </c>
    </row>
    <row r="16" spans="1:11" ht="33" customHeight="1" x14ac:dyDescent="0.25">
      <c r="A16" s="447"/>
      <c r="B16" s="69" t="s">
        <v>163</v>
      </c>
      <c r="C16" s="397">
        <f t="shared" ref="C16:H16" si="1">C15/$B$8</f>
        <v>931.12032388663965</v>
      </c>
      <c r="D16" s="397">
        <f t="shared" si="1"/>
        <v>1010.0288259109313</v>
      </c>
      <c r="E16" s="397">
        <f t="shared" si="1"/>
        <v>1104.719028340081</v>
      </c>
      <c r="F16" s="397">
        <f t="shared" si="1"/>
        <v>1246.7543319838057</v>
      </c>
      <c r="G16" s="397">
        <f t="shared" si="1"/>
        <v>1436.1347368421054</v>
      </c>
      <c r="H16" s="397">
        <f t="shared" si="1"/>
        <v>1672.8602429149798</v>
      </c>
    </row>
    <row r="17" spans="1:8" x14ac:dyDescent="0.25">
      <c r="A17" s="448"/>
      <c r="B17" s="69" t="s">
        <v>164</v>
      </c>
      <c r="C17" s="398">
        <f t="shared" ref="C17:H17" si="2">C15/$B$6</f>
        <v>116.56701469842878</v>
      </c>
      <c r="D17" s="398">
        <f t="shared" si="2"/>
        <v>126.44557526609226</v>
      </c>
      <c r="E17" s="398">
        <f t="shared" si="2"/>
        <v>138.29984794728838</v>
      </c>
      <c r="F17" s="398">
        <f t="shared" si="2"/>
        <v>156.08125696908263</v>
      </c>
      <c r="G17" s="398">
        <f t="shared" si="2"/>
        <v>179.78980233147493</v>
      </c>
      <c r="H17" s="398">
        <f t="shared" si="2"/>
        <v>209.42548403446528</v>
      </c>
    </row>
    <row r="18" spans="1:8" ht="15.75" customHeight="1" x14ac:dyDescent="0.25">
      <c r="A18" s="446" t="s">
        <v>409</v>
      </c>
      <c r="B18" s="67" t="s">
        <v>161</v>
      </c>
      <c r="C18" s="397">
        <v>1.3</v>
      </c>
      <c r="D18" s="397">
        <v>1.4</v>
      </c>
      <c r="E18" s="397">
        <v>1.56</v>
      </c>
      <c r="F18" s="397">
        <v>1.76</v>
      </c>
      <c r="G18" s="397">
        <v>2</v>
      </c>
      <c r="H18" s="397">
        <v>2.34</v>
      </c>
    </row>
    <row r="19" spans="1:8" x14ac:dyDescent="0.25">
      <c r="A19" s="447"/>
      <c r="B19" s="69" t="s">
        <v>162</v>
      </c>
      <c r="C19" s="397">
        <f t="shared" ref="C19:H19" si="3">$B$3/$B$9*C18</f>
        <v>21114.600000000002</v>
      </c>
      <c r="D19" s="397">
        <f t="shared" si="3"/>
        <v>22738.799999999999</v>
      </c>
      <c r="E19" s="397">
        <f t="shared" si="3"/>
        <v>25337.52</v>
      </c>
      <c r="F19" s="397">
        <f t="shared" si="3"/>
        <v>28585.920000000002</v>
      </c>
      <c r="G19" s="397">
        <f t="shared" si="3"/>
        <v>32484</v>
      </c>
      <c r="H19" s="397">
        <f t="shared" si="3"/>
        <v>38006.28</v>
      </c>
    </row>
    <row r="20" spans="1:8" ht="31.5" x14ac:dyDescent="0.25">
      <c r="A20" s="447"/>
      <c r="B20" s="69" t="s">
        <v>163</v>
      </c>
      <c r="C20" s="397">
        <f t="shared" ref="C20:H20" si="4">C19/$B$8</f>
        <v>1025.8105263157897</v>
      </c>
      <c r="D20" s="397">
        <f t="shared" si="4"/>
        <v>1104.719028340081</v>
      </c>
      <c r="E20" s="397">
        <f t="shared" si="4"/>
        <v>1230.9726315789474</v>
      </c>
      <c r="F20" s="397">
        <f t="shared" si="4"/>
        <v>1388.7896356275305</v>
      </c>
      <c r="G20" s="397">
        <f t="shared" si="4"/>
        <v>1578.17004048583</v>
      </c>
      <c r="H20" s="397">
        <f t="shared" si="4"/>
        <v>1846.4589473684211</v>
      </c>
    </row>
    <row r="21" spans="1:8" x14ac:dyDescent="0.25">
      <c r="A21" s="448"/>
      <c r="B21" s="69" t="s">
        <v>164</v>
      </c>
      <c r="C21" s="398">
        <f t="shared" ref="C21:H21" si="5">C19/$B$6</f>
        <v>128.42128737962497</v>
      </c>
      <c r="D21" s="398">
        <f t="shared" si="5"/>
        <v>138.29984794728838</v>
      </c>
      <c r="E21" s="398">
        <f t="shared" si="5"/>
        <v>154.10554485554994</v>
      </c>
      <c r="F21" s="398">
        <f t="shared" si="5"/>
        <v>173.86266599087685</v>
      </c>
      <c r="G21" s="398">
        <f t="shared" si="5"/>
        <v>197.57121135326915</v>
      </c>
      <c r="H21" s="398">
        <f t="shared" si="5"/>
        <v>231.15831728332489</v>
      </c>
    </row>
    <row r="22" spans="1:8" ht="15.75" customHeight="1" x14ac:dyDescent="0.25">
      <c r="A22" s="446" t="s">
        <v>410</v>
      </c>
      <c r="B22" s="67" t="s">
        <v>161</v>
      </c>
      <c r="C22" s="397">
        <v>1.44</v>
      </c>
      <c r="D22" s="397">
        <v>1.56</v>
      </c>
      <c r="E22" s="397">
        <v>1.72</v>
      </c>
      <c r="F22" s="397">
        <v>1.94</v>
      </c>
      <c r="G22" s="397">
        <v>2.2200000000000002</v>
      </c>
      <c r="H22" s="397">
        <v>2.58</v>
      </c>
    </row>
    <row r="23" spans="1:8" x14ac:dyDescent="0.25">
      <c r="A23" s="447"/>
      <c r="B23" s="69" t="s">
        <v>162</v>
      </c>
      <c r="C23" s="397">
        <f t="shared" ref="C23:H23" si="6">$B$3/$B$9*C22</f>
        <v>23388.48</v>
      </c>
      <c r="D23" s="397">
        <f t="shared" si="6"/>
        <v>25337.52</v>
      </c>
      <c r="E23" s="397">
        <f t="shared" si="6"/>
        <v>27936.239999999998</v>
      </c>
      <c r="F23" s="397">
        <f t="shared" si="6"/>
        <v>31509.48</v>
      </c>
      <c r="G23" s="397">
        <f t="shared" si="6"/>
        <v>36057.240000000005</v>
      </c>
      <c r="H23" s="397">
        <f t="shared" si="6"/>
        <v>41904.36</v>
      </c>
    </row>
    <row r="24" spans="1:8" ht="31.5" x14ac:dyDescent="0.25">
      <c r="A24" s="447"/>
      <c r="B24" s="69" t="s">
        <v>163</v>
      </c>
      <c r="C24" s="397">
        <f t="shared" ref="C24:H24" si="7">C23/$B$8</f>
        <v>1136.2824291497975</v>
      </c>
      <c r="D24" s="397">
        <f t="shared" si="7"/>
        <v>1230.9726315789474</v>
      </c>
      <c r="E24" s="397">
        <f t="shared" si="7"/>
        <v>1357.2262348178137</v>
      </c>
      <c r="F24" s="397">
        <f t="shared" si="7"/>
        <v>1530.8249392712551</v>
      </c>
      <c r="G24" s="397">
        <f t="shared" si="7"/>
        <v>1751.7687449392715</v>
      </c>
      <c r="H24" s="397">
        <f t="shared" si="7"/>
        <v>2035.8393522267208</v>
      </c>
    </row>
    <row r="25" spans="1:8" x14ac:dyDescent="0.25">
      <c r="A25" s="448"/>
      <c r="B25" s="69" t="s">
        <v>164</v>
      </c>
      <c r="C25" s="398">
        <f t="shared" ref="C25:H25" si="8">C23/$B$6</f>
        <v>142.25127217435377</v>
      </c>
      <c r="D25" s="398">
        <f t="shared" si="8"/>
        <v>154.10554485554994</v>
      </c>
      <c r="E25" s="398">
        <f t="shared" si="8"/>
        <v>169.91124176381146</v>
      </c>
      <c r="F25" s="398">
        <f t="shared" si="8"/>
        <v>191.64407501267107</v>
      </c>
      <c r="G25" s="398">
        <f t="shared" si="8"/>
        <v>219.30404460212878</v>
      </c>
      <c r="H25" s="398">
        <f t="shared" si="8"/>
        <v>254.86686264571719</v>
      </c>
    </row>
    <row r="26" spans="1:8" ht="16.5" customHeight="1" x14ac:dyDescent="0.25">
      <c r="A26" s="446" t="s">
        <v>412</v>
      </c>
      <c r="B26" s="67" t="s">
        <v>161</v>
      </c>
      <c r="C26" s="397">
        <v>1.0269999999999999</v>
      </c>
      <c r="D26" s="397">
        <v>1.1180000000000001</v>
      </c>
      <c r="E26" s="397">
        <v>1.2150000000000001</v>
      </c>
      <c r="F26" s="397">
        <v>1.343</v>
      </c>
      <c r="G26" s="397">
        <v>1.512</v>
      </c>
      <c r="H26" s="397">
        <v>1.7609999999999999</v>
      </c>
    </row>
    <row r="27" spans="1:8" x14ac:dyDescent="0.25">
      <c r="A27" s="447"/>
      <c r="B27" s="69" t="s">
        <v>162</v>
      </c>
      <c r="C27" s="397">
        <f t="shared" ref="C27:H27" si="9">$B$3/$B$9*C26</f>
        <v>16680.534</v>
      </c>
      <c r="D27" s="397">
        <f t="shared" si="9"/>
        <v>18158.556</v>
      </c>
      <c r="E27" s="397">
        <f t="shared" si="9"/>
        <v>19734.030000000002</v>
      </c>
      <c r="F27" s="397">
        <f t="shared" si="9"/>
        <v>21813.006000000001</v>
      </c>
      <c r="G27" s="397">
        <f t="shared" si="9"/>
        <v>24557.903999999999</v>
      </c>
      <c r="H27" s="397">
        <f t="shared" si="9"/>
        <v>28602.161999999997</v>
      </c>
    </row>
    <row r="28" spans="1:8" ht="20.25" customHeight="1" x14ac:dyDescent="0.25">
      <c r="A28" s="447"/>
      <c r="B28" s="69" t="s">
        <v>163</v>
      </c>
      <c r="C28" s="397">
        <f t="shared" ref="C28:H28" si="10">C27/$B$8</f>
        <v>810.39031578947368</v>
      </c>
      <c r="D28" s="397">
        <f t="shared" si="10"/>
        <v>882.19705263157903</v>
      </c>
      <c r="E28" s="397">
        <f t="shared" si="10"/>
        <v>958.73829959514183</v>
      </c>
      <c r="F28" s="397">
        <f t="shared" si="10"/>
        <v>1059.7411821862349</v>
      </c>
      <c r="G28" s="397">
        <f t="shared" si="10"/>
        <v>1193.0965506072876</v>
      </c>
      <c r="H28" s="397">
        <f t="shared" si="10"/>
        <v>1389.5787206477733</v>
      </c>
    </row>
    <row r="29" spans="1:8" x14ac:dyDescent="0.25">
      <c r="A29" s="447"/>
      <c r="B29" s="133" t="s">
        <v>164</v>
      </c>
      <c r="C29" s="398">
        <f t="shared" ref="C29:H29" si="11">C27/$B$6</f>
        <v>101.4528170299037</v>
      </c>
      <c r="D29" s="398">
        <f t="shared" si="11"/>
        <v>110.44230714647746</v>
      </c>
      <c r="E29" s="398">
        <f t="shared" si="11"/>
        <v>120.02451089711101</v>
      </c>
      <c r="F29" s="398">
        <f t="shared" si="11"/>
        <v>132.66906842372023</v>
      </c>
      <c r="G29" s="398">
        <f t="shared" si="11"/>
        <v>149.36383578307147</v>
      </c>
      <c r="H29" s="398">
        <f t="shared" si="11"/>
        <v>173.96145159655347</v>
      </c>
    </row>
    <row r="30" spans="1:8" ht="16.5" customHeight="1" x14ac:dyDescent="0.25">
      <c r="A30" s="446" t="s">
        <v>413</v>
      </c>
      <c r="B30" s="67" t="s">
        <v>161</v>
      </c>
      <c r="C30" s="397">
        <v>1</v>
      </c>
      <c r="D30" s="397">
        <v>1.07</v>
      </c>
      <c r="E30" s="397">
        <v>1.1499999999999999</v>
      </c>
      <c r="F30" s="397">
        <v>1.25</v>
      </c>
      <c r="G30" s="397">
        <v>1.38</v>
      </c>
      <c r="H30" s="397">
        <v>1.58</v>
      </c>
    </row>
    <row r="31" spans="1:8" x14ac:dyDescent="0.25">
      <c r="A31" s="447"/>
      <c r="B31" s="69" t="s">
        <v>162</v>
      </c>
      <c r="C31" s="397">
        <f t="shared" ref="C31:H31" si="12">$B$3/$B$9*C30</f>
        <v>16242</v>
      </c>
      <c r="D31" s="397">
        <f t="shared" si="12"/>
        <v>17378.940000000002</v>
      </c>
      <c r="E31" s="397">
        <f t="shared" si="12"/>
        <v>18678.3</v>
      </c>
      <c r="F31" s="397">
        <f t="shared" si="12"/>
        <v>20302.5</v>
      </c>
      <c r="G31" s="397">
        <f t="shared" si="12"/>
        <v>22413.96</v>
      </c>
      <c r="H31" s="397">
        <f t="shared" si="12"/>
        <v>25662.36</v>
      </c>
    </row>
    <row r="32" spans="1:8" ht="31.5" x14ac:dyDescent="0.25">
      <c r="A32" s="447"/>
      <c r="B32" s="69" t="s">
        <v>163</v>
      </c>
      <c r="C32" s="397">
        <f t="shared" ref="C32:H32" si="13">C31/$B$8</f>
        <v>789.08502024291499</v>
      </c>
      <c r="D32" s="397">
        <f t="shared" si="13"/>
        <v>844.32097165991922</v>
      </c>
      <c r="E32" s="397">
        <f t="shared" si="13"/>
        <v>907.44777327935219</v>
      </c>
      <c r="F32" s="397">
        <f t="shared" si="13"/>
        <v>986.35627530364377</v>
      </c>
      <c r="G32" s="397">
        <f t="shared" si="13"/>
        <v>1088.9373279352226</v>
      </c>
      <c r="H32" s="397">
        <f t="shared" si="13"/>
        <v>1246.7543319838057</v>
      </c>
    </row>
    <row r="33" spans="1:8" x14ac:dyDescent="0.25">
      <c r="A33" s="448"/>
      <c r="B33" s="220" t="s">
        <v>164</v>
      </c>
      <c r="C33" s="398">
        <f t="shared" ref="C33:H33" si="14">C31/$B$6</f>
        <v>98.785605676634574</v>
      </c>
      <c r="D33" s="398">
        <f t="shared" si="14"/>
        <v>105.700598073999</v>
      </c>
      <c r="E33" s="398">
        <f t="shared" si="14"/>
        <v>113.60344652812975</v>
      </c>
      <c r="F33" s="398">
        <f t="shared" si="14"/>
        <v>123.48200709579322</v>
      </c>
      <c r="G33" s="398">
        <f t="shared" si="14"/>
        <v>136.32413583375569</v>
      </c>
      <c r="H33" s="398">
        <f t="shared" si="14"/>
        <v>156.08125696908263</v>
      </c>
    </row>
    <row r="35" spans="1:8" x14ac:dyDescent="0.25">
      <c r="A35" s="449" t="s">
        <v>167</v>
      </c>
      <c r="B35" s="449"/>
      <c r="C35" s="449"/>
      <c r="D35" s="449"/>
    </row>
    <row r="36" spans="1:8" ht="75.75" customHeight="1" x14ac:dyDescent="0.25">
      <c r="A36" s="434" t="s">
        <v>168</v>
      </c>
      <c r="B36" s="434"/>
      <c r="C36" s="434" t="s">
        <v>173</v>
      </c>
      <c r="D36" s="434"/>
    </row>
    <row r="37" spans="1:8" ht="32.25" customHeight="1" x14ac:dyDescent="0.25">
      <c r="A37" s="454" t="s">
        <v>169</v>
      </c>
      <c r="B37" s="454"/>
      <c r="C37" s="452"/>
      <c r="D37" s="452"/>
      <c r="E37" s="70">
        <v>26</v>
      </c>
    </row>
    <row r="38" spans="1:8" ht="31.5" customHeight="1" x14ac:dyDescent="0.25">
      <c r="A38" s="454" t="s">
        <v>170</v>
      </c>
      <c r="B38" s="454"/>
      <c r="C38" s="452"/>
      <c r="D38" s="452"/>
      <c r="E38" s="70">
        <v>27</v>
      </c>
    </row>
    <row r="39" spans="1:8" ht="60.75" customHeight="1" x14ac:dyDescent="0.25">
      <c r="A39" s="454" t="s">
        <v>171</v>
      </c>
      <c r="B39" s="454"/>
      <c r="C39" s="452"/>
      <c r="D39" s="452"/>
      <c r="E39" s="70">
        <v>28</v>
      </c>
    </row>
    <row r="40" spans="1:8" ht="28.5" customHeight="1" x14ac:dyDescent="0.25">
      <c r="A40" s="454" t="s">
        <v>174</v>
      </c>
      <c r="B40" s="454"/>
      <c r="C40" s="452">
        <v>30</v>
      </c>
      <c r="D40" s="452"/>
      <c r="E40" s="70">
        <v>29</v>
      </c>
    </row>
    <row r="41" spans="1:8" ht="29.25" customHeight="1" x14ac:dyDescent="0.25">
      <c r="A41" s="454" t="s">
        <v>172</v>
      </c>
      <c r="B41" s="454"/>
      <c r="C41" s="452">
        <v>100</v>
      </c>
      <c r="D41" s="452"/>
      <c r="E41" s="70">
        <v>30</v>
      </c>
    </row>
    <row r="43" spans="1:8" ht="21.75" customHeight="1" x14ac:dyDescent="0.25">
      <c r="A43" s="441" t="s">
        <v>165</v>
      </c>
      <c r="B43" s="441"/>
      <c r="C43" s="441"/>
      <c r="D43" s="441"/>
    </row>
    <row r="44" spans="1:8" ht="31.5" x14ac:dyDescent="0.25">
      <c r="A44" s="219" t="s">
        <v>177</v>
      </c>
      <c r="B44" s="76" t="s">
        <v>178</v>
      </c>
    </row>
    <row r="45" spans="1:8" x14ac:dyDescent="0.25">
      <c r="A45" s="220" t="s">
        <v>179</v>
      </c>
      <c r="B45" s="76">
        <v>10</v>
      </c>
    </row>
    <row r="46" spans="1:8" x14ac:dyDescent="0.25">
      <c r="A46" s="75" t="s">
        <v>180</v>
      </c>
      <c r="B46" s="76">
        <v>15</v>
      </c>
    </row>
    <row r="47" spans="1:8" x14ac:dyDescent="0.25">
      <c r="A47" s="220" t="s">
        <v>181</v>
      </c>
      <c r="B47" s="76">
        <v>20</v>
      </c>
    </row>
    <row r="48" spans="1:8" x14ac:dyDescent="0.25">
      <c r="A48" s="220" t="s">
        <v>182</v>
      </c>
      <c r="B48" s="76">
        <v>25</v>
      </c>
    </row>
    <row r="49" spans="1:12" x14ac:dyDescent="0.25">
      <c r="A49" s="220" t="s">
        <v>183</v>
      </c>
      <c r="B49" s="76">
        <v>30</v>
      </c>
    </row>
    <row r="51" spans="1:12" ht="19.5" customHeight="1" x14ac:dyDescent="0.25">
      <c r="A51" s="453" t="s">
        <v>544</v>
      </c>
      <c r="B51" s="453"/>
      <c r="C51" s="453"/>
    </row>
    <row r="52" spans="1:12" s="134" customFormat="1" ht="15.75" customHeight="1" x14ac:dyDescent="0.25">
      <c r="A52" s="394" t="s">
        <v>184</v>
      </c>
      <c r="B52" s="396" t="s">
        <v>156</v>
      </c>
      <c r="C52" s="396" t="s">
        <v>155</v>
      </c>
      <c r="D52" s="241"/>
      <c r="E52" s="241"/>
      <c r="F52" s="241"/>
      <c r="G52" s="241"/>
      <c r="H52" s="241"/>
      <c r="I52" s="241" t="s">
        <v>9</v>
      </c>
      <c r="J52" s="241" t="s">
        <v>8</v>
      </c>
      <c r="K52" s="241"/>
      <c r="L52" s="241"/>
    </row>
    <row r="53" spans="1:12" x14ac:dyDescent="0.25">
      <c r="A53" s="242" t="s">
        <v>545</v>
      </c>
      <c r="B53" s="243">
        <v>0.82</v>
      </c>
      <c r="C53" s="221">
        <v>0.84</v>
      </c>
      <c r="D53" s="244"/>
      <c r="E53" s="244" t="s">
        <v>10</v>
      </c>
      <c r="F53" s="244" t="s">
        <v>4</v>
      </c>
      <c r="G53" s="244" t="s">
        <v>5</v>
      </c>
      <c r="H53" s="244" t="s">
        <v>6</v>
      </c>
      <c r="I53" s="244" t="s">
        <v>7</v>
      </c>
      <c r="J53" s="244"/>
      <c r="K53" s="244"/>
      <c r="L53" s="244"/>
    </row>
    <row r="54" spans="1:12" x14ac:dyDescent="0.25">
      <c r="A54" s="237"/>
      <c r="B54" s="238"/>
      <c r="C54" s="238"/>
      <c r="D54" s="238"/>
      <c r="E54" s="238"/>
      <c r="F54" s="238"/>
    </row>
    <row r="55" spans="1:12" customFormat="1" ht="12.75" x14ac:dyDescent="0.2">
      <c r="A55" s="400" t="s">
        <v>562</v>
      </c>
    </row>
    <row r="56" spans="1:12" customFormat="1" ht="12.75" x14ac:dyDescent="0.2">
      <c r="A56" s="399" t="s">
        <v>563</v>
      </c>
      <c r="B56" s="399" t="s">
        <v>564</v>
      </c>
    </row>
    <row r="57" spans="1:12" customFormat="1" ht="12.75" x14ac:dyDescent="0.2">
      <c r="A57" s="401" t="s">
        <v>565</v>
      </c>
      <c r="B57" s="402">
        <v>13680</v>
      </c>
    </row>
    <row r="58" spans="1:12" customFormat="1" ht="12.75" x14ac:dyDescent="0.2">
      <c r="A58" s="128" t="s">
        <v>566</v>
      </c>
      <c r="B58" s="403">
        <f>130*100</f>
        <v>13000</v>
      </c>
    </row>
    <row r="59" spans="1:12" customFormat="1" ht="12.75" x14ac:dyDescent="0.2">
      <c r="A59" s="128" t="s">
        <v>567</v>
      </c>
      <c r="B59" s="402">
        <f>220*100</f>
        <v>22000</v>
      </c>
    </row>
    <row r="60" spans="1:12" customFormat="1" ht="12.75" x14ac:dyDescent="0.2"/>
    <row r="61" spans="1:12" customFormat="1" x14ac:dyDescent="0.25">
      <c r="A61" s="400" t="s">
        <v>632</v>
      </c>
      <c r="B61" s="404"/>
      <c r="C61" s="404"/>
      <c r="D61" s="404"/>
      <c r="E61" s="70"/>
      <c r="F61" s="70"/>
      <c r="G61" s="70"/>
    </row>
    <row r="62" spans="1:12" customFormat="1" ht="22.5" customHeight="1" x14ac:dyDescent="0.25">
      <c r="A62" s="127" t="s">
        <v>524</v>
      </c>
      <c r="B62" s="127" t="s">
        <v>568</v>
      </c>
      <c r="C62" s="127" t="s">
        <v>569</v>
      </c>
      <c r="D62" s="127" t="s">
        <v>570</v>
      </c>
      <c r="E62" s="405"/>
      <c r="F62" s="406"/>
      <c r="G62" s="406"/>
    </row>
    <row r="63" spans="1:12" customFormat="1" ht="18.75" customHeight="1" x14ac:dyDescent="0.25">
      <c r="A63" s="127" t="s">
        <v>571</v>
      </c>
      <c r="B63" s="127">
        <v>75</v>
      </c>
      <c r="C63" s="431">
        <f>B63/B53</f>
        <v>91.463414634146346</v>
      </c>
      <c r="D63" s="432">
        <f>B63/C53</f>
        <v>89.285714285714292</v>
      </c>
      <c r="E63" s="407"/>
      <c r="F63" s="406"/>
      <c r="G63" s="406"/>
    </row>
    <row r="64" spans="1:12" x14ac:dyDescent="0.25">
      <c r="A64" s="237"/>
      <c r="B64" s="238"/>
      <c r="C64" s="238"/>
      <c r="D64" s="238"/>
      <c r="E64" s="238"/>
      <c r="F64" s="238"/>
    </row>
    <row r="65" spans="1:9" customFormat="1" ht="12.75" x14ac:dyDescent="0.2">
      <c r="A65" s="400" t="s">
        <v>572</v>
      </c>
    </row>
    <row r="66" spans="1:9" customFormat="1" ht="25.5" x14ac:dyDescent="0.2">
      <c r="A66" s="127"/>
      <c r="B66" s="127" t="s">
        <v>573</v>
      </c>
      <c r="C66" s="127" t="s">
        <v>105</v>
      </c>
      <c r="D66" s="127" t="s">
        <v>574</v>
      </c>
      <c r="E66" s="127" t="s">
        <v>575</v>
      </c>
      <c r="F66" s="127" t="s">
        <v>576</v>
      </c>
      <c r="G66" s="127" t="s">
        <v>577</v>
      </c>
      <c r="H66" s="127" t="s">
        <v>578</v>
      </c>
      <c r="I66" s="127" t="s">
        <v>579</v>
      </c>
    </row>
    <row r="67" spans="1:9" customFormat="1" ht="12.75" customHeight="1" x14ac:dyDescent="0.2">
      <c r="A67" s="443" t="s">
        <v>580</v>
      </c>
      <c r="B67" s="444"/>
      <c r="C67" s="444"/>
      <c r="D67" s="444"/>
      <c r="E67" s="444"/>
      <c r="F67" s="444"/>
      <c r="G67" s="444"/>
      <c r="H67" s="444"/>
      <c r="I67" s="445"/>
    </row>
    <row r="68" spans="1:9" customFormat="1" ht="12.75" customHeight="1" x14ac:dyDescent="0.2">
      <c r="A68" s="408" t="s">
        <v>565</v>
      </c>
      <c r="B68" s="127">
        <v>4.4000000000000004</v>
      </c>
      <c r="C68" s="127">
        <v>4.2</v>
      </c>
      <c r="D68" s="127">
        <v>4.0999999999999996</v>
      </c>
      <c r="E68" s="127">
        <v>3.6</v>
      </c>
      <c r="F68" s="127">
        <v>3.5</v>
      </c>
      <c r="G68" s="127">
        <v>3.5</v>
      </c>
      <c r="H68" s="127">
        <v>4.0999999999999996</v>
      </c>
      <c r="I68" s="127">
        <v>4.0999999999999996</v>
      </c>
    </row>
    <row r="69" spans="1:9" customFormat="1" ht="12.75" customHeight="1" x14ac:dyDescent="0.2">
      <c r="A69" s="409" t="s">
        <v>566</v>
      </c>
      <c r="B69" s="127">
        <v>0.9</v>
      </c>
      <c r="C69" s="127">
        <v>0.9</v>
      </c>
      <c r="D69" s="127">
        <v>0.4</v>
      </c>
      <c r="E69" s="127">
        <v>0.4</v>
      </c>
      <c r="F69" s="127">
        <v>0.6</v>
      </c>
      <c r="G69" s="127">
        <v>1</v>
      </c>
      <c r="H69" s="127">
        <v>1</v>
      </c>
      <c r="I69" s="127">
        <v>0.7</v>
      </c>
    </row>
    <row r="70" spans="1:9" customFormat="1" ht="12.75" customHeight="1" x14ac:dyDescent="0.2">
      <c r="A70" s="410" t="s">
        <v>567</v>
      </c>
      <c r="B70" s="127">
        <v>0</v>
      </c>
      <c r="C70" s="127">
        <v>0</v>
      </c>
      <c r="D70" s="127">
        <v>0.2</v>
      </c>
      <c r="E70" s="127">
        <v>0.02</v>
      </c>
      <c r="F70" s="127">
        <v>0.4</v>
      </c>
      <c r="G70" s="127">
        <v>0.1</v>
      </c>
      <c r="H70" s="127">
        <v>0.1</v>
      </c>
      <c r="I70" s="127">
        <v>0</v>
      </c>
    </row>
    <row r="71" spans="1:9" customFormat="1" ht="13.5" customHeight="1" x14ac:dyDescent="0.2">
      <c r="A71" s="443" t="s">
        <v>581</v>
      </c>
      <c r="B71" s="444"/>
      <c r="C71" s="444"/>
      <c r="D71" s="444"/>
      <c r="E71" s="444"/>
      <c r="F71" s="444"/>
      <c r="G71" s="444"/>
      <c r="H71" s="444"/>
      <c r="I71" s="445"/>
    </row>
    <row r="72" spans="1:9" customFormat="1" ht="12.75" customHeight="1" x14ac:dyDescent="0.2">
      <c r="A72" s="408" t="s">
        <v>565</v>
      </c>
      <c r="B72" s="127">
        <f>B68*$B$57/100</f>
        <v>601.92000000000007</v>
      </c>
      <c r="C72" s="127">
        <f t="shared" ref="C72:I72" si="15">C68*$B$57/100</f>
        <v>574.55999999999995</v>
      </c>
      <c r="D72" s="127">
        <f t="shared" si="15"/>
        <v>560.87999999999988</v>
      </c>
      <c r="E72" s="127">
        <f t="shared" si="15"/>
        <v>492.48</v>
      </c>
      <c r="F72" s="127">
        <f t="shared" si="15"/>
        <v>478.8</v>
      </c>
      <c r="G72" s="127">
        <f t="shared" si="15"/>
        <v>478.8</v>
      </c>
      <c r="H72" s="127">
        <f t="shared" si="15"/>
        <v>560.87999999999988</v>
      </c>
      <c r="I72" s="127">
        <f t="shared" si="15"/>
        <v>560.87999999999988</v>
      </c>
    </row>
    <row r="73" spans="1:9" customFormat="1" ht="12.75" customHeight="1" x14ac:dyDescent="0.2">
      <c r="A73" s="409" t="s">
        <v>566</v>
      </c>
      <c r="B73" s="411">
        <f>B69*$B$58/100</f>
        <v>117</v>
      </c>
      <c r="C73" s="411">
        <f t="shared" ref="C73:I73" si="16">C69*$B$58/100</f>
        <v>117</v>
      </c>
      <c r="D73" s="411">
        <f t="shared" si="16"/>
        <v>52</v>
      </c>
      <c r="E73" s="411">
        <f t="shared" si="16"/>
        <v>52</v>
      </c>
      <c r="F73" s="411">
        <f t="shared" si="16"/>
        <v>78</v>
      </c>
      <c r="G73" s="411">
        <f t="shared" si="16"/>
        <v>130</v>
      </c>
      <c r="H73" s="411">
        <f t="shared" si="16"/>
        <v>130</v>
      </c>
      <c r="I73" s="411">
        <f t="shared" si="16"/>
        <v>91</v>
      </c>
    </row>
    <row r="74" spans="1:9" customFormat="1" ht="12.75" customHeight="1" x14ac:dyDescent="0.2">
      <c r="A74" s="410" t="s">
        <v>567</v>
      </c>
      <c r="B74" s="411">
        <f>B70*$B$59/100</f>
        <v>0</v>
      </c>
      <c r="C74" s="411">
        <f t="shared" ref="C74:I74" si="17">C70*$B$59/100</f>
        <v>0</v>
      </c>
      <c r="D74" s="411">
        <f t="shared" si="17"/>
        <v>44</v>
      </c>
      <c r="E74" s="411">
        <f t="shared" si="17"/>
        <v>4.4000000000000004</v>
      </c>
      <c r="F74" s="411">
        <f t="shared" si="17"/>
        <v>88</v>
      </c>
      <c r="G74" s="411">
        <f t="shared" si="17"/>
        <v>22</v>
      </c>
      <c r="H74" s="411">
        <f t="shared" si="17"/>
        <v>22</v>
      </c>
      <c r="I74" s="411">
        <f t="shared" si="17"/>
        <v>0</v>
      </c>
    </row>
    <row r="75" spans="1:9" customFormat="1" ht="12.75" customHeight="1" x14ac:dyDescent="0.2">
      <c r="A75" s="412" t="s">
        <v>582</v>
      </c>
      <c r="B75" s="143">
        <f t="shared" ref="B75:I75" si="18">B72+B73+B74</f>
        <v>718.92000000000007</v>
      </c>
      <c r="C75" s="143">
        <f t="shared" si="18"/>
        <v>691.56</v>
      </c>
      <c r="D75" s="143">
        <f t="shared" si="18"/>
        <v>656.87999999999988</v>
      </c>
      <c r="E75" s="143">
        <f t="shared" si="18"/>
        <v>548.88</v>
      </c>
      <c r="F75" s="143">
        <f t="shared" si="18"/>
        <v>644.79999999999995</v>
      </c>
      <c r="G75" s="143">
        <f t="shared" si="18"/>
        <v>630.79999999999995</v>
      </c>
      <c r="H75" s="143">
        <f t="shared" si="18"/>
        <v>712.87999999999988</v>
      </c>
      <c r="I75" s="143">
        <f t="shared" si="18"/>
        <v>651.87999999999988</v>
      </c>
    </row>
    <row r="76" spans="1:9" customFormat="1" ht="15.75" customHeight="1" x14ac:dyDescent="0.2">
      <c r="A76" s="443" t="s">
        <v>583</v>
      </c>
      <c r="B76" s="444"/>
      <c r="C76" s="444"/>
      <c r="D76" s="444"/>
      <c r="E76" s="444"/>
      <c r="F76" s="444"/>
      <c r="G76" s="444"/>
      <c r="H76" s="444"/>
      <c r="I76" s="445"/>
    </row>
    <row r="77" spans="1:9" customFormat="1" ht="12.75" customHeight="1" x14ac:dyDescent="0.2">
      <c r="A77" s="127" t="s">
        <v>584</v>
      </c>
      <c r="B77" s="411">
        <f>B75+$C$63*100</f>
        <v>9865.2614634146339</v>
      </c>
      <c r="C77" s="411">
        <f t="shared" ref="C77:I77" si="19">C75+$C$63*100</f>
        <v>9837.9014634146333</v>
      </c>
      <c r="D77" s="411">
        <f t="shared" si="19"/>
        <v>9803.221463414633</v>
      </c>
      <c r="E77" s="411">
        <f t="shared" si="19"/>
        <v>9695.221463414633</v>
      </c>
      <c r="F77" s="411">
        <f t="shared" si="19"/>
        <v>9791.1414634146331</v>
      </c>
      <c r="G77" s="411">
        <f t="shared" si="19"/>
        <v>9777.1414634146331</v>
      </c>
      <c r="H77" s="411">
        <f t="shared" si="19"/>
        <v>9859.221463414633</v>
      </c>
      <c r="I77" s="411">
        <f t="shared" si="19"/>
        <v>9798.221463414633</v>
      </c>
    </row>
    <row r="78" spans="1:9" customFormat="1" ht="12.75" x14ac:dyDescent="0.2">
      <c r="A78" s="127" t="s">
        <v>585</v>
      </c>
      <c r="B78" s="411">
        <f>B75+$D$63*100</f>
        <v>9647.4914285714294</v>
      </c>
      <c r="C78" s="411">
        <f t="shared" ref="C78:I78" si="20">C75+$D$63*100</f>
        <v>9620.1314285714288</v>
      </c>
      <c r="D78" s="411">
        <f t="shared" si="20"/>
        <v>9585.4514285714286</v>
      </c>
      <c r="E78" s="411">
        <f t="shared" si="20"/>
        <v>9477.4514285714286</v>
      </c>
      <c r="F78" s="411">
        <f t="shared" si="20"/>
        <v>9573.3714285714286</v>
      </c>
      <c r="G78" s="411">
        <f t="shared" si="20"/>
        <v>9559.3714285714286</v>
      </c>
      <c r="H78" s="411">
        <f t="shared" si="20"/>
        <v>9641.4514285714286</v>
      </c>
      <c r="I78" s="411">
        <f t="shared" si="20"/>
        <v>9580.4514285714286</v>
      </c>
    </row>
    <row r="79" spans="1:9" x14ac:dyDescent="0.25">
      <c r="A79" s="237"/>
      <c r="B79" s="238"/>
      <c r="C79" s="238"/>
      <c r="D79" s="238"/>
      <c r="E79" s="238"/>
      <c r="F79" s="238"/>
    </row>
    <row r="80" spans="1:9" ht="15.75" customHeight="1" x14ac:dyDescent="0.25">
      <c r="A80" s="400" t="s">
        <v>586</v>
      </c>
      <c r="B80"/>
      <c r="C80"/>
      <c r="D80"/>
      <c r="E80"/>
      <c r="F80"/>
      <c r="G80"/>
      <c r="H80"/>
    </row>
    <row r="81" spans="1:11" ht="26.25" customHeight="1" x14ac:dyDescent="0.25">
      <c r="A81" s="127"/>
      <c r="B81" s="127" t="s">
        <v>587</v>
      </c>
      <c r="C81" s="127" t="s">
        <v>576</v>
      </c>
      <c r="D81" s="127" t="s">
        <v>573</v>
      </c>
      <c r="E81" s="127" t="s">
        <v>577</v>
      </c>
      <c r="F81" s="127" t="s">
        <v>578</v>
      </c>
      <c r="G81" s="127" t="s">
        <v>579</v>
      </c>
      <c r="H81" s="127" t="s">
        <v>140</v>
      </c>
    </row>
    <row r="82" spans="1:11" x14ac:dyDescent="0.25">
      <c r="A82" s="413" t="s">
        <v>588</v>
      </c>
      <c r="B82" s="414">
        <f>B84+B85+B86</f>
        <v>99.992314269119987</v>
      </c>
      <c r="C82" s="414">
        <f t="shared" ref="C82:H82" si="21">C84+C85+C86</f>
        <v>101.43277978079999</v>
      </c>
      <c r="D82" s="414">
        <f t="shared" si="21"/>
        <v>134.08333137888002</v>
      </c>
      <c r="E82" s="414">
        <f t="shared" si="21"/>
        <v>98.911965135359992</v>
      </c>
      <c r="F82" s="414">
        <f t="shared" si="21"/>
        <v>116.4376288608</v>
      </c>
      <c r="G82" s="414">
        <f t="shared" si="21"/>
        <v>156.29050801727996</v>
      </c>
      <c r="H82" s="414">
        <f t="shared" si="21"/>
        <v>180.53834413055998</v>
      </c>
    </row>
    <row r="83" spans="1:11" x14ac:dyDescent="0.25">
      <c r="A83" s="415" t="s">
        <v>589</v>
      </c>
      <c r="B83" s="411"/>
      <c r="C83" s="411"/>
      <c r="D83" s="411"/>
      <c r="E83" s="411"/>
      <c r="F83" s="411"/>
      <c r="G83" s="411"/>
      <c r="H83" s="411"/>
    </row>
    <row r="84" spans="1:11" x14ac:dyDescent="0.25">
      <c r="A84" s="416" t="s">
        <v>590</v>
      </c>
      <c r="B84" s="411">
        <v>17.28558614016</v>
      </c>
      <c r="C84" s="411">
        <v>15.725081835839996</v>
      </c>
      <c r="D84" s="411">
        <v>23.767680942719998</v>
      </c>
      <c r="E84" s="411">
        <v>13.804461153599998</v>
      </c>
      <c r="F84" s="411">
        <v>17.525663725439994</v>
      </c>
      <c r="G84" s="411">
        <v>26.76865075872</v>
      </c>
      <c r="H84" s="411">
        <v>24.007758527999997</v>
      </c>
    </row>
    <row r="85" spans="1:11" ht="23.25" customHeight="1" x14ac:dyDescent="0.25">
      <c r="A85" s="416" t="s">
        <v>591</v>
      </c>
      <c r="B85" s="411">
        <v>69.62249973119998</v>
      </c>
      <c r="C85" s="411">
        <v>72.02327558399999</v>
      </c>
      <c r="D85" s="411">
        <v>93.630258259200019</v>
      </c>
      <c r="E85" s="411">
        <v>72.02327558399999</v>
      </c>
      <c r="F85" s="411">
        <v>84.027154848000009</v>
      </c>
      <c r="G85" s="411">
        <v>110.43568922879999</v>
      </c>
      <c r="H85" s="411">
        <v>132.04267190399997</v>
      </c>
    </row>
    <row r="86" spans="1:11" x14ac:dyDescent="0.25">
      <c r="A86" s="416" t="s">
        <v>592</v>
      </c>
      <c r="B86" s="411">
        <v>13.08422839776</v>
      </c>
      <c r="C86" s="411">
        <v>13.684422360959999</v>
      </c>
      <c r="D86" s="411">
        <v>16.685392176960001</v>
      </c>
      <c r="E86" s="411">
        <v>13.08422839776</v>
      </c>
      <c r="F86" s="411">
        <v>14.884810287360001</v>
      </c>
      <c r="G86" s="411">
        <v>19.08616802976</v>
      </c>
      <c r="H86" s="411">
        <v>24.487913698559996</v>
      </c>
    </row>
    <row r="87" spans="1:11" ht="19.5" customHeight="1" x14ac:dyDescent="0.25">
      <c r="A87" s="417" t="s">
        <v>593</v>
      </c>
      <c r="B87" s="414">
        <f>B89+B90+B91</f>
        <v>8.0425991068799991</v>
      </c>
      <c r="C87" s="414">
        <f t="shared" ref="C87:H87" si="22">C89+C90+C91</f>
        <v>11.283646508159999</v>
      </c>
      <c r="D87" s="414">
        <f t="shared" si="22"/>
        <v>15.00484908</v>
      </c>
      <c r="E87" s="414">
        <f t="shared" si="22"/>
        <v>16.685392176959997</v>
      </c>
      <c r="F87" s="414">
        <f t="shared" si="22"/>
        <v>19.206206822399999</v>
      </c>
      <c r="G87" s="414">
        <f t="shared" si="22"/>
        <v>22.927409394239998</v>
      </c>
      <c r="H87" s="414">
        <f t="shared" si="22"/>
        <v>25.32818524704</v>
      </c>
    </row>
    <row r="88" spans="1:11" x14ac:dyDescent="0.25">
      <c r="A88" s="415" t="s">
        <v>589</v>
      </c>
      <c r="B88" s="411"/>
      <c r="C88" s="411"/>
      <c r="D88" s="411"/>
      <c r="E88" s="411"/>
      <c r="F88" s="411"/>
      <c r="G88" s="411"/>
      <c r="H88" s="411"/>
    </row>
    <row r="89" spans="1:11" x14ac:dyDescent="0.25">
      <c r="A89" s="416" t="s">
        <v>594</v>
      </c>
      <c r="B89" s="411">
        <v>2.0406594748799995</v>
      </c>
      <c r="C89" s="411">
        <v>2.2807370601599994</v>
      </c>
      <c r="D89" s="411">
        <v>3.0009698159999996</v>
      </c>
      <c r="E89" s="411">
        <v>2.2807370601599994</v>
      </c>
      <c r="F89" s="411">
        <v>1.8005818895999999</v>
      </c>
      <c r="G89" s="411">
        <v>2.5208146454400007</v>
      </c>
      <c r="H89" s="411">
        <v>2.5208146454400007</v>
      </c>
    </row>
    <row r="90" spans="1:11" ht="18.75" customHeight="1" x14ac:dyDescent="0.25">
      <c r="A90" s="416" t="s">
        <v>591</v>
      </c>
      <c r="B90" s="411">
        <v>4.8015517055999997</v>
      </c>
      <c r="C90" s="411">
        <v>7.2023275583999995</v>
      </c>
      <c r="D90" s="411">
        <v>9.6031034111999993</v>
      </c>
      <c r="E90" s="411">
        <v>12.003879263999998</v>
      </c>
      <c r="F90" s="411">
        <v>14.404655116799999</v>
      </c>
      <c r="G90" s="411">
        <v>16.805430969599996</v>
      </c>
      <c r="H90" s="411">
        <v>19.206206822399999</v>
      </c>
    </row>
    <row r="91" spans="1:11" x14ac:dyDescent="0.25">
      <c r="A91" s="416" t="s">
        <v>592</v>
      </c>
      <c r="B91" s="411">
        <v>1.2003879263999999</v>
      </c>
      <c r="C91" s="411">
        <v>1.8005818895999999</v>
      </c>
      <c r="D91" s="411">
        <v>2.4007758527999998</v>
      </c>
      <c r="E91" s="411">
        <v>2.4007758527999998</v>
      </c>
      <c r="F91" s="411">
        <v>3.0009698159999996</v>
      </c>
      <c r="G91" s="411">
        <v>3.6011637791999997</v>
      </c>
      <c r="H91" s="411">
        <v>3.6011637791999997</v>
      </c>
    </row>
    <row r="92" spans="1:11" ht="16.5" customHeight="1" x14ac:dyDescent="0.25">
      <c r="A92" s="418" t="s">
        <v>595</v>
      </c>
      <c r="B92" s="414">
        <v>11.043568922879997</v>
      </c>
      <c r="C92" s="414">
        <v>8.0425991068799991</v>
      </c>
      <c r="D92" s="414">
        <v>0</v>
      </c>
      <c r="E92" s="414">
        <v>5.7618620467199984</v>
      </c>
      <c r="F92" s="414">
        <v>5.5217844614399985</v>
      </c>
      <c r="G92" s="414">
        <v>3.4811249865599989</v>
      </c>
      <c r="H92" s="414">
        <v>5.5217844614399985</v>
      </c>
    </row>
    <row r="93" spans="1:11" ht="15.75" customHeight="1" x14ac:dyDescent="0.25">
      <c r="A93" s="419" t="s">
        <v>582</v>
      </c>
      <c r="B93" s="414">
        <f>B82+B87+B92</f>
        <v>119.07848229887999</v>
      </c>
      <c r="C93" s="414">
        <f t="shared" ref="C93:H93" si="23">C82+C87+C92</f>
        <v>120.75902539584</v>
      </c>
      <c r="D93" s="414">
        <f t="shared" si="23"/>
        <v>149.08818045888</v>
      </c>
      <c r="E93" s="414">
        <f t="shared" si="23"/>
        <v>121.35921935903998</v>
      </c>
      <c r="F93" s="414">
        <f t="shared" si="23"/>
        <v>141.16562014464</v>
      </c>
      <c r="G93" s="414">
        <f t="shared" si="23"/>
        <v>182.69904239807994</v>
      </c>
      <c r="H93" s="414">
        <f t="shared" si="23"/>
        <v>211.38831383903999</v>
      </c>
    </row>
    <row r="94" spans="1:11" x14ac:dyDescent="0.25">
      <c r="A94" s="420"/>
      <c r="B94" s="421"/>
      <c r="C94" s="421"/>
      <c r="D94" s="421"/>
      <c r="E94" s="421"/>
      <c r="F94" s="421"/>
      <c r="G94" s="421"/>
      <c r="H94" s="421"/>
    </row>
    <row r="95" spans="1:11" customFormat="1" x14ac:dyDescent="0.25">
      <c r="A95" s="400" t="s">
        <v>596</v>
      </c>
      <c r="J95" s="70"/>
      <c r="K95" s="70"/>
    </row>
    <row r="96" spans="1:11" customFormat="1" ht="25.5" x14ac:dyDescent="0.25">
      <c r="A96" s="422" t="s">
        <v>184</v>
      </c>
      <c r="B96" s="422" t="s">
        <v>597</v>
      </c>
      <c r="J96" s="70"/>
      <c r="K96" s="70"/>
    </row>
    <row r="97" spans="1:11" customFormat="1" x14ac:dyDescent="0.25">
      <c r="A97" s="450" t="s">
        <v>598</v>
      </c>
      <c r="B97" s="450"/>
      <c r="J97" s="70"/>
      <c r="K97" s="70"/>
    </row>
    <row r="98" spans="1:11" customFormat="1" x14ac:dyDescent="0.25">
      <c r="A98" s="423" t="s">
        <v>599</v>
      </c>
      <c r="B98" s="422">
        <v>7.2</v>
      </c>
      <c r="C98" s="424"/>
      <c r="J98" s="70"/>
      <c r="K98" s="70"/>
    </row>
    <row r="99" spans="1:11" customFormat="1" x14ac:dyDescent="0.25">
      <c r="A99" s="450" t="s">
        <v>600</v>
      </c>
      <c r="B99" s="450"/>
      <c r="C99" s="424"/>
      <c r="J99" s="70"/>
      <c r="K99" s="70"/>
    </row>
    <row r="100" spans="1:11" customFormat="1" x14ac:dyDescent="0.25">
      <c r="A100" s="423" t="s">
        <v>601</v>
      </c>
      <c r="B100" s="422">
        <v>2.1</v>
      </c>
      <c r="C100" s="424"/>
      <c r="J100" s="70"/>
      <c r="K100" s="70"/>
    </row>
    <row r="101" spans="1:11" customFormat="1" x14ac:dyDescent="0.25">
      <c r="A101" s="423" t="s">
        <v>602</v>
      </c>
      <c r="B101" s="422">
        <v>4.9000000000000004</v>
      </c>
      <c r="C101" s="424"/>
      <c r="J101" s="70"/>
      <c r="K101" s="70"/>
    </row>
    <row r="102" spans="1:11" customFormat="1" x14ac:dyDescent="0.25">
      <c r="A102" s="423" t="s">
        <v>107</v>
      </c>
      <c r="B102" s="422">
        <v>5.0999999999999996</v>
      </c>
      <c r="C102" s="424"/>
      <c r="J102" s="70"/>
      <c r="K102" s="70"/>
    </row>
    <row r="103" spans="1:11" customFormat="1" x14ac:dyDescent="0.25">
      <c r="A103" s="423" t="s">
        <v>140</v>
      </c>
      <c r="B103" s="422">
        <v>1.5</v>
      </c>
      <c r="C103" s="424"/>
      <c r="J103" s="70"/>
      <c r="K103" s="70"/>
    </row>
    <row r="104" spans="1:11" customFormat="1" ht="12.75" x14ac:dyDescent="0.2">
      <c r="A104" s="423" t="s">
        <v>603</v>
      </c>
      <c r="B104" s="422">
        <v>2.1</v>
      </c>
      <c r="C104" s="424"/>
    </row>
    <row r="105" spans="1:11" customFormat="1" ht="12.75" x14ac:dyDescent="0.2">
      <c r="A105" s="423" t="s">
        <v>604</v>
      </c>
      <c r="B105" s="422">
        <v>2.1</v>
      </c>
      <c r="C105" s="424"/>
    </row>
    <row r="106" spans="1:11" customFormat="1" ht="12.75" x14ac:dyDescent="0.2">
      <c r="A106" s="423" t="s">
        <v>534</v>
      </c>
      <c r="B106" s="422">
        <v>11.6</v>
      </c>
      <c r="C106" s="424"/>
    </row>
    <row r="107" spans="1:11" customFormat="1" ht="12.75" x14ac:dyDescent="0.2">
      <c r="A107" s="423" t="s">
        <v>185</v>
      </c>
      <c r="B107" s="422">
        <v>14.7</v>
      </c>
      <c r="C107" s="424"/>
    </row>
    <row r="108" spans="1:11" customFormat="1" ht="12.75" x14ac:dyDescent="0.2">
      <c r="A108" s="423" t="s">
        <v>186</v>
      </c>
      <c r="B108" s="422">
        <v>15</v>
      </c>
      <c r="C108" s="424"/>
    </row>
    <row r="109" spans="1:11" customFormat="1" ht="12.75" x14ac:dyDescent="0.2">
      <c r="A109" s="423" t="s">
        <v>605</v>
      </c>
      <c r="B109" s="422">
        <v>2.7</v>
      </c>
    </row>
    <row r="110" spans="1:11" customFormat="1" ht="12.75" x14ac:dyDescent="0.2">
      <c r="A110" s="425"/>
      <c r="B110" s="426"/>
    </row>
    <row r="111" spans="1:11" customFormat="1" ht="12.75" x14ac:dyDescent="0.2">
      <c r="A111" s="400" t="s">
        <v>606</v>
      </c>
    </row>
    <row r="112" spans="1:11" customFormat="1" ht="12.75" x14ac:dyDescent="0.2">
      <c r="A112" s="427"/>
      <c r="B112" s="451" t="s">
        <v>607</v>
      </c>
      <c r="C112" s="451"/>
      <c r="D112" s="451"/>
      <c r="E112" s="451"/>
      <c r="F112" s="451"/>
      <c r="G112" s="451"/>
      <c r="H112" s="451"/>
      <c r="I112" s="451"/>
      <c r="J112" s="451"/>
      <c r="K112" s="451"/>
    </row>
    <row r="113" spans="1:11" customFormat="1" ht="12.75" x14ac:dyDescent="0.2">
      <c r="A113" s="428" t="s">
        <v>608</v>
      </c>
      <c r="B113" s="422">
        <v>1</v>
      </c>
      <c r="C113" s="422">
        <v>2</v>
      </c>
      <c r="D113" s="422">
        <v>3</v>
      </c>
      <c r="E113" s="422">
        <v>4</v>
      </c>
      <c r="F113" s="422">
        <v>5</v>
      </c>
      <c r="G113" s="422">
        <v>6</v>
      </c>
      <c r="H113" s="422">
        <v>7</v>
      </c>
      <c r="I113" s="422">
        <v>8</v>
      </c>
      <c r="J113" s="422">
        <v>9</v>
      </c>
      <c r="K113" s="422">
        <v>10</v>
      </c>
    </row>
    <row r="114" spans="1:11" customFormat="1" ht="12.75" x14ac:dyDescent="0.2">
      <c r="A114" s="422" t="s">
        <v>609</v>
      </c>
      <c r="B114" s="422"/>
      <c r="C114" s="422"/>
      <c r="D114" s="422"/>
      <c r="E114" s="422"/>
      <c r="F114" s="422"/>
      <c r="G114" s="422"/>
      <c r="H114" s="422"/>
      <c r="I114" s="422"/>
      <c r="J114" s="422"/>
      <c r="K114" s="422"/>
    </row>
    <row r="115" spans="1:11" customFormat="1" ht="12.75" x14ac:dyDescent="0.2">
      <c r="A115" s="423" t="s">
        <v>610</v>
      </c>
      <c r="B115" s="422">
        <v>1.2</v>
      </c>
      <c r="C115" s="422">
        <v>1.2</v>
      </c>
      <c r="D115" s="422">
        <v>1.1399999999999999</v>
      </c>
      <c r="E115" s="422">
        <v>1.08</v>
      </c>
      <c r="F115" s="422">
        <v>1.03</v>
      </c>
      <c r="G115" s="422">
        <v>0.96</v>
      </c>
      <c r="H115" s="422">
        <v>0.92</v>
      </c>
      <c r="I115" s="422">
        <v>0.88</v>
      </c>
      <c r="J115" s="422">
        <v>0.84</v>
      </c>
      <c r="K115" s="422">
        <v>0.75</v>
      </c>
    </row>
    <row r="116" spans="1:11" customFormat="1" ht="12.75" x14ac:dyDescent="0.2">
      <c r="A116" s="423" t="s">
        <v>611</v>
      </c>
      <c r="B116" s="422">
        <v>1.1599999999999999</v>
      </c>
      <c r="C116" s="422">
        <v>1.1499999999999999</v>
      </c>
      <c r="D116" s="422" t="s">
        <v>612</v>
      </c>
      <c r="E116" s="422">
        <v>1.06</v>
      </c>
      <c r="F116" s="422">
        <v>1.03</v>
      </c>
      <c r="G116" s="422">
        <v>1</v>
      </c>
      <c r="H116" s="422">
        <v>0.96</v>
      </c>
      <c r="I116" s="422">
        <v>0.92</v>
      </c>
      <c r="J116" s="422">
        <v>0.84</v>
      </c>
      <c r="K116" s="422">
        <v>0.73</v>
      </c>
    </row>
    <row r="117" spans="1:11" customFormat="1" ht="12.75" x14ac:dyDescent="0.2">
      <c r="A117" s="423" t="s">
        <v>613</v>
      </c>
      <c r="B117" s="422">
        <v>1.1200000000000001</v>
      </c>
      <c r="C117" s="422">
        <v>1.1000000000000001</v>
      </c>
      <c r="D117" s="422">
        <v>1.07</v>
      </c>
      <c r="E117" s="422">
        <v>1.04</v>
      </c>
      <c r="F117" s="422">
        <v>1</v>
      </c>
      <c r="G117" s="422">
        <v>0.95</v>
      </c>
      <c r="H117" s="422">
        <v>0.9</v>
      </c>
      <c r="I117" s="422">
        <v>0.82</v>
      </c>
      <c r="J117" s="422"/>
      <c r="K117" s="422"/>
    </row>
    <row r="118" spans="1:11" customFormat="1" ht="12.75" x14ac:dyDescent="0.2">
      <c r="A118" s="423" t="s">
        <v>605</v>
      </c>
      <c r="B118" s="399">
        <v>1.1399999999999999</v>
      </c>
      <c r="C118" s="399">
        <v>1.1000000000000001</v>
      </c>
      <c r="D118" s="399">
        <v>1</v>
      </c>
      <c r="E118" s="399">
        <v>1.03</v>
      </c>
      <c r="F118" s="399">
        <v>1</v>
      </c>
      <c r="G118" s="399">
        <v>0.96</v>
      </c>
      <c r="H118" s="399">
        <v>0.9</v>
      </c>
      <c r="I118" s="399">
        <v>0.82</v>
      </c>
      <c r="J118" s="399"/>
      <c r="K118" s="399"/>
    </row>
    <row r="119" spans="1:11" x14ac:dyDescent="0.25">
      <c r="A119" s="420"/>
      <c r="B119" s="421"/>
      <c r="C119" s="421"/>
      <c r="D119" s="421"/>
      <c r="E119" s="421"/>
      <c r="F119" s="421"/>
      <c r="G119" s="421"/>
      <c r="H119" s="421"/>
      <c r="J119" s="420"/>
      <c r="K119" s="421"/>
    </row>
    <row r="120" spans="1:11" customFormat="1" ht="12.75" x14ac:dyDescent="0.2">
      <c r="A120" s="429" t="s">
        <v>614</v>
      </c>
    </row>
    <row r="121" spans="1:11" customFormat="1" ht="33" customHeight="1" x14ac:dyDescent="0.2">
      <c r="A121" s="422" t="s">
        <v>615</v>
      </c>
      <c r="B121" s="428" t="s">
        <v>185</v>
      </c>
      <c r="C121" s="428" t="s">
        <v>534</v>
      </c>
      <c r="D121" s="428" t="s">
        <v>105</v>
      </c>
      <c r="E121" s="428" t="s">
        <v>602</v>
      </c>
      <c r="F121" s="428" t="s">
        <v>578</v>
      </c>
      <c r="G121" s="428" t="s">
        <v>579</v>
      </c>
      <c r="H121" s="428" t="s">
        <v>616</v>
      </c>
      <c r="I121" s="428" t="s">
        <v>617</v>
      </c>
    </row>
    <row r="122" spans="1:11" customFormat="1" ht="12.75" x14ac:dyDescent="0.2">
      <c r="A122" s="422" t="s">
        <v>618</v>
      </c>
      <c r="B122" s="422">
        <v>0.5</v>
      </c>
      <c r="C122" s="422">
        <v>0.36</v>
      </c>
      <c r="D122" s="422">
        <v>0.54</v>
      </c>
      <c r="E122" s="422">
        <v>0.62</v>
      </c>
      <c r="F122" s="422">
        <v>0.62</v>
      </c>
      <c r="G122" s="422">
        <v>0.48</v>
      </c>
      <c r="H122" s="422">
        <v>0.43</v>
      </c>
      <c r="I122" s="422">
        <v>0.66</v>
      </c>
    </row>
    <row r="123" spans="1:11" customFormat="1" ht="12.75" x14ac:dyDescent="0.2">
      <c r="A123" s="422" t="s">
        <v>619</v>
      </c>
      <c r="B123" s="422">
        <v>0.61</v>
      </c>
      <c r="C123" s="422">
        <v>0.5</v>
      </c>
      <c r="D123" s="422">
        <v>0.67</v>
      </c>
      <c r="E123" s="422">
        <v>0.73</v>
      </c>
      <c r="F123" s="422">
        <v>0.71</v>
      </c>
      <c r="G123" s="422">
        <v>0.62</v>
      </c>
      <c r="H123" s="422">
        <v>0.57999999999999996</v>
      </c>
      <c r="I123" s="422">
        <v>0.74</v>
      </c>
    </row>
    <row r="124" spans="1:11" customFormat="1" ht="12.75" x14ac:dyDescent="0.2">
      <c r="A124" s="422" t="s">
        <v>620</v>
      </c>
      <c r="B124" s="422">
        <v>0.75</v>
      </c>
      <c r="C124" s="422">
        <v>0.69</v>
      </c>
      <c r="D124" s="422">
        <v>0.79</v>
      </c>
      <c r="E124" s="422">
        <v>0.83</v>
      </c>
      <c r="F124" s="422">
        <v>0.81</v>
      </c>
      <c r="G124" s="422">
        <v>0.74</v>
      </c>
      <c r="H124" s="422">
        <v>0.72</v>
      </c>
      <c r="I124" s="422">
        <v>0.85</v>
      </c>
    </row>
    <row r="125" spans="1:11" customFormat="1" ht="12.75" x14ac:dyDescent="0.2">
      <c r="A125" s="422" t="s">
        <v>621</v>
      </c>
      <c r="B125" s="422">
        <v>0.88</v>
      </c>
      <c r="C125" s="422">
        <v>0.86</v>
      </c>
      <c r="D125" s="422">
        <v>0.89</v>
      </c>
      <c r="E125" s="422">
        <v>0.92</v>
      </c>
      <c r="F125" s="422">
        <v>0.92</v>
      </c>
      <c r="G125" s="422">
        <v>0.88</v>
      </c>
      <c r="H125" s="422">
        <v>0.86</v>
      </c>
      <c r="I125" s="422">
        <v>0.93</v>
      </c>
    </row>
    <row r="126" spans="1:11" customFormat="1" ht="12.75" x14ac:dyDescent="0.2">
      <c r="A126" s="422" t="s">
        <v>622</v>
      </c>
      <c r="B126" s="422">
        <v>1</v>
      </c>
      <c r="C126" s="422">
        <v>1</v>
      </c>
      <c r="D126" s="422">
        <v>1</v>
      </c>
      <c r="E126" s="422">
        <v>1</v>
      </c>
      <c r="F126" s="422">
        <v>1</v>
      </c>
      <c r="G126" s="422">
        <v>1</v>
      </c>
      <c r="H126" s="422">
        <v>1</v>
      </c>
      <c r="I126" s="430">
        <v>1</v>
      </c>
    </row>
    <row r="127" spans="1:11" customFormat="1" ht="12.75" x14ac:dyDescent="0.2">
      <c r="A127" s="422" t="s">
        <v>623</v>
      </c>
      <c r="B127" s="422">
        <v>1.1000000000000001</v>
      </c>
      <c r="C127" s="422">
        <v>1.08</v>
      </c>
      <c r="D127" s="422">
        <v>1.07</v>
      </c>
      <c r="E127" s="422">
        <v>1.08</v>
      </c>
      <c r="F127" s="422">
        <v>1.08</v>
      </c>
      <c r="G127" s="422">
        <v>1.1100000000000001</v>
      </c>
      <c r="H127" s="422">
        <v>1.1299999999999999</v>
      </c>
      <c r="I127" s="422">
        <v>1.08</v>
      </c>
    </row>
    <row r="128" spans="1:11" customFormat="1" ht="12.75" x14ac:dyDescent="0.2">
      <c r="A128" s="422" t="s">
        <v>624</v>
      </c>
      <c r="B128" s="422">
        <v>1.18</v>
      </c>
      <c r="C128" s="422">
        <v>1.1599999999999999</v>
      </c>
      <c r="D128" s="422">
        <v>1.1399999999999999</v>
      </c>
      <c r="E128" s="422">
        <v>1.1499999999999999</v>
      </c>
      <c r="F128" s="422">
        <v>1.1200000000000001</v>
      </c>
      <c r="G128" s="422">
        <v>1.22</v>
      </c>
      <c r="H128" s="422">
        <v>1.25</v>
      </c>
      <c r="I128" s="422">
        <v>1.1299999999999999</v>
      </c>
    </row>
    <row r="129" spans="1:9" customFormat="1" ht="12.75" x14ac:dyDescent="0.2">
      <c r="A129" s="422" t="s">
        <v>625</v>
      </c>
      <c r="B129" s="422">
        <v>1.24</v>
      </c>
      <c r="C129" s="422">
        <v>1.23</v>
      </c>
      <c r="D129" s="422">
        <v>1.19</v>
      </c>
      <c r="E129" s="422">
        <v>1.21</v>
      </c>
      <c r="F129" s="422">
        <v>1.17</v>
      </c>
      <c r="G129" s="422">
        <v>1.31</v>
      </c>
      <c r="H129" s="422">
        <v>1.32</v>
      </c>
      <c r="I129" s="422">
        <v>1.18</v>
      </c>
    </row>
    <row r="130" spans="1:9" customFormat="1" ht="12.75" x14ac:dyDescent="0.2">
      <c r="A130" s="422" t="s">
        <v>626</v>
      </c>
      <c r="B130" s="422">
        <v>1.28</v>
      </c>
      <c r="C130" s="422">
        <v>1.26</v>
      </c>
      <c r="D130" s="422">
        <v>1.22</v>
      </c>
      <c r="E130" s="422">
        <v>1.26</v>
      </c>
      <c r="F130" s="422">
        <v>1.2</v>
      </c>
      <c r="G130" s="422">
        <v>1.39</v>
      </c>
      <c r="H130" s="422">
        <v>1.39</v>
      </c>
      <c r="I130" s="422">
        <v>1.22</v>
      </c>
    </row>
    <row r="131" spans="1:9" customFormat="1" ht="12.75" x14ac:dyDescent="0.2">
      <c r="A131" s="422" t="s">
        <v>627</v>
      </c>
      <c r="B131" s="422">
        <v>1.32</v>
      </c>
      <c r="C131" s="422">
        <v>1.3</v>
      </c>
      <c r="D131" s="422">
        <v>1.25</v>
      </c>
      <c r="E131" s="422">
        <v>1.3</v>
      </c>
      <c r="F131" s="422">
        <v>1.22</v>
      </c>
      <c r="G131" s="422" t="s">
        <v>558</v>
      </c>
      <c r="H131" s="422">
        <v>1.43</v>
      </c>
      <c r="I131" s="422">
        <v>1.26</v>
      </c>
    </row>
    <row r="132" spans="1:9" customFormat="1" ht="12.75" x14ac:dyDescent="0.2">
      <c r="A132" s="422" t="s">
        <v>628</v>
      </c>
      <c r="B132" s="422">
        <v>1.35</v>
      </c>
      <c r="C132" s="422" t="s">
        <v>558</v>
      </c>
      <c r="D132" s="422">
        <v>1.27</v>
      </c>
      <c r="E132" s="422" t="s">
        <v>558</v>
      </c>
      <c r="F132" s="422">
        <v>1.24</v>
      </c>
      <c r="G132" s="422" t="s">
        <v>558</v>
      </c>
      <c r="H132" s="422" t="s">
        <v>558</v>
      </c>
      <c r="I132" s="422" t="s">
        <v>558</v>
      </c>
    </row>
    <row r="133" spans="1:9" customFormat="1" ht="12.75" x14ac:dyDescent="0.2">
      <c r="A133" s="422" t="s">
        <v>629</v>
      </c>
      <c r="B133" s="422" t="s">
        <v>558</v>
      </c>
      <c r="C133" s="422" t="s">
        <v>558</v>
      </c>
      <c r="D133" s="422">
        <v>1.29</v>
      </c>
      <c r="E133" s="422" t="s">
        <v>558</v>
      </c>
      <c r="F133" s="422">
        <v>1.26</v>
      </c>
      <c r="G133" s="422" t="s">
        <v>558</v>
      </c>
      <c r="H133" s="422" t="s">
        <v>558</v>
      </c>
      <c r="I133" s="422" t="s">
        <v>558</v>
      </c>
    </row>
    <row r="134" spans="1:9" customFormat="1" ht="12.75" x14ac:dyDescent="0.2">
      <c r="A134" s="426"/>
      <c r="B134" s="426"/>
      <c r="C134" s="426"/>
      <c r="D134" s="426"/>
      <c r="E134" s="426"/>
      <c r="F134" s="426"/>
      <c r="G134" s="426"/>
      <c r="H134" s="426"/>
      <c r="I134" s="426"/>
    </row>
    <row r="135" spans="1:9" ht="22.5" customHeight="1" x14ac:dyDescent="0.25">
      <c r="A135" s="240" t="s">
        <v>538</v>
      </c>
      <c r="B135" s="240"/>
    </row>
    <row r="136" spans="1:9" ht="19.5" customHeight="1" x14ac:dyDescent="0.25">
      <c r="A136" s="220" t="s">
        <v>416</v>
      </c>
      <c r="B136" s="223" t="s">
        <v>558</v>
      </c>
    </row>
    <row r="137" spans="1:9" x14ac:dyDescent="0.25">
      <c r="A137" s="220" t="s">
        <v>537</v>
      </c>
      <c r="B137" s="223">
        <v>96</v>
      </c>
    </row>
  </sheetData>
  <mergeCells count="31">
    <mergeCell ref="A97:B97"/>
    <mergeCell ref="A99:B99"/>
    <mergeCell ref="B112:K112"/>
    <mergeCell ref="C37:D37"/>
    <mergeCell ref="A51:C51"/>
    <mergeCell ref="C38:D38"/>
    <mergeCell ref="A43:D43"/>
    <mergeCell ref="C39:D39"/>
    <mergeCell ref="C40:D40"/>
    <mergeCell ref="C41:D41"/>
    <mergeCell ref="A39:B39"/>
    <mergeCell ref="A40:B40"/>
    <mergeCell ref="A41:B41"/>
    <mergeCell ref="A37:B37"/>
    <mergeCell ref="A38:B38"/>
    <mergeCell ref="A67:I67"/>
    <mergeCell ref="A71:I71"/>
    <mergeCell ref="A76:I76"/>
    <mergeCell ref="A36:B36"/>
    <mergeCell ref="A14:A17"/>
    <mergeCell ref="A26:A29"/>
    <mergeCell ref="A30:A33"/>
    <mergeCell ref="A35:D35"/>
    <mergeCell ref="A18:A21"/>
    <mergeCell ref="A22:A25"/>
    <mergeCell ref="C36:D36"/>
    <mergeCell ref="A1:H1"/>
    <mergeCell ref="A11:H11"/>
    <mergeCell ref="A12:A13"/>
    <mergeCell ref="C12:H12"/>
    <mergeCell ref="B12:B13"/>
  </mergeCells>
  <phoneticPr fontId="4" type="noConversion"/>
  <pageMargins left="0.75" right="0.75" top="1" bottom="1" header="0.5" footer="0.5"/>
  <pageSetup paperSize="9" scale="29" orientation="portrait" r:id="rId1"/>
  <headerFooter alignWithMargins="0">
    <oddFooter>&amp;LОтдел СЭР села ЯНИИСХ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J101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8" sqref="A4:G98"/>
    </sheetView>
  </sheetViews>
  <sheetFormatPr defaultColWidth="9.140625" defaultRowHeight="11.25" x14ac:dyDescent="0.2"/>
  <cols>
    <col min="1" max="1" width="37.5703125" style="201" customWidth="1"/>
    <col min="2" max="2" width="21.5703125" style="200" customWidth="1"/>
    <col min="3" max="3" width="12.140625" style="202" customWidth="1"/>
    <col min="4" max="4" width="8.5703125" style="203" customWidth="1"/>
    <col min="5" max="5" width="14.28515625" style="200" customWidth="1"/>
    <col min="6" max="6" width="12.7109375" style="200" customWidth="1"/>
    <col min="7" max="7" width="14.28515625" style="200" customWidth="1"/>
    <col min="8" max="8" width="9.42578125" style="200" bestFit="1" customWidth="1"/>
    <col min="9" max="16384" width="9.140625" style="200"/>
  </cols>
  <sheetData>
    <row r="1" spans="1:10" ht="15.75" x14ac:dyDescent="0.2">
      <c r="A1" s="455" t="s">
        <v>548</v>
      </c>
      <c r="B1" s="455"/>
      <c r="C1" s="455"/>
      <c r="D1" s="455"/>
      <c r="E1" s="455"/>
      <c r="F1" s="455"/>
      <c r="G1" s="455"/>
    </row>
    <row r="2" spans="1:10" ht="15.75" x14ac:dyDescent="0.2">
      <c r="E2" s="204"/>
      <c r="F2" s="204"/>
      <c r="G2" s="204"/>
    </row>
    <row r="3" spans="1:10" hidden="1" x14ac:dyDescent="0.2"/>
    <row r="4" spans="1:10" s="205" customFormat="1" ht="26.25" customHeight="1" x14ac:dyDescent="0.2">
      <c r="A4" s="460" t="s">
        <v>219</v>
      </c>
      <c r="B4" s="460" t="s">
        <v>220</v>
      </c>
      <c r="C4" s="461" t="s">
        <v>11</v>
      </c>
      <c r="D4" s="456" t="s">
        <v>525</v>
      </c>
      <c r="E4" s="456" t="s">
        <v>553</v>
      </c>
      <c r="F4" s="457" t="s">
        <v>554</v>
      </c>
      <c r="G4" s="457" t="s">
        <v>555</v>
      </c>
    </row>
    <row r="5" spans="1:10" s="205" customFormat="1" ht="21.75" customHeight="1" x14ac:dyDescent="0.2">
      <c r="A5" s="460"/>
      <c r="B5" s="460"/>
      <c r="C5" s="461"/>
      <c r="D5" s="456"/>
      <c r="E5" s="456"/>
      <c r="F5" s="458"/>
      <c r="G5" s="458"/>
    </row>
    <row r="6" spans="1:10" s="205" customFormat="1" ht="21.75" customHeight="1" x14ac:dyDescent="0.2">
      <c r="A6" s="460"/>
      <c r="B6" s="460"/>
      <c r="C6" s="461"/>
      <c r="D6" s="456"/>
      <c r="E6" s="456"/>
      <c r="F6" s="459"/>
      <c r="G6" s="459"/>
    </row>
    <row r="7" spans="1:10" x14ac:dyDescent="0.2">
      <c r="A7" s="206" t="s">
        <v>227</v>
      </c>
      <c r="B7" s="207" t="s">
        <v>105</v>
      </c>
      <c r="C7" s="537">
        <v>463022.03</v>
      </c>
      <c r="D7" s="208">
        <v>8</v>
      </c>
      <c r="E7" s="382">
        <f>100/D7</f>
        <v>12.5</v>
      </c>
      <c r="F7" s="383">
        <v>1000</v>
      </c>
      <c r="G7" s="382">
        <f>((C7*E7%)/F7)*100%</f>
        <v>57.877753750000004</v>
      </c>
      <c r="H7" s="209"/>
      <c r="I7" s="209"/>
      <c r="J7" s="209"/>
    </row>
    <row r="8" spans="1:10" x14ac:dyDescent="0.2">
      <c r="A8" s="206" t="s">
        <v>228</v>
      </c>
      <c r="B8" s="207" t="s">
        <v>229</v>
      </c>
      <c r="C8" s="537">
        <v>901423.73</v>
      </c>
      <c r="D8" s="208">
        <v>10</v>
      </c>
      <c r="E8" s="382">
        <f t="shared" ref="E8:E71" si="0">100/D8</f>
        <v>10</v>
      </c>
      <c r="F8" s="207">
        <v>1200</v>
      </c>
      <c r="G8" s="382">
        <f t="shared" ref="G8:G71" si="1">((C8*E8%)/F8)*100%</f>
        <v>75.11864416666667</v>
      </c>
    </row>
    <row r="9" spans="1:10" x14ac:dyDescent="0.2">
      <c r="A9" s="206" t="s">
        <v>230</v>
      </c>
      <c r="B9" s="207" t="s">
        <v>231</v>
      </c>
      <c r="C9" s="537">
        <v>386694.9</v>
      </c>
      <c r="D9" s="208">
        <v>10</v>
      </c>
      <c r="E9" s="382">
        <f t="shared" si="0"/>
        <v>10</v>
      </c>
      <c r="F9" s="207">
        <v>1200</v>
      </c>
      <c r="G9" s="382">
        <f t="shared" si="1"/>
        <v>32.224575000000002</v>
      </c>
    </row>
    <row r="10" spans="1:10" x14ac:dyDescent="0.2">
      <c r="A10" s="206" t="s">
        <v>232</v>
      </c>
      <c r="B10" s="207" t="s">
        <v>107</v>
      </c>
      <c r="C10" s="538">
        <v>920000</v>
      </c>
      <c r="D10" s="208">
        <v>10</v>
      </c>
      <c r="E10" s="382">
        <f t="shared" si="0"/>
        <v>10</v>
      </c>
      <c r="F10" s="383">
        <v>1320</v>
      </c>
      <c r="G10" s="382">
        <f t="shared" si="1"/>
        <v>69.696969696969703</v>
      </c>
    </row>
    <row r="11" spans="1:10" x14ac:dyDescent="0.2">
      <c r="A11" s="206" t="s">
        <v>0</v>
      </c>
      <c r="B11" s="207" t="s">
        <v>186</v>
      </c>
      <c r="C11" s="537">
        <v>3256245</v>
      </c>
      <c r="D11" s="208">
        <v>10</v>
      </c>
      <c r="E11" s="382">
        <f t="shared" si="0"/>
        <v>10</v>
      </c>
      <c r="F11" s="383">
        <v>1790</v>
      </c>
      <c r="G11" s="382">
        <f t="shared" si="1"/>
        <v>181.91312849162011</v>
      </c>
    </row>
    <row r="12" spans="1:10" x14ac:dyDescent="0.2">
      <c r="A12" s="206" t="s">
        <v>233</v>
      </c>
      <c r="B12" s="207" t="s">
        <v>109</v>
      </c>
      <c r="C12" s="537">
        <v>679601.69</v>
      </c>
      <c r="D12" s="208">
        <v>10</v>
      </c>
      <c r="E12" s="382">
        <f t="shared" si="0"/>
        <v>10</v>
      </c>
      <c r="F12" s="383">
        <v>1100</v>
      </c>
      <c r="G12" s="382">
        <f t="shared" si="1"/>
        <v>61.781971818181816</v>
      </c>
    </row>
    <row r="13" spans="1:10" x14ac:dyDescent="0.2">
      <c r="A13" s="206" t="s">
        <v>233</v>
      </c>
      <c r="B13" s="207" t="s">
        <v>140</v>
      </c>
      <c r="C13" s="537">
        <v>345762.7</v>
      </c>
      <c r="D13" s="208">
        <v>8</v>
      </c>
      <c r="E13" s="382">
        <f t="shared" si="0"/>
        <v>12.5</v>
      </c>
      <c r="F13" s="207">
        <v>760</v>
      </c>
      <c r="G13" s="382">
        <f t="shared" si="1"/>
        <v>56.86886513157895</v>
      </c>
    </row>
    <row r="14" spans="1:10" x14ac:dyDescent="0.2">
      <c r="A14" s="210" t="s">
        <v>526</v>
      </c>
      <c r="B14" s="211" t="s">
        <v>185</v>
      </c>
      <c r="C14" s="539">
        <v>901423.73</v>
      </c>
      <c r="D14" s="208">
        <v>10</v>
      </c>
      <c r="E14" s="382">
        <f t="shared" si="0"/>
        <v>10</v>
      </c>
      <c r="F14" s="383">
        <v>1100</v>
      </c>
      <c r="G14" s="382">
        <f t="shared" si="1"/>
        <v>81.947611818181826</v>
      </c>
    </row>
    <row r="15" spans="1:10" x14ac:dyDescent="0.2">
      <c r="A15" s="206" t="s">
        <v>402</v>
      </c>
      <c r="B15" s="207" t="s">
        <v>364</v>
      </c>
      <c r="C15" s="537">
        <f>C13</f>
        <v>345762.7</v>
      </c>
      <c r="D15" s="208">
        <v>8</v>
      </c>
      <c r="E15" s="382">
        <f t="shared" si="0"/>
        <v>12.5</v>
      </c>
      <c r="F15" s="207">
        <v>1200</v>
      </c>
      <c r="G15" s="382">
        <f t="shared" si="1"/>
        <v>36.016947916666666</v>
      </c>
    </row>
    <row r="16" spans="1:10" x14ac:dyDescent="0.2">
      <c r="A16" s="206" t="s">
        <v>527</v>
      </c>
      <c r="B16" s="207" t="s">
        <v>528</v>
      </c>
      <c r="C16" s="537">
        <v>3743397</v>
      </c>
      <c r="D16" s="208">
        <v>10</v>
      </c>
      <c r="E16" s="382">
        <f t="shared" si="0"/>
        <v>10</v>
      </c>
      <c r="F16" s="207">
        <v>150</v>
      </c>
      <c r="G16" s="382">
        <f t="shared" si="1"/>
        <v>2495.598</v>
      </c>
    </row>
    <row r="17" spans="1:7" ht="11.25" customHeight="1" x14ac:dyDescent="0.2">
      <c r="A17" s="206" t="s">
        <v>234</v>
      </c>
      <c r="B17" s="207" t="s">
        <v>116</v>
      </c>
      <c r="C17" s="537">
        <v>1200366.1000000001</v>
      </c>
      <c r="D17" s="208">
        <v>10</v>
      </c>
      <c r="E17" s="382">
        <f t="shared" si="0"/>
        <v>10</v>
      </c>
      <c r="F17" s="207">
        <v>115</v>
      </c>
      <c r="G17" s="382">
        <f t="shared" si="1"/>
        <v>1043.7966086956524</v>
      </c>
    </row>
    <row r="18" spans="1:7" x14ac:dyDescent="0.2">
      <c r="A18" s="206" t="s">
        <v>529</v>
      </c>
      <c r="B18" s="207" t="s">
        <v>530</v>
      </c>
      <c r="C18" s="537">
        <v>1800000</v>
      </c>
      <c r="D18" s="208">
        <v>10</v>
      </c>
      <c r="E18" s="382">
        <f t="shared" si="0"/>
        <v>10</v>
      </c>
      <c r="F18" s="207">
        <v>150</v>
      </c>
      <c r="G18" s="382">
        <f t="shared" si="1"/>
        <v>1200</v>
      </c>
    </row>
    <row r="19" spans="1:7" x14ac:dyDescent="0.2">
      <c r="A19" s="206" t="s">
        <v>235</v>
      </c>
      <c r="B19" s="212" t="s">
        <v>403</v>
      </c>
      <c r="C19" s="540">
        <v>630760</v>
      </c>
      <c r="D19" s="208">
        <v>10</v>
      </c>
      <c r="E19" s="382">
        <f t="shared" si="0"/>
        <v>10</v>
      </c>
      <c r="F19" s="207">
        <v>1200</v>
      </c>
      <c r="G19" s="382">
        <f t="shared" si="1"/>
        <v>52.563333333333333</v>
      </c>
    </row>
    <row r="20" spans="1:7" x14ac:dyDescent="0.2">
      <c r="A20" s="206" t="s">
        <v>236</v>
      </c>
      <c r="B20" s="207" t="s">
        <v>212</v>
      </c>
      <c r="C20" s="537">
        <v>15000</v>
      </c>
      <c r="D20" s="208">
        <v>8</v>
      </c>
      <c r="E20" s="382">
        <f t="shared" si="0"/>
        <v>12.5</v>
      </c>
      <c r="F20" s="207">
        <v>160</v>
      </c>
      <c r="G20" s="382">
        <f t="shared" si="1"/>
        <v>11.71875</v>
      </c>
    </row>
    <row r="21" spans="1:7" x14ac:dyDescent="0.2">
      <c r="A21" s="206" t="s">
        <v>237</v>
      </c>
      <c r="B21" s="207" t="s">
        <v>238</v>
      </c>
      <c r="C21" s="537">
        <v>101694.9</v>
      </c>
      <c r="D21" s="208">
        <v>8</v>
      </c>
      <c r="E21" s="382">
        <f t="shared" si="0"/>
        <v>12.5</v>
      </c>
      <c r="F21" s="383">
        <v>280</v>
      </c>
      <c r="G21" s="382">
        <f t="shared" si="1"/>
        <v>45.399508928571429</v>
      </c>
    </row>
    <row r="22" spans="1:7" x14ac:dyDescent="0.2">
      <c r="A22" s="206" t="s">
        <v>396</v>
      </c>
      <c r="B22" s="206" t="s">
        <v>396</v>
      </c>
      <c r="C22" s="537">
        <f>C21</f>
        <v>101694.9</v>
      </c>
      <c r="D22" s="208">
        <v>8</v>
      </c>
      <c r="E22" s="382">
        <f t="shared" si="0"/>
        <v>12.5</v>
      </c>
      <c r="F22" s="383">
        <v>280</v>
      </c>
      <c r="G22" s="382">
        <f t="shared" si="1"/>
        <v>45.399508928571429</v>
      </c>
    </row>
    <row r="23" spans="1:7" x14ac:dyDescent="0.2">
      <c r="A23" s="206" t="s">
        <v>239</v>
      </c>
      <c r="B23" s="207" t="s">
        <v>240</v>
      </c>
      <c r="C23" s="537">
        <v>122033.8</v>
      </c>
      <c r="D23" s="208">
        <v>9</v>
      </c>
      <c r="E23" s="382">
        <f t="shared" si="0"/>
        <v>11.111111111111111</v>
      </c>
      <c r="F23" s="383">
        <v>280</v>
      </c>
      <c r="G23" s="382">
        <f t="shared" si="1"/>
        <v>48.426111111111105</v>
      </c>
    </row>
    <row r="24" spans="1:7" x14ac:dyDescent="0.2">
      <c r="A24" s="206" t="s">
        <v>241</v>
      </c>
      <c r="B24" s="207" t="s">
        <v>118</v>
      </c>
      <c r="C24" s="537">
        <v>1230426.27</v>
      </c>
      <c r="D24" s="208">
        <v>8</v>
      </c>
      <c r="E24" s="382">
        <f t="shared" si="0"/>
        <v>12.5</v>
      </c>
      <c r="F24" s="383">
        <v>280</v>
      </c>
      <c r="G24" s="382">
        <f t="shared" si="1"/>
        <v>549.29744196428567</v>
      </c>
    </row>
    <row r="25" spans="1:7" x14ac:dyDescent="0.2">
      <c r="A25" s="206" t="s">
        <v>242</v>
      </c>
      <c r="B25" s="207" t="s">
        <v>117</v>
      </c>
      <c r="C25" s="537">
        <v>73863.56</v>
      </c>
      <c r="D25" s="208">
        <v>10</v>
      </c>
      <c r="E25" s="382">
        <f t="shared" si="0"/>
        <v>10</v>
      </c>
      <c r="F25" s="384">
        <v>590</v>
      </c>
      <c r="G25" s="382">
        <f t="shared" si="1"/>
        <v>12.519247457627118</v>
      </c>
    </row>
    <row r="26" spans="1:7" x14ac:dyDescent="0.2">
      <c r="A26" s="206" t="s">
        <v>398</v>
      </c>
      <c r="B26" s="207" t="s">
        <v>397</v>
      </c>
      <c r="C26" s="537">
        <f>C25</f>
        <v>73863.56</v>
      </c>
      <c r="D26" s="208">
        <v>10</v>
      </c>
      <c r="E26" s="382">
        <f t="shared" si="0"/>
        <v>10</v>
      </c>
      <c r="F26" s="385">
        <f>F25</f>
        <v>590</v>
      </c>
      <c r="G26" s="382">
        <f t="shared" si="1"/>
        <v>12.519247457627118</v>
      </c>
    </row>
    <row r="27" spans="1:7" x14ac:dyDescent="0.2">
      <c r="A27" s="206" t="s">
        <v>243</v>
      </c>
      <c r="B27" s="207" t="s">
        <v>194</v>
      </c>
      <c r="C27" s="537">
        <v>371186.4</v>
      </c>
      <c r="D27" s="381">
        <v>8</v>
      </c>
      <c r="E27" s="382">
        <f t="shared" si="0"/>
        <v>12.5</v>
      </c>
      <c r="F27" s="386">
        <v>135</v>
      </c>
      <c r="G27" s="382">
        <f t="shared" si="1"/>
        <v>343.69111111111113</v>
      </c>
    </row>
    <row r="28" spans="1:7" x14ac:dyDescent="0.2">
      <c r="A28" s="206" t="s">
        <v>244</v>
      </c>
      <c r="B28" s="207" t="s">
        <v>198</v>
      </c>
      <c r="C28" s="537">
        <v>369491.53</v>
      </c>
      <c r="D28" s="208">
        <v>8</v>
      </c>
      <c r="E28" s="382">
        <f t="shared" si="0"/>
        <v>12.5</v>
      </c>
      <c r="F28" s="386">
        <v>120</v>
      </c>
      <c r="G28" s="382">
        <f t="shared" si="1"/>
        <v>384.88701041666667</v>
      </c>
    </row>
    <row r="29" spans="1:7" x14ac:dyDescent="0.2">
      <c r="A29" s="206" t="s">
        <v>245</v>
      </c>
      <c r="B29" s="207" t="s">
        <v>196</v>
      </c>
      <c r="C29" s="537">
        <v>166779.6</v>
      </c>
      <c r="D29" s="208">
        <v>7</v>
      </c>
      <c r="E29" s="382">
        <f t="shared" si="0"/>
        <v>14.285714285714286</v>
      </c>
      <c r="F29" s="386">
        <v>168</v>
      </c>
      <c r="G29" s="382">
        <f t="shared" si="1"/>
        <v>141.81938775510207</v>
      </c>
    </row>
    <row r="30" spans="1:7" x14ac:dyDescent="0.2">
      <c r="A30" s="206" t="s">
        <v>246</v>
      </c>
      <c r="B30" s="207" t="s">
        <v>195</v>
      </c>
      <c r="C30" s="537">
        <v>82627.12</v>
      </c>
      <c r="D30" s="208">
        <v>5</v>
      </c>
      <c r="E30" s="382">
        <f t="shared" si="0"/>
        <v>20</v>
      </c>
      <c r="F30" s="386">
        <v>115</v>
      </c>
      <c r="G30" s="382">
        <f t="shared" si="1"/>
        <v>143.69933913043477</v>
      </c>
    </row>
    <row r="31" spans="1:7" x14ac:dyDescent="0.2">
      <c r="A31" s="206" t="s">
        <v>247</v>
      </c>
      <c r="B31" s="207" t="s">
        <v>197</v>
      </c>
      <c r="C31" s="537">
        <v>494067.8</v>
      </c>
      <c r="D31" s="208">
        <v>6</v>
      </c>
      <c r="E31" s="382">
        <f t="shared" si="0"/>
        <v>16.666666666666668</v>
      </c>
      <c r="F31" s="386">
        <v>120</v>
      </c>
      <c r="G31" s="382">
        <f t="shared" si="1"/>
        <v>686.20527777777784</v>
      </c>
    </row>
    <row r="32" spans="1:7" x14ac:dyDescent="0.2">
      <c r="A32" s="213" t="s">
        <v>248</v>
      </c>
      <c r="B32" s="214" t="s">
        <v>152</v>
      </c>
      <c r="C32" s="537">
        <v>573559.30000000005</v>
      </c>
      <c r="D32" s="208">
        <v>8</v>
      </c>
      <c r="E32" s="382">
        <f t="shared" si="0"/>
        <v>12.5</v>
      </c>
      <c r="F32" s="386">
        <v>600</v>
      </c>
      <c r="G32" s="382">
        <f t="shared" si="1"/>
        <v>119.49152083333334</v>
      </c>
    </row>
    <row r="33" spans="1:7" x14ac:dyDescent="0.2">
      <c r="A33" s="206" t="s">
        <v>249</v>
      </c>
      <c r="B33" s="207" t="s">
        <v>122</v>
      </c>
      <c r="C33" s="537">
        <v>92542.399999999994</v>
      </c>
      <c r="D33" s="208">
        <v>5</v>
      </c>
      <c r="E33" s="382">
        <f t="shared" si="0"/>
        <v>20</v>
      </c>
      <c r="F33" s="384">
        <v>190</v>
      </c>
      <c r="G33" s="382">
        <f t="shared" si="1"/>
        <v>97.41305263157895</v>
      </c>
    </row>
    <row r="34" spans="1:7" x14ac:dyDescent="0.2">
      <c r="A34" s="206" t="s">
        <v>400</v>
      </c>
      <c r="B34" s="207" t="s">
        <v>399</v>
      </c>
      <c r="C34" s="537">
        <f>C33</f>
        <v>92542.399999999994</v>
      </c>
      <c r="D34" s="208">
        <v>5</v>
      </c>
      <c r="E34" s="382">
        <f t="shared" si="0"/>
        <v>20</v>
      </c>
      <c r="F34" s="384">
        <v>190</v>
      </c>
      <c r="G34" s="382">
        <f t="shared" si="1"/>
        <v>97.41305263157895</v>
      </c>
    </row>
    <row r="35" spans="1:7" x14ac:dyDescent="0.2">
      <c r="A35" s="206" t="s">
        <v>1</v>
      </c>
      <c r="B35" s="207" t="s">
        <v>424</v>
      </c>
      <c r="C35" s="537">
        <v>600000</v>
      </c>
      <c r="D35" s="208">
        <v>5</v>
      </c>
      <c r="E35" s="382">
        <f t="shared" si="0"/>
        <v>20</v>
      </c>
      <c r="F35" s="384">
        <v>190</v>
      </c>
      <c r="G35" s="382">
        <f t="shared" si="1"/>
        <v>631.57894736842104</v>
      </c>
    </row>
    <row r="36" spans="1:7" x14ac:dyDescent="0.2">
      <c r="A36" s="206" t="s">
        <v>250</v>
      </c>
      <c r="B36" s="207" t="s">
        <v>113</v>
      </c>
      <c r="C36" s="537">
        <v>280000</v>
      </c>
      <c r="D36" s="208">
        <v>5</v>
      </c>
      <c r="E36" s="382">
        <f t="shared" si="0"/>
        <v>20</v>
      </c>
      <c r="F36" s="384">
        <v>190</v>
      </c>
      <c r="G36" s="382">
        <f t="shared" si="1"/>
        <v>294.73684210526318</v>
      </c>
    </row>
    <row r="37" spans="1:7" x14ac:dyDescent="0.2">
      <c r="A37" s="206" t="s">
        <v>251</v>
      </c>
      <c r="B37" s="207" t="s">
        <v>252</v>
      </c>
      <c r="C37" s="537">
        <v>66101.600000000006</v>
      </c>
      <c r="D37" s="208">
        <v>5</v>
      </c>
      <c r="E37" s="382">
        <f t="shared" si="0"/>
        <v>20</v>
      </c>
      <c r="F37" s="384">
        <v>190</v>
      </c>
      <c r="G37" s="382">
        <f t="shared" si="1"/>
        <v>69.580631578947376</v>
      </c>
    </row>
    <row r="38" spans="1:7" x14ac:dyDescent="0.2">
      <c r="A38" s="206" t="s">
        <v>253</v>
      </c>
      <c r="B38" s="207" t="s">
        <v>126</v>
      </c>
      <c r="C38" s="537">
        <v>172881.36</v>
      </c>
      <c r="D38" s="381">
        <v>2</v>
      </c>
      <c r="E38" s="382">
        <f t="shared" si="0"/>
        <v>50</v>
      </c>
      <c r="F38" s="386">
        <v>600</v>
      </c>
      <c r="G38" s="382">
        <f t="shared" si="1"/>
        <v>144.06779999999998</v>
      </c>
    </row>
    <row r="39" spans="1:7" x14ac:dyDescent="0.2">
      <c r="A39" s="206" t="s">
        <v>254</v>
      </c>
      <c r="B39" s="207" t="s">
        <v>255</v>
      </c>
      <c r="C39" s="537">
        <v>71237.2</v>
      </c>
      <c r="D39" s="208">
        <v>6</v>
      </c>
      <c r="E39" s="382">
        <f t="shared" si="0"/>
        <v>16.666666666666668</v>
      </c>
      <c r="F39" s="384">
        <v>122</v>
      </c>
      <c r="G39" s="382">
        <f t="shared" si="1"/>
        <v>97.318579234972674</v>
      </c>
    </row>
    <row r="40" spans="1:7" x14ac:dyDescent="0.2">
      <c r="A40" s="206" t="s">
        <v>256</v>
      </c>
      <c r="B40" s="207" t="s">
        <v>203</v>
      </c>
      <c r="C40" s="537">
        <v>29118.6</v>
      </c>
      <c r="D40" s="208">
        <v>6</v>
      </c>
      <c r="E40" s="382">
        <f t="shared" si="0"/>
        <v>16.666666666666668</v>
      </c>
      <c r="F40" s="384">
        <v>122</v>
      </c>
      <c r="G40" s="382">
        <f t="shared" si="1"/>
        <v>39.779508196721316</v>
      </c>
    </row>
    <row r="41" spans="1:7" x14ac:dyDescent="0.2">
      <c r="A41" s="206" t="s">
        <v>257</v>
      </c>
      <c r="B41" s="207" t="s">
        <v>214</v>
      </c>
      <c r="C41" s="537">
        <v>14872.8</v>
      </c>
      <c r="D41" s="208">
        <v>5</v>
      </c>
      <c r="E41" s="382">
        <f t="shared" si="0"/>
        <v>20</v>
      </c>
      <c r="F41" s="384">
        <v>168</v>
      </c>
      <c r="G41" s="382">
        <f t="shared" si="1"/>
        <v>17.705714285714286</v>
      </c>
    </row>
    <row r="42" spans="1:7" x14ac:dyDescent="0.2">
      <c r="A42" s="213" t="s">
        <v>258</v>
      </c>
      <c r="B42" s="214" t="s">
        <v>207</v>
      </c>
      <c r="C42" s="537">
        <v>22033.8</v>
      </c>
      <c r="D42" s="208">
        <v>6</v>
      </c>
      <c r="E42" s="382">
        <f t="shared" si="0"/>
        <v>16.666666666666668</v>
      </c>
      <c r="F42" s="384">
        <v>122</v>
      </c>
      <c r="G42" s="382">
        <f t="shared" si="1"/>
        <v>30.100819672131149</v>
      </c>
    </row>
    <row r="43" spans="1:7" x14ac:dyDescent="0.2">
      <c r="A43" s="206" t="s">
        <v>253</v>
      </c>
      <c r="B43" s="207" t="s">
        <v>148</v>
      </c>
      <c r="C43" s="537">
        <v>88135.5</v>
      </c>
      <c r="D43" s="381">
        <v>2</v>
      </c>
      <c r="E43" s="382">
        <f t="shared" si="0"/>
        <v>50</v>
      </c>
      <c r="F43" s="386">
        <v>600</v>
      </c>
      <c r="G43" s="382">
        <f t="shared" si="1"/>
        <v>73.446250000000006</v>
      </c>
    </row>
    <row r="44" spans="1:7" x14ac:dyDescent="0.2">
      <c r="A44" s="206" t="s">
        <v>259</v>
      </c>
      <c r="B44" s="207" t="s">
        <v>134</v>
      </c>
      <c r="C44" s="537">
        <v>99679.66</v>
      </c>
      <c r="D44" s="208">
        <v>10</v>
      </c>
      <c r="E44" s="382">
        <f t="shared" si="0"/>
        <v>10</v>
      </c>
      <c r="F44" s="386">
        <v>675</v>
      </c>
      <c r="G44" s="382">
        <f t="shared" si="1"/>
        <v>14.767357037037037</v>
      </c>
    </row>
    <row r="45" spans="1:7" x14ac:dyDescent="0.2">
      <c r="A45" s="210" t="s">
        <v>531</v>
      </c>
      <c r="B45" s="211" t="s">
        <v>532</v>
      </c>
      <c r="C45" s="539">
        <v>40645</v>
      </c>
      <c r="D45" s="208">
        <v>8</v>
      </c>
      <c r="E45" s="382">
        <f t="shared" si="0"/>
        <v>12.5</v>
      </c>
      <c r="F45" s="384">
        <v>112</v>
      </c>
      <c r="G45" s="382">
        <f t="shared" si="1"/>
        <v>45.362723214285715</v>
      </c>
    </row>
    <row r="46" spans="1:7" x14ac:dyDescent="0.2">
      <c r="A46" s="206" t="s">
        <v>260</v>
      </c>
      <c r="B46" s="207" t="s">
        <v>154</v>
      </c>
      <c r="C46" s="537">
        <v>40644.92</v>
      </c>
      <c r="D46" s="208">
        <v>8</v>
      </c>
      <c r="E46" s="382">
        <f t="shared" si="0"/>
        <v>12.5</v>
      </c>
      <c r="F46" s="384">
        <v>112</v>
      </c>
      <c r="G46" s="382">
        <f t="shared" si="1"/>
        <v>45.362633928571427</v>
      </c>
    </row>
    <row r="47" spans="1:7" x14ac:dyDescent="0.2">
      <c r="A47" s="206" t="s">
        <v>261</v>
      </c>
      <c r="B47" s="207" t="s">
        <v>193</v>
      </c>
      <c r="C47" s="537">
        <v>77118.600000000006</v>
      </c>
      <c r="D47" s="208">
        <v>8</v>
      </c>
      <c r="E47" s="382">
        <f t="shared" si="0"/>
        <v>12.5</v>
      </c>
      <c r="F47" s="384">
        <v>112</v>
      </c>
      <c r="G47" s="382">
        <f t="shared" si="1"/>
        <v>86.069866071428578</v>
      </c>
    </row>
    <row r="48" spans="1:7" x14ac:dyDescent="0.2">
      <c r="A48" s="213" t="s">
        <v>262</v>
      </c>
      <c r="B48" s="214" t="s">
        <v>130</v>
      </c>
      <c r="C48" s="537">
        <v>208474.5</v>
      </c>
      <c r="D48" s="208">
        <v>8</v>
      </c>
      <c r="E48" s="382">
        <f t="shared" si="0"/>
        <v>12.5</v>
      </c>
      <c r="F48" s="386">
        <v>120</v>
      </c>
      <c r="G48" s="382">
        <f t="shared" si="1"/>
        <v>217.16093749999999</v>
      </c>
    </row>
    <row r="49" spans="1:7" x14ac:dyDescent="0.2">
      <c r="A49" s="206" t="s">
        <v>263</v>
      </c>
      <c r="B49" s="207" t="s">
        <v>135</v>
      </c>
      <c r="C49" s="538">
        <v>150000</v>
      </c>
      <c r="D49" s="208">
        <v>7</v>
      </c>
      <c r="E49" s="382">
        <f t="shared" si="0"/>
        <v>14.285714285714286</v>
      </c>
      <c r="F49" s="386">
        <v>135</v>
      </c>
      <c r="G49" s="382">
        <f t="shared" si="1"/>
        <v>158.73015873015876</v>
      </c>
    </row>
    <row r="50" spans="1:7" x14ac:dyDescent="0.2">
      <c r="A50" s="206" t="s">
        <v>264</v>
      </c>
      <c r="B50" s="207" t="s">
        <v>213</v>
      </c>
      <c r="C50" s="537">
        <v>18220.34</v>
      </c>
      <c r="D50" s="208">
        <v>5</v>
      </c>
      <c r="E50" s="382">
        <f t="shared" si="0"/>
        <v>20</v>
      </c>
      <c r="F50" s="386">
        <v>120</v>
      </c>
      <c r="G50" s="382">
        <f t="shared" si="1"/>
        <v>30.367233333333335</v>
      </c>
    </row>
    <row r="51" spans="1:7" x14ac:dyDescent="0.2">
      <c r="A51" s="206" t="s">
        <v>265</v>
      </c>
      <c r="B51" s="207" t="s">
        <v>266</v>
      </c>
      <c r="C51" s="537">
        <v>511102.54</v>
      </c>
      <c r="D51" s="208">
        <v>8</v>
      </c>
      <c r="E51" s="382">
        <f t="shared" si="0"/>
        <v>12.5</v>
      </c>
      <c r="F51" s="386">
        <v>200</v>
      </c>
      <c r="G51" s="382">
        <f t="shared" si="1"/>
        <v>319.43908749999997</v>
      </c>
    </row>
    <row r="52" spans="1:7" x14ac:dyDescent="0.2">
      <c r="A52" s="206" t="s">
        <v>267</v>
      </c>
      <c r="B52" s="207" t="s">
        <v>268</v>
      </c>
      <c r="C52" s="537">
        <v>74745.8</v>
      </c>
      <c r="D52" s="208">
        <v>8</v>
      </c>
      <c r="E52" s="382">
        <f t="shared" si="0"/>
        <v>12.5</v>
      </c>
      <c r="F52" s="384">
        <v>185</v>
      </c>
      <c r="G52" s="382">
        <f t="shared" si="1"/>
        <v>50.50391891891892</v>
      </c>
    </row>
    <row r="53" spans="1:7" x14ac:dyDescent="0.2">
      <c r="A53" s="206" t="s">
        <v>269</v>
      </c>
      <c r="B53" s="207" t="s">
        <v>123</v>
      </c>
      <c r="C53" s="537">
        <v>66101.600000000006</v>
      </c>
      <c r="D53" s="208">
        <v>8</v>
      </c>
      <c r="E53" s="382">
        <f t="shared" si="0"/>
        <v>12.5</v>
      </c>
      <c r="F53" s="386">
        <v>160</v>
      </c>
      <c r="G53" s="382">
        <f t="shared" si="1"/>
        <v>51.641875000000006</v>
      </c>
    </row>
    <row r="54" spans="1:7" x14ac:dyDescent="0.2">
      <c r="A54" s="206" t="s">
        <v>270</v>
      </c>
      <c r="B54" s="207" t="s">
        <v>153</v>
      </c>
      <c r="C54" s="537">
        <v>69525.399999999994</v>
      </c>
      <c r="D54" s="208">
        <v>8</v>
      </c>
      <c r="E54" s="382">
        <f t="shared" si="0"/>
        <v>12.5</v>
      </c>
      <c r="F54" s="386">
        <v>200</v>
      </c>
      <c r="G54" s="382">
        <f t="shared" si="1"/>
        <v>43.453374999999994</v>
      </c>
    </row>
    <row r="55" spans="1:7" x14ac:dyDescent="0.2">
      <c r="A55" s="206"/>
      <c r="B55" s="207" t="s">
        <v>425</v>
      </c>
      <c r="C55" s="537">
        <v>600000</v>
      </c>
      <c r="D55" s="208">
        <v>8</v>
      </c>
      <c r="E55" s="382">
        <f t="shared" si="0"/>
        <v>12.5</v>
      </c>
      <c r="F55" s="386">
        <v>65</v>
      </c>
      <c r="G55" s="382">
        <f t="shared" si="1"/>
        <v>1153.8461538461538</v>
      </c>
    </row>
    <row r="56" spans="1:7" x14ac:dyDescent="0.2">
      <c r="A56" s="206" t="s">
        <v>271</v>
      </c>
      <c r="B56" s="207" t="s">
        <v>132</v>
      </c>
      <c r="C56" s="537">
        <v>52203.4</v>
      </c>
      <c r="D56" s="208">
        <v>8</v>
      </c>
      <c r="E56" s="382">
        <f t="shared" si="0"/>
        <v>12.5</v>
      </c>
      <c r="F56" s="386">
        <v>195</v>
      </c>
      <c r="G56" s="382">
        <f t="shared" si="1"/>
        <v>33.463717948717949</v>
      </c>
    </row>
    <row r="57" spans="1:7" x14ac:dyDescent="0.2">
      <c r="A57" s="213" t="s">
        <v>272</v>
      </c>
      <c r="B57" s="214" t="s">
        <v>202</v>
      </c>
      <c r="C57" s="537">
        <v>19491.5</v>
      </c>
      <c r="D57" s="208">
        <v>5</v>
      </c>
      <c r="E57" s="382">
        <f t="shared" si="0"/>
        <v>20</v>
      </c>
      <c r="F57" s="386">
        <v>130</v>
      </c>
      <c r="G57" s="382">
        <f t="shared" si="1"/>
        <v>29.986923076923077</v>
      </c>
    </row>
    <row r="58" spans="1:7" x14ac:dyDescent="0.2">
      <c r="A58" s="206" t="s">
        <v>273</v>
      </c>
      <c r="B58" s="207" t="s">
        <v>200</v>
      </c>
      <c r="C58" s="537">
        <v>1423728.81</v>
      </c>
      <c r="D58" s="208">
        <v>7</v>
      </c>
      <c r="E58" s="382">
        <f t="shared" si="0"/>
        <v>14.285714285714286</v>
      </c>
      <c r="F58" s="386">
        <v>130</v>
      </c>
      <c r="G58" s="382">
        <f t="shared" si="1"/>
        <v>1564.5371538461543</v>
      </c>
    </row>
    <row r="59" spans="1:7" x14ac:dyDescent="0.2">
      <c r="A59" s="206" t="s">
        <v>2</v>
      </c>
      <c r="B59" s="207" t="s">
        <v>434</v>
      </c>
      <c r="C59" s="537">
        <v>450000</v>
      </c>
      <c r="D59" s="208">
        <v>8</v>
      </c>
      <c r="E59" s="382">
        <f t="shared" si="0"/>
        <v>12.5</v>
      </c>
      <c r="F59" s="386">
        <v>80</v>
      </c>
      <c r="G59" s="382">
        <f t="shared" si="1"/>
        <v>703.125</v>
      </c>
    </row>
    <row r="60" spans="1:7" x14ac:dyDescent="0.2">
      <c r="A60" s="206" t="s">
        <v>274</v>
      </c>
      <c r="B60" s="207" t="s">
        <v>138</v>
      </c>
      <c r="C60" s="537">
        <v>41864.400000000001</v>
      </c>
      <c r="D60" s="208">
        <v>8</v>
      </c>
      <c r="E60" s="382">
        <f t="shared" si="0"/>
        <v>12.5</v>
      </c>
      <c r="F60" s="386">
        <v>125</v>
      </c>
      <c r="G60" s="382">
        <f t="shared" si="1"/>
        <v>41.864400000000003</v>
      </c>
    </row>
    <row r="61" spans="1:7" x14ac:dyDescent="0.2">
      <c r="A61" s="206" t="s">
        <v>275</v>
      </c>
      <c r="B61" s="207" t="s">
        <v>136</v>
      </c>
      <c r="C61" s="537">
        <v>65254.2</v>
      </c>
      <c r="D61" s="208">
        <v>8</v>
      </c>
      <c r="E61" s="382">
        <f t="shared" si="0"/>
        <v>12.5</v>
      </c>
      <c r="F61" s="386">
        <v>160</v>
      </c>
      <c r="G61" s="382">
        <f t="shared" si="1"/>
        <v>50.979843750000001</v>
      </c>
    </row>
    <row r="62" spans="1:7" x14ac:dyDescent="0.2">
      <c r="A62" s="206" t="s">
        <v>276</v>
      </c>
      <c r="B62" s="207" t="s">
        <v>277</v>
      </c>
      <c r="C62" s="537">
        <v>233898.31</v>
      </c>
      <c r="D62" s="208">
        <v>8</v>
      </c>
      <c r="E62" s="382">
        <f t="shared" si="0"/>
        <v>12.5</v>
      </c>
      <c r="F62" s="384">
        <v>160</v>
      </c>
      <c r="G62" s="382">
        <f t="shared" si="1"/>
        <v>182.73305468749999</v>
      </c>
    </row>
    <row r="63" spans="1:7" x14ac:dyDescent="0.2">
      <c r="A63" s="206" t="s">
        <v>276</v>
      </c>
      <c r="B63" s="207" t="s">
        <v>199</v>
      </c>
      <c r="C63" s="537">
        <v>320338.98</v>
      </c>
      <c r="D63" s="208">
        <v>8</v>
      </c>
      <c r="E63" s="382">
        <f t="shared" si="0"/>
        <v>12.5</v>
      </c>
      <c r="F63" s="384">
        <v>160</v>
      </c>
      <c r="G63" s="382">
        <f t="shared" si="1"/>
        <v>250.26482812499998</v>
      </c>
    </row>
    <row r="64" spans="1:7" x14ac:dyDescent="0.2">
      <c r="A64" s="206" t="s">
        <v>278</v>
      </c>
      <c r="B64" s="207" t="s">
        <v>128</v>
      </c>
      <c r="C64" s="537">
        <v>90666.95</v>
      </c>
      <c r="D64" s="208">
        <v>7</v>
      </c>
      <c r="E64" s="382">
        <f t="shared" si="0"/>
        <v>14.285714285714286</v>
      </c>
      <c r="F64" s="384">
        <v>120</v>
      </c>
      <c r="G64" s="382">
        <f t="shared" si="1"/>
        <v>107.93684523809524</v>
      </c>
    </row>
    <row r="65" spans="1:7" x14ac:dyDescent="0.2">
      <c r="A65" s="206" t="s">
        <v>279</v>
      </c>
      <c r="B65" s="207" t="s">
        <v>146</v>
      </c>
      <c r="C65" s="537">
        <v>61016.9</v>
      </c>
      <c r="D65" s="208">
        <v>7</v>
      </c>
      <c r="E65" s="382">
        <f t="shared" si="0"/>
        <v>14.285714285714286</v>
      </c>
      <c r="F65" s="384">
        <v>120</v>
      </c>
      <c r="G65" s="382">
        <f t="shared" si="1"/>
        <v>72.639166666666668</v>
      </c>
    </row>
    <row r="66" spans="1:7" x14ac:dyDescent="0.2">
      <c r="A66" s="206" t="s">
        <v>280</v>
      </c>
      <c r="B66" s="207" t="s">
        <v>114</v>
      </c>
      <c r="C66" s="537">
        <v>165254.24</v>
      </c>
      <c r="D66" s="208">
        <v>6</v>
      </c>
      <c r="E66" s="382">
        <f t="shared" si="0"/>
        <v>16.666666666666668</v>
      </c>
      <c r="F66" s="386">
        <v>140</v>
      </c>
      <c r="G66" s="382">
        <f t="shared" si="1"/>
        <v>196.73123809523813</v>
      </c>
    </row>
    <row r="67" spans="1:7" x14ac:dyDescent="0.2">
      <c r="A67" s="206" t="s">
        <v>281</v>
      </c>
      <c r="B67" s="214" t="s">
        <v>141</v>
      </c>
      <c r="C67" s="537">
        <v>172881.3</v>
      </c>
      <c r="D67" s="208">
        <v>10</v>
      </c>
      <c r="E67" s="382">
        <f t="shared" si="0"/>
        <v>10</v>
      </c>
      <c r="F67" s="386">
        <v>125</v>
      </c>
      <c r="G67" s="382">
        <f t="shared" si="1"/>
        <v>138.30504000000002</v>
      </c>
    </row>
    <row r="68" spans="1:7" x14ac:dyDescent="0.2">
      <c r="A68" s="213" t="s">
        <v>282</v>
      </c>
      <c r="B68" s="214" t="s">
        <v>147</v>
      </c>
      <c r="C68" s="537">
        <v>16400</v>
      </c>
      <c r="D68" s="208">
        <v>5</v>
      </c>
      <c r="E68" s="382">
        <f t="shared" si="0"/>
        <v>20</v>
      </c>
      <c r="F68" s="386">
        <v>26</v>
      </c>
      <c r="G68" s="382">
        <f t="shared" si="1"/>
        <v>126.15384615384616</v>
      </c>
    </row>
    <row r="69" spans="1:7" x14ac:dyDescent="0.2">
      <c r="A69" s="206" t="s">
        <v>283</v>
      </c>
      <c r="B69" s="207" t="s">
        <v>139</v>
      </c>
      <c r="C69" s="537">
        <v>82627.12</v>
      </c>
      <c r="D69" s="208">
        <v>7</v>
      </c>
      <c r="E69" s="382">
        <f t="shared" si="0"/>
        <v>14.285714285714286</v>
      </c>
      <c r="F69" s="386">
        <v>600</v>
      </c>
      <c r="G69" s="382">
        <f t="shared" si="1"/>
        <v>19.673123809523812</v>
      </c>
    </row>
    <row r="70" spans="1:7" x14ac:dyDescent="0.2">
      <c r="A70" s="206" t="s">
        <v>3</v>
      </c>
      <c r="B70" s="207" t="s">
        <v>427</v>
      </c>
      <c r="C70" s="537">
        <v>190000</v>
      </c>
      <c r="D70" s="208">
        <v>7</v>
      </c>
      <c r="E70" s="382">
        <f t="shared" si="0"/>
        <v>14.285714285714286</v>
      </c>
      <c r="F70" s="386">
        <v>600</v>
      </c>
      <c r="G70" s="382">
        <f t="shared" si="1"/>
        <v>45.238095238095241</v>
      </c>
    </row>
    <row r="71" spans="1:7" x14ac:dyDescent="0.2">
      <c r="A71" s="206" t="s">
        <v>284</v>
      </c>
      <c r="B71" s="207" t="s">
        <v>209</v>
      </c>
      <c r="C71" s="537">
        <v>70736.44</v>
      </c>
      <c r="D71" s="208">
        <v>7</v>
      </c>
      <c r="E71" s="382">
        <f t="shared" si="0"/>
        <v>14.285714285714286</v>
      </c>
      <c r="F71" s="386">
        <v>600</v>
      </c>
      <c r="G71" s="382">
        <f t="shared" si="1"/>
        <v>16.842009523809526</v>
      </c>
    </row>
    <row r="72" spans="1:7" x14ac:dyDescent="0.2">
      <c r="A72" s="206" t="s">
        <v>285</v>
      </c>
      <c r="B72" s="207" t="s">
        <v>115</v>
      </c>
      <c r="C72" s="537">
        <v>29139.83</v>
      </c>
      <c r="D72" s="208">
        <v>8</v>
      </c>
      <c r="E72" s="382">
        <f t="shared" ref="E72:E98" si="2">100/D72</f>
        <v>12.5</v>
      </c>
      <c r="F72" s="384">
        <v>215</v>
      </c>
      <c r="G72" s="382">
        <f t="shared" ref="G72:G98" si="3">((C72*E72%)/F72)*100%</f>
        <v>16.941761627906978</v>
      </c>
    </row>
    <row r="73" spans="1:7" x14ac:dyDescent="0.2">
      <c r="A73" s="206" t="s">
        <v>401</v>
      </c>
      <c r="B73" s="207" t="s">
        <v>381</v>
      </c>
      <c r="C73" s="537">
        <f>C72</f>
        <v>29139.83</v>
      </c>
      <c r="D73" s="208">
        <v>8</v>
      </c>
      <c r="E73" s="382">
        <f t="shared" si="2"/>
        <v>12.5</v>
      </c>
      <c r="F73" s="385">
        <v>215</v>
      </c>
      <c r="G73" s="382">
        <f t="shared" si="3"/>
        <v>16.941761627906978</v>
      </c>
    </row>
    <row r="74" spans="1:7" x14ac:dyDescent="0.2">
      <c r="A74" s="206" t="s">
        <v>286</v>
      </c>
      <c r="B74" s="207" t="s">
        <v>287</v>
      </c>
      <c r="C74" s="537">
        <v>181779.66</v>
      </c>
      <c r="D74" s="208">
        <v>6</v>
      </c>
      <c r="E74" s="382">
        <f t="shared" si="2"/>
        <v>16.666666666666668</v>
      </c>
      <c r="F74" s="385">
        <f>F73</f>
        <v>215</v>
      </c>
      <c r="G74" s="382">
        <f t="shared" si="3"/>
        <v>140.9144651162791</v>
      </c>
    </row>
    <row r="75" spans="1:7" x14ac:dyDescent="0.2">
      <c r="A75" s="213" t="s">
        <v>288</v>
      </c>
      <c r="B75" s="214" t="s">
        <v>210</v>
      </c>
      <c r="C75" s="537">
        <v>66101.600000000006</v>
      </c>
      <c r="D75" s="208">
        <v>6</v>
      </c>
      <c r="E75" s="382">
        <f t="shared" si="2"/>
        <v>16.666666666666668</v>
      </c>
      <c r="F75" s="384">
        <v>120</v>
      </c>
      <c r="G75" s="382">
        <f t="shared" si="3"/>
        <v>91.807777777777801</v>
      </c>
    </row>
    <row r="76" spans="1:7" x14ac:dyDescent="0.2">
      <c r="A76" s="206" t="s">
        <v>247</v>
      </c>
      <c r="B76" s="207" t="s">
        <v>289</v>
      </c>
      <c r="C76" s="537">
        <v>132203.39000000001</v>
      </c>
      <c r="D76" s="208">
        <v>6</v>
      </c>
      <c r="E76" s="382">
        <f t="shared" si="2"/>
        <v>16.666666666666668</v>
      </c>
      <c r="F76" s="384">
        <v>120</v>
      </c>
      <c r="G76" s="382">
        <f t="shared" si="3"/>
        <v>183.6158194444445</v>
      </c>
    </row>
    <row r="77" spans="1:7" x14ac:dyDescent="0.2">
      <c r="A77" s="213" t="s">
        <v>290</v>
      </c>
      <c r="B77" s="214" t="s">
        <v>208</v>
      </c>
      <c r="C77" s="537">
        <v>152542.29999999999</v>
      </c>
      <c r="D77" s="208">
        <v>6</v>
      </c>
      <c r="E77" s="382">
        <f t="shared" si="2"/>
        <v>16.666666666666668</v>
      </c>
      <c r="F77" s="384">
        <v>120</v>
      </c>
      <c r="G77" s="382">
        <f t="shared" si="3"/>
        <v>211.86430555555555</v>
      </c>
    </row>
    <row r="78" spans="1:7" x14ac:dyDescent="0.2">
      <c r="A78" s="206" t="s">
        <v>291</v>
      </c>
      <c r="B78" s="214" t="s">
        <v>144</v>
      </c>
      <c r="C78" s="537">
        <v>215593.2</v>
      </c>
      <c r="D78" s="208">
        <v>9</v>
      </c>
      <c r="E78" s="382">
        <f t="shared" si="2"/>
        <v>11.111111111111111</v>
      </c>
      <c r="F78" s="386">
        <v>95</v>
      </c>
      <c r="G78" s="382">
        <f t="shared" si="3"/>
        <v>252.15578947368419</v>
      </c>
    </row>
    <row r="79" spans="1:7" x14ac:dyDescent="0.2">
      <c r="A79" s="206" t="s">
        <v>292</v>
      </c>
      <c r="B79" s="207" t="s">
        <v>149</v>
      </c>
      <c r="C79" s="537">
        <v>165221.1</v>
      </c>
      <c r="D79" s="208">
        <v>10</v>
      </c>
      <c r="E79" s="382">
        <f t="shared" si="2"/>
        <v>10</v>
      </c>
      <c r="F79" s="386">
        <v>650</v>
      </c>
      <c r="G79" s="382">
        <f t="shared" si="3"/>
        <v>25.41863076923077</v>
      </c>
    </row>
    <row r="80" spans="1:7" x14ac:dyDescent="0.2">
      <c r="A80" s="213" t="s">
        <v>293</v>
      </c>
      <c r="B80" s="214" t="s">
        <v>127</v>
      </c>
      <c r="C80" s="537">
        <v>73220.3</v>
      </c>
      <c r="D80" s="208">
        <v>7</v>
      </c>
      <c r="E80" s="382">
        <f t="shared" si="2"/>
        <v>14.285714285714286</v>
      </c>
      <c r="F80" s="386">
        <v>600</v>
      </c>
      <c r="G80" s="382">
        <f t="shared" si="3"/>
        <v>17.433404761904765</v>
      </c>
    </row>
    <row r="81" spans="1:7" x14ac:dyDescent="0.2">
      <c r="A81" s="206" t="s">
        <v>294</v>
      </c>
      <c r="B81" s="207" t="s">
        <v>131</v>
      </c>
      <c r="C81" s="537">
        <v>213559.3</v>
      </c>
      <c r="D81" s="208">
        <v>8</v>
      </c>
      <c r="E81" s="382">
        <f t="shared" si="2"/>
        <v>12.5</v>
      </c>
      <c r="F81" s="386">
        <v>110</v>
      </c>
      <c r="G81" s="382">
        <f t="shared" si="3"/>
        <v>242.6810227272727</v>
      </c>
    </row>
    <row r="82" spans="1:7" ht="12" customHeight="1" x14ac:dyDescent="0.2">
      <c r="A82" s="206" t="s">
        <v>295</v>
      </c>
      <c r="B82" s="207" t="s">
        <v>129</v>
      </c>
      <c r="C82" s="537">
        <v>104661.02</v>
      </c>
      <c r="D82" s="208">
        <v>6</v>
      </c>
      <c r="E82" s="382">
        <f t="shared" si="2"/>
        <v>16.666666666666668</v>
      </c>
      <c r="F82" s="386">
        <v>140</v>
      </c>
      <c r="G82" s="382">
        <f t="shared" si="3"/>
        <v>124.59645238095241</v>
      </c>
    </row>
    <row r="83" spans="1:7" x14ac:dyDescent="0.2">
      <c r="A83" s="206" t="s">
        <v>294</v>
      </c>
      <c r="B83" s="207" t="s">
        <v>150</v>
      </c>
      <c r="C83" s="537">
        <v>189152.5</v>
      </c>
      <c r="D83" s="208">
        <v>8</v>
      </c>
      <c r="E83" s="382">
        <f t="shared" si="2"/>
        <v>12.5</v>
      </c>
      <c r="F83" s="386">
        <v>110</v>
      </c>
      <c r="G83" s="382">
        <f t="shared" si="3"/>
        <v>214.94602272727272</v>
      </c>
    </row>
    <row r="84" spans="1:7" x14ac:dyDescent="0.2">
      <c r="A84" s="206" t="s">
        <v>296</v>
      </c>
      <c r="B84" s="207" t="s">
        <v>106</v>
      </c>
      <c r="C84" s="537">
        <v>176271.19</v>
      </c>
      <c r="D84" s="208">
        <v>8</v>
      </c>
      <c r="E84" s="382">
        <f t="shared" si="2"/>
        <v>12.5</v>
      </c>
      <c r="F84" s="386">
        <v>120</v>
      </c>
      <c r="G84" s="382">
        <f t="shared" si="3"/>
        <v>183.61582291666667</v>
      </c>
    </row>
    <row r="85" spans="1:7" x14ac:dyDescent="0.2">
      <c r="A85" s="206" t="s">
        <v>297</v>
      </c>
      <c r="B85" s="207" t="s">
        <v>112</v>
      </c>
      <c r="C85" s="537">
        <v>88983.1</v>
      </c>
      <c r="D85" s="208">
        <v>9.0909090909090917</v>
      </c>
      <c r="E85" s="382">
        <f t="shared" si="2"/>
        <v>10.999999999999998</v>
      </c>
      <c r="F85" s="386">
        <v>90</v>
      </c>
      <c r="G85" s="382">
        <f t="shared" si="3"/>
        <v>108.75712222222222</v>
      </c>
    </row>
    <row r="86" spans="1:7" x14ac:dyDescent="0.2">
      <c r="A86" s="206" t="s">
        <v>298</v>
      </c>
      <c r="B86" s="207" t="s">
        <v>119</v>
      </c>
      <c r="C86" s="537">
        <v>837966.1</v>
      </c>
      <c r="D86" s="208">
        <v>10</v>
      </c>
      <c r="E86" s="382">
        <f t="shared" si="2"/>
        <v>10</v>
      </c>
      <c r="F86" s="386">
        <v>315</v>
      </c>
      <c r="G86" s="382">
        <f t="shared" si="3"/>
        <v>266.0209841269841</v>
      </c>
    </row>
    <row r="87" spans="1:7" x14ac:dyDescent="0.2">
      <c r="A87" s="206" t="s">
        <v>299</v>
      </c>
      <c r="B87" s="207" t="s">
        <v>300</v>
      </c>
      <c r="C87" s="537">
        <v>91525.42</v>
      </c>
      <c r="D87" s="208">
        <v>8</v>
      </c>
      <c r="E87" s="382">
        <f t="shared" si="2"/>
        <v>12.5</v>
      </c>
      <c r="F87" s="386">
        <v>100</v>
      </c>
      <c r="G87" s="382">
        <f t="shared" si="3"/>
        <v>114.406775</v>
      </c>
    </row>
    <row r="88" spans="1:7" x14ac:dyDescent="0.2">
      <c r="A88" s="206" t="s">
        <v>394</v>
      </c>
      <c r="B88" s="207" t="s">
        <v>151</v>
      </c>
      <c r="C88" s="537">
        <f>C87</f>
        <v>91525.42</v>
      </c>
      <c r="D88" s="208">
        <v>8</v>
      </c>
      <c r="E88" s="382">
        <f t="shared" si="2"/>
        <v>12.5</v>
      </c>
      <c r="F88" s="386">
        <v>100</v>
      </c>
      <c r="G88" s="382">
        <f t="shared" si="3"/>
        <v>114.406775</v>
      </c>
    </row>
    <row r="89" spans="1:7" x14ac:dyDescent="0.2">
      <c r="A89" s="213" t="s">
        <v>301</v>
      </c>
      <c r="B89" s="214" t="s">
        <v>137</v>
      </c>
      <c r="C89" s="537">
        <v>136271.1</v>
      </c>
      <c r="D89" s="208">
        <v>8</v>
      </c>
      <c r="E89" s="382">
        <f t="shared" si="2"/>
        <v>12.5</v>
      </c>
      <c r="F89" s="386">
        <v>120</v>
      </c>
      <c r="G89" s="382">
        <f t="shared" si="3"/>
        <v>141.9490625</v>
      </c>
    </row>
    <row r="90" spans="1:7" x14ac:dyDescent="0.2">
      <c r="A90" s="206" t="s">
        <v>302</v>
      </c>
      <c r="B90" s="207" t="s">
        <v>133</v>
      </c>
      <c r="C90" s="537">
        <v>178347.46</v>
      </c>
      <c r="D90" s="208">
        <v>9.0090090090090094</v>
      </c>
      <c r="E90" s="382">
        <f t="shared" si="2"/>
        <v>11.1</v>
      </c>
      <c r="F90" s="386">
        <v>675</v>
      </c>
      <c r="G90" s="382">
        <f t="shared" si="3"/>
        <v>29.328248977777776</v>
      </c>
    </row>
    <row r="91" spans="1:7" x14ac:dyDescent="0.2">
      <c r="A91" s="206" t="s">
        <v>395</v>
      </c>
      <c r="B91" s="207" t="s">
        <v>188</v>
      </c>
      <c r="C91" s="537">
        <f>C90</f>
        <v>178347.46</v>
      </c>
      <c r="D91" s="208">
        <v>9.0090090090090094</v>
      </c>
      <c r="E91" s="382">
        <f t="shared" si="2"/>
        <v>11.1</v>
      </c>
      <c r="F91" s="387">
        <f>F90</f>
        <v>675</v>
      </c>
      <c r="G91" s="382">
        <f t="shared" si="3"/>
        <v>29.328248977777776</v>
      </c>
    </row>
    <row r="92" spans="1:7" x14ac:dyDescent="0.2">
      <c r="A92" s="206" t="s">
        <v>303</v>
      </c>
      <c r="B92" s="207" t="s">
        <v>304</v>
      </c>
      <c r="C92" s="537">
        <v>382372.8</v>
      </c>
      <c r="D92" s="208">
        <v>9.0090090090090094</v>
      </c>
      <c r="E92" s="382">
        <f t="shared" si="2"/>
        <v>11.1</v>
      </c>
      <c r="F92" s="386">
        <v>675</v>
      </c>
      <c r="G92" s="382">
        <f t="shared" si="3"/>
        <v>62.879082666666662</v>
      </c>
    </row>
    <row r="93" spans="1:7" x14ac:dyDescent="0.2">
      <c r="A93" s="206" t="s">
        <v>305</v>
      </c>
      <c r="B93" s="207" t="s">
        <v>306</v>
      </c>
      <c r="C93" s="537">
        <v>575135.59</v>
      </c>
      <c r="D93" s="208">
        <v>9.0090090090090094</v>
      </c>
      <c r="E93" s="382">
        <f t="shared" si="2"/>
        <v>11.1</v>
      </c>
      <c r="F93" s="386">
        <v>675</v>
      </c>
      <c r="G93" s="382">
        <f t="shared" si="3"/>
        <v>94.577852577777776</v>
      </c>
    </row>
    <row r="94" spans="1:7" x14ac:dyDescent="0.2">
      <c r="A94" s="206" t="s">
        <v>307</v>
      </c>
      <c r="B94" s="207" t="s">
        <v>205</v>
      </c>
      <c r="C94" s="537">
        <v>142372.88</v>
      </c>
      <c r="D94" s="208">
        <v>8</v>
      </c>
      <c r="E94" s="382">
        <f t="shared" si="2"/>
        <v>12.5</v>
      </c>
      <c r="F94" s="386">
        <v>180</v>
      </c>
      <c r="G94" s="382">
        <f t="shared" si="3"/>
        <v>98.870055555555552</v>
      </c>
    </row>
    <row r="95" spans="1:7" x14ac:dyDescent="0.2">
      <c r="A95" s="206" t="s">
        <v>145</v>
      </c>
      <c r="B95" s="207" t="s">
        <v>308</v>
      </c>
      <c r="C95" s="537">
        <v>79322.03</v>
      </c>
      <c r="D95" s="208">
        <v>10</v>
      </c>
      <c r="E95" s="382">
        <f t="shared" si="2"/>
        <v>10</v>
      </c>
      <c r="F95" s="388">
        <v>800</v>
      </c>
      <c r="G95" s="382">
        <f t="shared" si="3"/>
        <v>9.9152537499999998</v>
      </c>
    </row>
    <row r="96" spans="1:7" x14ac:dyDescent="0.2">
      <c r="A96" s="206" t="s">
        <v>145</v>
      </c>
      <c r="B96" s="207" t="s">
        <v>309</v>
      </c>
      <c r="C96" s="537">
        <v>309152.5</v>
      </c>
      <c r="D96" s="208">
        <v>10</v>
      </c>
      <c r="E96" s="382">
        <f t="shared" si="2"/>
        <v>10</v>
      </c>
      <c r="F96" s="386">
        <v>800</v>
      </c>
      <c r="G96" s="382">
        <f t="shared" si="3"/>
        <v>38.644062499999997</v>
      </c>
    </row>
    <row r="97" spans="1:7" x14ac:dyDescent="0.2">
      <c r="A97" s="206" t="s">
        <v>310</v>
      </c>
      <c r="B97" s="207" t="s">
        <v>142</v>
      </c>
      <c r="C97" s="537">
        <v>72800</v>
      </c>
      <c r="D97" s="208">
        <v>8</v>
      </c>
      <c r="E97" s="382">
        <f t="shared" si="2"/>
        <v>12.5</v>
      </c>
      <c r="F97" s="386">
        <v>150</v>
      </c>
      <c r="G97" s="382">
        <f t="shared" si="3"/>
        <v>60.666666666666664</v>
      </c>
    </row>
    <row r="98" spans="1:7" x14ac:dyDescent="0.2">
      <c r="A98" s="190" t="s">
        <v>533</v>
      </c>
      <c r="B98" s="190" t="s">
        <v>493</v>
      </c>
      <c r="C98" s="541">
        <v>2655000</v>
      </c>
      <c r="D98" s="208">
        <v>10</v>
      </c>
      <c r="E98" s="382">
        <f t="shared" si="2"/>
        <v>10</v>
      </c>
      <c r="F98" s="207">
        <v>1200</v>
      </c>
      <c r="G98" s="382">
        <f t="shared" si="3"/>
        <v>221.25</v>
      </c>
    </row>
    <row r="99" spans="1:7" x14ac:dyDescent="0.2">
      <c r="C99" s="215"/>
      <c r="D99" s="216"/>
    </row>
    <row r="100" spans="1:7" x14ac:dyDescent="0.2">
      <c r="C100" s="215"/>
      <c r="D100" s="216"/>
    </row>
    <row r="101" spans="1:7" x14ac:dyDescent="0.2">
      <c r="C101" s="215"/>
    </row>
  </sheetData>
  <mergeCells count="8">
    <mergeCell ref="A1:G1"/>
    <mergeCell ref="E4:E6"/>
    <mergeCell ref="G4:G6"/>
    <mergeCell ref="A4:A6"/>
    <mergeCell ref="B4:B6"/>
    <mergeCell ref="C4:C6"/>
    <mergeCell ref="D4:D6"/>
    <mergeCell ref="F4:F6"/>
  </mergeCells>
  <phoneticPr fontId="4" type="noConversion"/>
  <conditionalFormatting sqref="C17 C20:C97 C7:C15">
    <cfRule type="cellIs" dxfId="234" priority="4" stopIfTrue="1" operator="equal">
      <formula>0</formula>
    </cfRule>
  </conditionalFormatting>
  <conditionalFormatting sqref="C14 C45">
    <cfRule type="cellIs" dxfId="233" priority="3" stopIfTrue="1" operator="equal">
      <formula>0</formula>
    </cfRule>
  </conditionalFormatting>
  <conditionalFormatting sqref="F92:F97 F25 F75:F90 F27:F72">
    <cfRule type="cellIs" dxfId="232" priority="1" stopIfTrue="1" operator="equal">
      <formula>0</formula>
    </cfRule>
  </conditionalFormatting>
  <conditionalFormatting sqref="F91 F26 F73:F74">
    <cfRule type="cellIs" dxfId="231" priority="2" stopIfTrue="1" operator="equal">
      <formula>0</formula>
    </cfRule>
  </conditionalFormatting>
  <pageMargins left="0.74803149606299213" right="0.74803149606299213" top="0.43307086614173229" bottom="0.27559055118110237" header="0.51181102362204722" footer="0.51181102362204722"/>
  <pageSetup paperSize="9" scale="65" orientation="portrait" verticalDpi="0" r:id="rId1"/>
  <headerFooter alignWithMargins="0">
    <oddFooter>&amp;LОтдел СЭР села ЯНИИСХ</oddFooter>
  </headerFooter>
  <colBreaks count="1" manualBreakCount="1">
    <brk id="7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5"/>
  <sheetViews>
    <sheetView topLeftCell="A13" workbookViewId="0">
      <selection activeCell="J39" sqref="J39"/>
    </sheetView>
  </sheetViews>
  <sheetFormatPr defaultRowHeight="12.75" x14ac:dyDescent="0.2"/>
  <cols>
    <col min="2" max="2" width="40.85546875" customWidth="1"/>
  </cols>
  <sheetData>
    <row r="1" spans="1:5" x14ac:dyDescent="0.2">
      <c r="B1" t="s">
        <v>13</v>
      </c>
      <c r="C1" t="s">
        <v>54</v>
      </c>
      <c r="D1" t="s">
        <v>53</v>
      </c>
      <c r="E1" t="s">
        <v>40</v>
      </c>
    </row>
    <row r="2" spans="1:5" s="7" customFormat="1" ht="12.75" customHeight="1" x14ac:dyDescent="0.2">
      <c r="A2" s="188"/>
      <c r="B2" s="193" t="s">
        <v>57</v>
      </c>
      <c r="C2" s="194"/>
      <c r="D2" s="195"/>
      <c r="E2" s="23"/>
    </row>
    <row r="3" spans="1:5" s="13" customFormat="1" ht="11.25" x14ac:dyDescent="0.2">
      <c r="A3" s="189">
        <v>1</v>
      </c>
      <c r="B3" s="27" t="s">
        <v>420</v>
      </c>
      <c r="C3" s="30" t="s">
        <v>186</v>
      </c>
      <c r="D3" s="31" t="s">
        <v>115</v>
      </c>
      <c r="E3" s="32">
        <v>10.08</v>
      </c>
    </row>
    <row r="4" spans="1:5" s="13" customFormat="1" ht="11.25" x14ac:dyDescent="0.2">
      <c r="A4" s="189">
        <f t="shared" ref="A4:A13" si="0">A3+1</f>
        <v>2</v>
      </c>
      <c r="B4" s="27" t="s">
        <v>428</v>
      </c>
      <c r="C4" s="30" t="s">
        <v>186</v>
      </c>
      <c r="D4" s="31" t="s">
        <v>432</v>
      </c>
      <c r="E4" s="32">
        <v>28.8</v>
      </c>
    </row>
    <row r="5" spans="1:5" s="13" customFormat="1" ht="11.25" x14ac:dyDescent="0.2">
      <c r="A5" s="189">
        <f t="shared" si="0"/>
        <v>3</v>
      </c>
      <c r="B5" s="27" t="s">
        <v>429</v>
      </c>
      <c r="C5" s="30" t="s">
        <v>186</v>
      </c>
      <c r="D5" s="31" t="s">
        <v>425</v>
      </c>
      <c r="E5" s="32">
        <v>32</v>
      </c>
    </row>
    <row r="6" spans="1:5" s="13" customFormat="1" ht="11.25" x14ac:dyDescent="0.2">
      <c r="A6" s="189">
        <f t="shared" si="0"/>
        <v>4</v>
      </c>
      <c r="B6" s="27" t="s">
        <v>430</v>
      </c>
      <c r="C6" s="30" t="s">
        <v>107</v>
      </c>
      <c r="D6" s="31" t="s">
        <v>492</v>
      </c>
      <c r="E6" s="32">
        <v>33.6</v>
      </c>
    </row>
    <row r="7" spans="1:5" s="13" customFormat="1" ht="11.25" x14ac:dyDescent="0.2">
      <c r="A7" s="189">
        <f t="shared" si="0"/>
        <v>5</v>
      </c>
      <c r="B7" s="27" t="s">
        <v>23</v>
      </c>
      <c r="C7" s="463" t="s">
        <v>120</v>
      </c>
      <c r="D7" s="464"/>
      <c r="E7" s="32">
        <v>3</v>
      </c>
    </row>
    <row r="8" spans="1:5" s="13" customFormat="1" ht="11.25" x14ac:dyDescent="0.2">
      <c r="A8" s="189">
        <f t="shared" si="0"/>
        <v>6</v>
      </c>
      <c r="B8" s="27" t="s">
        <v>497</v>
      </c>
      <c r="C8" s="30" t="s">
        <v>107</v>
      </c>
      <c r="D8" s="31" t="s">
        <v>117</v>
      </c>
      <c r="E8" s="32">
        <v>3</v>
      </c>
    </row>
    <row r="9" spans="1:5" s="13" customFormat="1" ht="11.25" x14ac:dyDescent="0.2">
      <c r="A9" s="189">
        <f t="shared" si="0"/>
        <v>7</v>
      </c>
      <c r="B9" s="27" t="s">
        <v>25</v>
      </c>
      <c r="C9" s="463" t="s">
        <v>120</v>
      </c>
      <c r="D9" s="464"/>
      <c r="E9" s="32">
        <v>3</v>
      </c>
    </row>
    <row r="10" spans="1:5" s="13" customFormat="1" ht="11.25" x14ac:dyDescent="0.2">
      <c r="A10" s="189">
        <f t="shared" si="0"/>
        <v>8</v>
      </c>
      <c r="B10" s="27" t="s">
        <v>26</v>
      </c>
      <c r="C10" s="463" t="s">
        <v>120</v>
      </c>
      <c r="D10" s="464"/>
      <c r="E10" s="32">
        <v>8.3333333333333339</v>
      </c>
    </row>
    <row r="11" spans="1:5" s="13" customFormat="1" ht="22.5" x14ac:dyDescent="0.2">
      <c r="A11" s="189">
        <f t="shared" si="0"/>
        <v>9</v>
      </c>
      <c r="B11" s="27" t="s">
        <v>77</v>
      </c>
      <c r="C11" s="30" t="s">
        <v>107</v>
      </c>
      <c r="D11" s="31" t="s">
        <v>117</v>
      </c>
      <c r="E11" s="32">
        <v>8.3333333333333339</v>
      </c>
    </row>
    <row r="12" spans="1:5" s="13" customFormat="1" ht="11.25" x14ac:dyDescent="0.2">
      <c r="A12" s="189">
        <f t="shared" si="0"/>
        <v>10</v>
      </c>
      <c r="B12" s="27" t="s">
        <v>27</v>
      </c>
      <c r="C12" s="463" t="s">
        <v>120</v>
      </c>
      <c r="D12" s="464"/>
      <c r="E12" s="32">
        <v>8.3333333333333339</v>
      </c>
    </row>
    <row r="13" spans="1:5" s="13" customFormat="1" ht="21" customHeight="1" x14ac:dyDescent="0.2">
      <c r="A13" s="189">
        <f t="shared" si="0"/>
        <v>11</v>
      </c>
      <c r="B13" s="27" t="s">
        <v>431</v>
      </c>
      <c r="C13" s="30" t="s">
        <v>186</v>
      </c>
      <c r="D13" s="31" t="s">
        <v>493</v>
      </c>
      <c r="E13" s="32">
        <v>14.4</v>
      </c>
    </row>
    <row r="14" spans="1:5" s="7" customFormat="1" ht="12.75" customHeight="1" x14ac:dyDescent="0.2">
      <c r="A14" s="188"/>
      <c r="B14" s="462" t="s">
        <v>66</v>
      </c>
      <c r="C14" s="462"/>
      <c r="D14" s="462"/>
      <c r="E14" s="23"/>
    </row>
    <row r="15" spans="1:5" s="13" customFormat="1" ht="11.25" x14ac:dyDescent="0.2">
      <c r="A15" s="19">
        <v>1</v>
      </c>
      <c r="B15" s="27" t="s">
        <v>67</v>
      </c>
      <c r="C15" s="30" t="s">
        <v>107</v>
      </c>
      <c r="D15" s="31" t="s">
        <v>194</v>
      </c>
      <c r="E15" s="32">
        <v>14.4</v>
      </c>
    </row>
    <row r="16" spans="1:5" s="13" customFormat="1" ht="11.25" x14ac:dyDescent="0.2">
      <c r="A16" s="189">
        <f>A15+1</f>
        <v>2</v>
      </c>
      <c r="B16" s="27" t="s">
        <v>68</v>
      </c>
      <c r="C16" s="30" t="s">
        <v>107</v>
      </c>
      <c r="D16" s="31" t="s">
        <v>195</v>
      </c>
      <c r="E16" s="32">
        <v>51.2</v>
      </c>
    </row>
    <row r="17" spans="1:5" s="13" customFormat="1" ht="11.25" x14ac:dyDescent="0.2">
      <c r="A17" s="189">
        <f>A16+1</f>
        <v>3</v>
      </c>
      <c r="B17" s="27" t="s">
        <v>69</v>
      </c>
      <c r="C17" s="30" t="s">
        <v>107</v>
      </c>
      <c r="D17" s="31" t="s">
        <v>196</v>
      </c>
      <c r="E17" s="32">
        <v>48</v>
      </c>
    </row>
    <row r="18" spans="1:5" s="13" customFormat="1" ht="22.5" x14ac:dyDescent="0.2">
      <c r="A18" s="189">
        <f>A17+1</f>
        <v>4</v>
      </c>
      <c r="B18" s="27" t="s">
        <v>70</v>
      </c>
      <c r="C18" s="30" t="s">
        <v>107</v>
      </c>
      <c r="D18" s="31" t="s">
        <v>197</v>
      </c>
      <c r="E18" s="32">
        <v>100</v>
      </c>
    </row>
    <row r="19" spans="1:5" s="13" customFormat="1" ht="11.25" x14ac:dyDescent="0.2">
      <c r="A19" s="189">
        <f>A18+1</f>
        <v>5</v>
      </c>
      <c r="B19" s="27" t="s">
        <v>71</v>
      </c>
      <c r="C19" s="30" t="s">
        <v>107</v>
      </c>
      <c r="D19" s="31" t="s">
        <v>198</v>
      </c>
      <c r="E19" s="32">
        <v>100</v>
      </c>
    </row>
    <row r="20" spans="1:5" s="13" customFormat="1" ht="11.25" x14ac:dyDescent="0.2">
      <c r="A20" s="189">
        <f>A19+1</f>
        <v>6</v>
      </c>
      <c r="B20" s="27" t="s">
        <v>426</v>
      </c>
      <c r="C20" s="30" t="s">
        <v>107</v>
      </c>
      <c r="D20" s="31" t="s">
        <v>427</v>
      </c>
      <c r="E20" s="32">
        <v>100</v>
      </c>
    </row>
    <row r="21" spans="1:5" s="7" customFormat="1" ht="12.75" customHeight="1" x14ac:dyDescent="0.2">
      <c r="A21" s="188"/>
      <c r="B21" s="462" t="s">
        <v>57</v>
      </c>
      <c r="C21" s="462"/>
      <c r="D21" s="462"/>
      <c r="E21" s="23"/>
    </row>
    <row r="22" spans="1:5" s="13" customFormat="1" ht="11.25" x14ac:dyDescent="0.2">
      <c r="A22" s="189">
        <v>1</v>
      </c>
      <c r="B22" s="27" t="s">
        <v>420</v>
      </c>
      <c r="C22" s="30" t="s">
        <v>423</v>
      </c>
      <c r="D22" s="31" t="s">
        <v>115</v>
      </c>
      <c r="E22" s="32">
        <v>7.3</v>
      </c>
    </row>
    <row r="23" spans="1:5" s="13" customFormat="1" ht="11.25" x14ac:dyDescent="0.2">
      <c r="A23" s="189">
        <f>A22+1</f>
        <v>2</v>
      </c>
      <c r="B23" s="27" t="s">
        <v>421</v>
      </c>
      <c r="C23" s="30" t="s">
        <v>423</v>
      </c>
      <c r="D23" s="136" t="s">
        <v>424</v>
      </c>
      <c r="E23" s="32">
        <v>17.71</v>
      </c>
    </row>
    <row r="24" spans="1:5" s="13" customFormat="1" ht="11.25" x14ac:dyDescent="0.2">
      <c r="A24" s="189">
        <f>A23+1</f>
        <v>3</v>
      </c>
      <c r="B24" s="27" t="s">
        <v>110</v>
      </c>
      <c r="C24" s="30" t="s">
        <v>423</v>
      </c>
      <c r="D24" s="136" t="s">
        <v>425</v>
      </c>
      <c r="E24" s="32">
        <v>17.579999999999998</v>
      </c>
    </row>
    <row r="25" spans="1:5" s="13" customFormat="1" ht="22.5" x14ac:dyDescent="0.2">
      <c r="A25" s="189">
        <f>A24+1</f>
        <v>4</v>
      </c>
      <c r="B25" s="27" t="s">
        <v>422</v>
      </c>
      <c r="C25" s="30" t="s">
        <v>107</v>
      </c>
      <c r="D25" s="31" t="s">
        <v>113</v>
      </c>
      <c r="E25" s="32">
        <v>57</v>
      </c>
    </row>
    <row r="26" spans="1:5" s="13" customFormat="1" ht="11.25" x14ac:dyDescent="0.2">
      <c r="A26" s="189">
        <f t="shared" ref="A26:A32" si="1">A25+1</f>
        <v>5</v>
      </c>
      <c r="B26" s="27" t="s">
        <v>60</v>
      </c>
      <c r="C26" s="463" t="s">
        <v>120</v>
      </c>
      <c r="D26" s="464"/>
      <c r="E26" s="32">
        <v>9.5</v>
      </c>
    </row>
    <row r="27" spans="1:5" s="13" customFormat="1" ht="11.25" x14ac:dyDescent="0.2">
      <c r="A27" s="189">
        <f t="shared" si="1"/>
        <v>6</v>
      </c>
      <c r="B27" s="27" t="s">
        <v>64</v>
      </c>
      <c r="C27" s="30" t="s">
        <v>107</v>
      </c>
      <c r="D27" s="31" t="s">
        <v>117</v>
      </c>
      <c r="E27" s="32">
        <v>29</v>
      </c>
    </row>
    <row r="28" spans="1:5" s="13" customFormat="1" ht="11.25" x14ac:dyDescent="0.2">
      <c r="A28" s="189">
        <f t="shared" si="1"/>
        <v>7</v>
      </c>
      <c r="B28" s="27" t="s">
        <v>61</v>
      </c>
      <c r="C28" s="463" t="s">
        <v>120</v>
      </c>
      <c r="D28" s="464"/>
      <c r="E28" s="32">
        <v>12</v>
      </c>
    </row>
    <row r="29" spans="1:5" s="13" customFormat="1" ht="11.25" x14ac:dyDescent="0.2">
      <c r="A29" s="189">
        <f t="shared" si="1"/>
        <v>8</v>
      </c>
      <c r="B29" s="27" t="s">
        <v>62</v>
      </c>
      <c r="C29" s="463" t="s">
        <v>120</v>
      </c>
      <c r="D29" s="464"/>
      <c r="E29" s="32">
        <v>8</v>
      </c>
    </row>
    <row r="30" spans="1:5" s="13" customFormat="1" ht="11.25" x14ac:dyDescent="0.2">
      <c r="A30" s="189">
        <f t="shared" si="1"/>
        <v>9</v>
      </c>
      <c r="B30" s="27" t="s">
        <v>65</v>
      </c>
      <c r="C30" s="30" t="s">
        <v>107</v>
      </c>
      <c r="D30" s="31" t="s">
        <v>117</v>
      </c>
      <c r="E30" s="32">
        <v>29</v>
      </c>
    </row>
    <row r="31" spans="1:5" s="13" customFormat="1" ht="11.25" x14ac:dyDescent="0.2">
      <c r="A31" s="189">
        <f t="shared" si="1"/>
        <v>10</v>
      </c>
      <c r="B31" s="27" t="s">
        <v>63</v>
      </c>
      <c r="C31" s="463" t="s">
        <v>120</v>
      </c>
      <c r="D31" s="464"/>
      <c r="E31" s="32">
        <v>9</v>
      </c>
    </row>
    <row r="32" spans="1:5" s="13" customFormat="1" ht="11.25" x14ac:dyDescent="0.2">
      <c r="A32" s="189">
        <f t="shared" si="1"/>
        <v>11</v>
      </c>
      <c r="B32" s="27" t="s">
        <v>28</v>
      </c>
      <c r="C32" s="30" t="s">
        <v>107</v>
      </c>
      <c r="D32" s="31" t="s">
        <v>112</v>
      </c>
      <c r="E32" s="32">
        <v>11</v>
      </c>
    </row>
    <row r="33" spans="1:5" s="7" customFormat="1" ht="11.25" x14ac:dyDescent="0.2">
      <c r="A33" s="188"/>
      <c r="B33" s="462" t="s">
        <v>73</v>
      </c>
      <c r="C33" s="462"/>
      <c r="D33" s="462"/>
      <c r="E33" s="23"/>
    </row>
    <row r="34" spans="1:5" s="7" customFormat="1" ht="11.25" x14ac:dyDescent="0.2">
      <c r="A34" s="19">
        <v>1</v>
      </c>
      <c r="B34" s="27" t="s">
        <v>74</v>
      </c>
      <c r="C34" s="465" t="s">
        <v>133</v>
      </c>
      <c r="D34" s="466"/>
      <c r="E34" s="32">
        <v>756</v>
      </c>
    </row>
    <row r="35" spans="1:5" s="7" customFormat="1" ht="11.25" x14ac:dyDescent="0.2">
      <c r="A35" s="189">
        <f>A34+1</f>
        <v>2</v>
      </c>
      <c r="B35" s="27" t="s">
        <v>75</v>
      </c>
      <c r="C35" s="30" t="s">
        <v>105</v>
      </c>
      <c r="D35" s="31" t="s">
        <v>134</v>
      </c>
      <c r="E35" s="32">
        <v>756</v>
      </c>
    </row>
    <row r="36" spans="1:5" s="7" customFormat="1" ht="12.75" customHeight="1" x14ac:dyDescent="0.2">
      <c r="A36" s="188"/>
      <c r="B36" s="462" t="s">
        <v>66</v>
      </c>
      <c r="C36" s="462"/>
      <c r="D36" s="462"/>
      <c r="E36" s="23"/>
    </row>
    <row r="37" spans="1:5" s="13" customFormat="1" ht="11.25" x14ac:dyDescent="0.2">
      <c r="A37" s="19">
        <v>1</v>
      </c>
      <c r="B37" s="27" t="s">
        <v>67</v>
      </c>
      <c r="C37" s="30" t="s">
        <v>107</v>
      </c>
      <c r="D37" s="31" t="s">
        <v>194</v>
      </c>
      <c r="E37" s="32">
        <v>5</v>
      </c>
    </row>
    <row r="38" spans="1:5" s="13" customFormat="1" ht="11.25" x14ac:dyDescent="0.2">
      <c r="A38" s="189">
        <f>A37+1</f>
        <v>2</v>
      </c>
      <c r="B38" s="27" t="s">
        <v>68</v>
      </c>
      <c r="C38" s="30" t="s">
        <v>107</v>
      </c>
      <c r="D38" s="31" t="s">
        <v>195</v>
      </c>
      <c r="E38" s="32">
        <v>42</v>
      </c>
    </row>
    <row r="39" spans="1:5" s="13" customFormat="1" ht="11.25" x14ac:dyDescent="0.2">
      <c r="A39" s="189">
        <f>A38+1</f>
        <v>3</v>
      </c>
      <c r="B39" s="27" t="s">
        <v>69</v>
      </c>
      <c r="C39" s="30" t="s">
        <v>107</v>
      </c>
      <c r="D39" s="31" t="s">
        <v>196</v>
      </c>
      <c r="E39" s="32">
        <v>28</v>
      </c>
    </row>
    <row r="40" spans="1:5" s="13" customFormat="1" ht="22.5" x14ac:dyDescent="0.2">
      <c r="A40" s="189">
        <f>A39+1</f>
        <v>4</v>
      </c>
      <c r="B40" s="27" t="s">
        <v>70</v>
      </c>
      <c r="C40" s="30" t="s">
        <v>107</v>
      </c>
      <c r="D40" s="31" t="s">
        <v>197</v>
      </c>
      <c r="E40" s="32">
        <v>154</v>
      </c>
    </row>
    <row r="41" spans="1:5" s="13" customFormat="1" ht="11.25" x14ac:dyDescent="0.2">
      <c r="A41" s="189">
        <f>A40+1</f>
        <v>5</v>
      </c>
      <c r="B41" s="27" t="s">
        <v>71</v>
      </c>
      <c r="C41" s="30" t="s">
        <v>107</v>
      </c>
      <c r="D41" s="31" t="s">
        <v>198</v>
      </c>
      <c r="E41" s="32">
        <v>112</v>
      </c>
    </row>
    <row r="42" spans="1:5" s="13" customFormat="1" ht="11.25" x14ac:dyDescent="0.2">
      <c r="A42" s="189">
        <f>A41+1</f>
        <v>6</v>
      </c>
      <c r="B42" s="27" t="s">
        <v>426</v>
      </c>
      <c r="C42" s="30" t="s">
        <v>107</v>
      </c>
      <c r="D42" s="136" t="s">
        <v>427</v>
      </c>
      <c r="E42" s="32">
        <v>157</v>
      </c>
    </row>
    <row r="43" spans="1:5" s="7" customFormat="1" ht="12.75" customHeight="1" x14ac:dyDescent="0.2">
      <c r="A43" s="188"/>
      <c r="B43" s="467" t="s">
        <v>57</v>
      </c>
      <c r="C43" s="468"/>
      <c r="D43" s="469"/>
      <c r="E43" s="23"/>
    </row>
    <row r="44" spans="1:5" s="13" customFormat="1" ht="11.25" x14ac:dyDescent="0.2">
      <c r="A44" s="189">
        <v>1</v>
      </c>
      <c r="B44" s="27" t="s">
        <v>420</v>
      </c>
      <c r="C44" s="137" t="s">
        <v>186</v>
      </c>
      <c r="D44" s="31" t="s">
        <v>115</v>
      </c>
      <c r="E44" s="32">
        <v>7.3</v>
      </c>
    </row>
    <row r="45" spans="1:5" s="13" customFormat="1" ht="11.25" x14ac:dyDescent="0.2">
      <c r="A45" s="189">
        <f t="shared" ref="A45:A52" si="2">A44+1</f>
        <v>2</v>
      </c>
      <c r="B45" s="27" t="s">
        <v>428</v>
      </c>
      <c r="C45" s="30" t="s">
        <v>186</v>
      </c>
      <c r="D45" s="136" t="s">
        <v>432</v>
      </c>
      <c r="E45" s="32">
        <v>17.71</v>
      </c>
    </row>
    <row r="46" spans="1:5" s="13" customFormat="1" ht="11.25" x14ac:dyDescent="0.2">
      <c r="A46" s="189">
        <f t="shared" si="2"/>
        <v>3</v>
      </c>
      <c r="B46" s="27" t="s">
        <v>429</v>
      </c>
      <c r="C46" s="30" t="s">
        <v>186</v>
      </c>
      <c r="D46" s="136" t="s">
        <v>425</v>
      </c>
      <c r="E46" s="32">
        <v>17.579999999999998</v>
      </c>
    </row>
    <row r="47" spans="1:5" s="13" customFormat="1" ht="11.25" x14ac:dyDescent="0.2">
      <c r="A47" s="189">
        <f t="shared" si="2"/>
        <v>4</v>
      </c>
      <c r="B47" s="27" t="s">
        <v>430</v>
      </c>
      <c r="C47" s="30" t="s">
        <v>107</v>
      </c>
      <c r="D47" s="31" t="s">
        <v>113</v>
      </c>
      <c r="E47" s="32">
        <v>14</v>
      </c>
    </row>
    <row r="48" spans="1:5" s="13" customFormat="1" ht="11.25" x14ac:dyDescent="0.2">
      <c r="A48" s="189">
        <f t="shared" si="2"/>
        <v>5</v>
      </c>
      <c r="B48" s="27" t="s">
        <v>23</v>
      </c>
      <c r="C48" s="463" t="s">
        <v>120</v>
      </c>
      <c r="D48" s="464"/>
      <c r="E48" s="32">
        <v>8</v>
      </c>
    </row>
    <row r="49" spans="1:5" s="13" customFormat="1" ht="11.25" x14ac:dyDescent="0.2">
      <c r="A49" s="189">
        <f t="shared" si="2"/>
        <v>6</v>
      </c>
      <c r="B49" s="27" t="s">
        <v>24</v>
      </c>
      <c r="C49" s="30" t="s">
        <v>107</v>
      </c>
      <c r="D49" s="31" t="s">
        <v>117</v>
      </c>
      <c r="E49" s="32">
        <v>29</v>
      </c>
    </row>
    <row r="50" spans="1:5" s="13" customFormat="1" ht="11.25" x14ac:dyDescent="0.2">
      <c r="A50" s="189">
        <f t="shared" si="2"/>
        <v>7</v>
      </c>
      <c r="B50" s="27" t="s">
        <v>25</v>
      </c>
      <c r="C50" s="463" t="s">
        <v>120</v>
      </c>
      <c r="D50" s="464"/>
      <c r="E50" s="32">
        <v>9</v>
      </c>
    </row>
    <row r="51" spans="1:5" s="13" customFormat="1" ht="11.25" x14ac:dyDescent="0.2">
      <c r="A51" s="189">
        <f t="shared" si="2"/>
        <v>8</v>
      </c>
      <c r="B51" s="27" t="s">
        <v>26</v>
      </c>
      <c r="C51" s="463" t="s">
        <v>120</v>
      </c>
      <c r="D51" s="464"/>
      <c r="E51" s="32">
        <v>9.5</v>
      </c>
    </row>
    <row r="52" spans="1:5" s="13" customFormat="1" ht="22.5" x14ac:dyDescent="0.2">
      <c r="A52" s="189">
        <f t="shared" si="2"/>
        <v>9</v>
      </c>
      <c r="B52" s="27" t="s">
        <v>77</v>
      </c>
      <c r="C52" s="30" t="s">
        <v>107</v>
      </c>
      <c r="D52" s="31" t="s">
        <v>117</v>
      </c>
      <c r="E52" s="32">
        <v>29</v>
      </c>
    </row>
    <row r="53" spans="1:5" s="13" customFormat="1" ht="11.25" x14ac:dyDescent="0.2">
      <c r="A53" s="189">
        <v>10</v>
      </c>
      <c r="B53" s="27" t="s">
        <v>27</v>
      </c>
      <c r="C53" s="463" t="s">
        <v>120</v>
      </c>
      <c r="D53" s="464"/>
      <c r="E53" s="32">
        <v>12</v>
      </c>
    </row>
    <row r="54" spans="1:5" s="13" customFormat="1" ht="33.75" x14ac:dyDescent="0.2">
      <c r="A54" s="189">
        <v>11</v>
      </c>
      <c r="B54" s="27" t="s">
        <v>431</v>
      </c>
      <c r="C54" s="30" t="s">
        <v>107</v>
      </c>
      <c r="D54" s="31" t="s">
        <v>112</v>
      </c>
      <c r="E54" s="32">
        <v>11</v>
      </c>
    </row>
    <row r="55" spans="1:5" s="13" customFormat="1" ht="11.25" x14ac:dyDescent="0.2">
      <c r="A55" s="189">
        <v>12</v>
      </c>
      <c r="B55" s="27" t="s">
        <v>29</v>
      </c>
      <c r="C55" s="30" t="s">
        <v>107</v>
      </c>
      <c r="D55" s="31" t="s">
        <v>193</v>
      </c>
      <c r="E55" s="32">
        <v>28</v>
      </c>
    </row>
    <row r="56" spans="1:5" s="7" customFormat="1" ht="12.75" customHeight="1" x14ac:dyDescent="0.2">
      <c r="A56" s="188"/>
      <c r="B56" s="462" t="s">
        <v>84</v>
      </c>
      <c r="C56" s="462"/>
      <c r="D56" s="462"/>
      <c r="E56" s="23"/>
    </row>
    <row r="57" spans="1:5" s="13" customFormat="1" ht="11.25" x14ac:dyDescent="0.2">
      <c r="A57" s="19">
        <v>1</v>
      </c>
      <c r="B57" s="27" t="s">
        <v>433</v>
      </c>
      <c r="C57" s="30" t="s">
        <v>107</v>
      </c>
      <c r="D57" s="136" t="s">
        <v>434</v>
      </c>
      <c r="E57" s="32">
        <v>8.1999999999999993</v>
      </c>
    </row>
    <row r="58" spans="1:5" s="13" customFormat="1" ht="11.25" x14ac:dyDescent="0.2">
      <c r="A58" s="19">
        <v>2</v>
      </c>
      <c r="B58" s="27" t="s">
        <v>79</v>
      </c>
      <c r="C58" s="30" t="s">
        <v>107</v>
      </c>
      <c r="D58" s="31" t="s">
        <v>117</v>
      </c>
      <c r="E58" s="32">
        <v>21.1</v>
      </c>
    </row>
    <row r="59" spans="1:5" s="13" customFormat="1" ht="11.25" x14ac:dyDescent="0.2">
      <c r="A59" s="189">
        <f>A58+1</f>
        <v>3</v>
      </c>
      <c r="B59" s="27" t="s">
        <v>80</v>
      </c>
      <c r="C59" s="30" t="s">
        <v>105</v>
      </c>
      <c r="D59" s="31" t="s">
        <v>201</v>
      </c>
      <c r="E59" s="32">
        <v>100</v>
      </c>
    </row>
    <row r="60" spans="1:5" s="13" customFormat="1" ht="11.25" x14ac:dyDescent="0.2">
      <c r="A60" s="189">
        <f>A59+1</f>
        <v>4</v>
      </c>
      <c r="B60" s="27" t="s">
        <v>375</v>
      </c>
      <c r="C60" s="463" t="s">
        <v>120</v>
      </c>
      <c r="D60" s="464"/>
      <c r="E60" s="32">
        <v>2</v>
      </c>
    </row>
    <row r="61" spans="1:5" s="13" customFormat="1" ht="11.25" x14ac:dyDescent="0.2">
      <c r="A61" s="189">
        <f>A60+1</f>
        <v>5</v>
      </c>
      <c r="B61" s="27" t="s">
        <v>82</v>
      </c>
      <c r="C61" s="463" t="s">
        <v>120</v>
      </c>
      <c r="D61" s="464"/>
      <c r="E61" s="32">
        <v>4</v>
      </c>
    </row>
    <row r="62" spans="1:5" s="13" customFormat="1" ht="11.25" x14ac:dyDescent="0.2">
      <c r="A62" s="189">
        <f>A61+1</f>
        <v>6</v>
      </c>
      <c r="B62" s="27" t="s">
        <v>83</v>
      </c>
      <c r="C62" s="463" t="s">
        <v>120</v>
      </c>
      <c r="D62" s="464"/>
      <c r="E62" s="32">
        <v>200</v>
      </c>
    </row>
    <row r="63" spans="1:5" s="7" customFormat="1" ht="12.75" customHeight="1" x14ac:dyDescent="0.2">
      <c r="A63" s="188"/>
      <c r="B63" s="193" t="s">
        <v>57</v>
      </c>
      <c r="C63" s="194"/>
      <c r="D63" s="195"/>
      <c r="E63" s="23"/>
    </row>
    <row r="64" spans="1:5" s="13" customFormat="1" ht="11.25" x14ac:dyDescent="0.2">
      <c r="A64" s="189">
        <v>1</v>
      </c>
      <c r="B64" s="27" t="s">
        <v>420</v>
      </c>
      <c r="C64" s="30" t="s">
        <v>186</v>
      </c>
      <c r="D64" s="31" t="s">
        <v>115</v>
      </c>
      <c r="E64" s="171">
        <f>8*1.26</f>
        <v>10.08</v>
      </c>
    </row>
    <row r="65" spans="1:5" s="13" customFormat="1" ht="11.25" x14ac:dyDescent="0.2">
      <c r="A65" s="189">
        <f>A64+1</f>
        <v>2</v>
      </c>
      <c r="B65" s="27" t="s">
        <v>428</v>
      </c>
      <c r="C65" s="30" t="s">
        <v>186</v>
      </c>
      <c r="D65" s="31" t="s">
        <v>432</v>
      </c>
      <c r="E65" s="171">
        <f>8*3.6</f>
        <v>28.8</v>
      </c>
    </row>
    <row r="66" spans="1:5" s="13" customFormat="1" ht="11.25" x14ac:dyDescent="0.2">
      <c r="A66" s="189">
        <f>A65+1</f>
        <v>3</v>
      </c>
      <c r="B66" s="27" t="s">
        <v>429</v>
      </c>
      <c r="C66" s="30" t="s">
        <v>186</v>
      </c>
      <c r="D66" s="31" t="s">
        <v>425</v>
      </c>
      <c r="E66" s="171">
        <f>8*4</f>
        <v>32</v>
      </c>
    </row>
    <row r="67" spans="1:5" s="13" customFormat="1" ht="11.25" x14ac:dyDescent="0.2">
      <c r="A67" s="189">
        <f t="shared" ref="A67:A74" si="3">A66+1</f>
        <v>4</v>
      </c>
      <c r="B67" s="27" t="s">
        <v>430</v>
      </c>
      <c r="C67" s="30" t="s">
        <v>107</v>
      </c>
      <c r="D67" s="180" t="s">
        <v>492</v>
      </c>
      <c r="E67" s="171">
        <f>8*4.2</f>
        <v>33.6</v>
      </c>
    </row>
    <row r="68" spans="1:5" s="13" customFormat="1" ht="11.25" x14ac:dyDescent="0.2">
      <c r="A68" s="189">
        <f t="shared" si="3"/>
        <v>5</v>
      </c>
      <c r="B68" s="27" t="s">
        <v>23</v>
      </c>
      <c r="C68" s="463" t="s">
        <v>120</v>
      </c>
      <c r="D68" s="464"/>
      <c r="E68" s="171" t="e">
        <f>#REF!/6</f>
        <v>#REF!</v>
      </c>
    </row>
    <row r="69" spans="1:5" s="13" customFormat="1" ht="11.25" x14ac:dyDescent="0.2">
      <c r="A69" s="189">
        <f t="shared" si="3"/>
        <v>6</v>
      </c>
      <c r="B69" s="27" t="s">
        <v>24</v>
      </c>
      <c r="C69" s="30" t="s">
        <v>107</v>
      </c>
      <c r="D69" s="31" t="s">
        <v>117</v>
      </c>
      <c r="E69" s="171" t="e">
        <f>#REF!/6</f>
        <v>#REF!</v>
      </c>
    </row>
    <row r="70" spans="1:5" s="13" customFormat="1" ht="11.25" x14ac:dyDescent="0.2">
      <c r="A70" s="189">
        <f t="shared" si="3"/>
        <v>7</v>
      </c>
      <c r="B70" s="27" t="s">
        <v>25</v>
      </c>
      <c r="C70" s="463" t="s">
        <v>120</v>
      </c>
      <c r="D70" s="464"/>
      <c r="E70" s="171" t="e">
        <f>#REF!/6</f>
        <v>#REF!</v>
      </c>
    </row>
    <row r="71" spans="1:5" s="13" customFormat="1" ht="11.25" x14ac:dyDescent="0.2">
      <c r="A71" s="189">
        <f t="shared" si="3"/>
        <v>8</v>
      </c>
      <c r="B71" s="27" t="s">
        <v>26</v>
      </c>
      <c r="C71" s="463" t="s">
        <v>120</v>
      </c>
      <c r="D71" s="464"/>
      <c r="E71" s="171">
        <f>50/6</f>
        <v>8.3333333333333339</v>
      </c>
    </row>
    <row r="72" spans="1:5" s="13" customFormat="1" ht="22.5" x14ac:dyDescent="0.2">
      <c r="A72" s="189">
        <f t="shared" si="3"/>
        <v>9</v>
      </c>
      <c r="B72" s="27" t="s">
        <v>77</v>
      </c>
      <c r="C72" s="30" t="s">
        <v>107</v>
      </c>
      <c r="D72" s="31" t="s">
        <v>117</v>
      </c>
      <c r="E72" s="171">
        <f>50/6</f>
        <v>8.3333333333333339</v>
      </c>
    </row>
    <row r="73" spans="1:5" s="13" customFormat="1" ht="11.25" x14ac:dyDescent="0.2">
      <c r="A73" s="189">
        <f t="shared" si="3"/>
        <v>10</v>
      </c>
      <c r="B73" s="27" t="s">
        <v>27</v>
      </c>
      <c r="C73" s="463" t="s">
        <v>120</v>
      </c>
      <c r="D73" s="464"/>
      <c r="E73" s="171">
        <f>50/6</f>
        <v>8.3333333333333339</v>
      </c>
    </row>
    <row r="74" spans="1:5" s="13" customFormat="1" ht="33.75" x14ac:dyDescent="0.2">
      <c r="A74" s="189">
        <f t="shared" si="3"/>
        <v>11</v>
      </c>
      <c r="B74" s="27" t="s">
        <v>502</v>
      </c>
      <c r="C74" s="30" t="s">
        <v>186</v>
      </c>
      <c r="D74" s="180" t="s">
        <v>493</v>
      </c>
      <c r="E74" s="171">
        <f>8*2.2</f>
        <v>17.600000000000001</v>
      </c>
    </row>
    <row r="75" spans="1:5" s="7" customFormat="1" ht="11.25" x14ac:dyDescent="0.2">
      <c r="A75" s="188"/>
      <c r="B75" s="462" t="s">
        <v>73</v>
      </c>
      <c r="C75" s="462"/>
      <c r="D75" s="462"/>
      <c r="E75" s="23"/>
    </row>
    <row r="76" spans="1:5" s="7" customFormat="1" ht="11.25" x14ac:dyDescent="0.2">
      <c r="A76" s="19">
        <v>1</v>
      </c>
      <c r="B76" s="27" t="s">
        <v>74</v>
      </c>
      <c r="C76" s="465" t="s">
        <v>133</v>
      </c>
      <c r="D76" s="466"/>
      <c r="E76" s="170" t="e">
        <f>#REF!/#REF!</f>
        <v>#REF!</v>
      </c>
    </row>
    <row r="77" spans="1:5" s="7" customFormat="1" ht="11.25" x14ac:dyDescent="0.2">
      <c r="A77" s="189">
        <f>A76+1</f>
        <v>2</v>
      </c>
      <c r="B77" s="27" t="s">
        <v>75</v>
      </c>
      <c r="C77" s="30" t="s">
        <v>105</v>
      </c>
      <c r="D77" s="31" t="s">
        <v>134</v>
      </c>
      <c r="E77" s="170" t="e">
        <f>#REF!/#REF!</f>
        <v>#REF!</v>
      </c>
    </row>
    <row r="78" spans="1:5" s="7" customFormat="1" ht="11.25" x14ac:dyDescent="0.2">
      <c r="A78" s="19">
        <v>3</v>
      </c>
      <c r="B78" s="27" t="s">
        <v>74</v>
      </c>
      <c r="C78" s="470" t="s">
        <v>133</v>
      </c>
      <c r="D78" s="471"/>
      <c r="E78" s="170" t="e">
        <f>#REF!/#REF!</f>
        <v>#REF!</v>
      </c>
    </row>
    <row r="79" spans="1:5" s="7" customFormat="1" ht="11.25" x14ac:dyDescent="0.2">
      <c r="A79" s="189">
        <v>4</v>
      </c>
      <c r="B79" s="27" t="s">
        <v>75</v>
      </c>
      <c r="C79" s="30" t="s">
        <v>105</v>
      </c>
      <c r="D79" s="180" t="s">
        <v>134</v>
      </c>
      <c r="E79" s="170" t="e">
        <f>#REF!/#REF!</f>
        <v>#REF!</v>
      </c>
    </row>
    <row r="80" spans="1:5" s="7" customFormat="1" ht="11.25" x14ac:dyDescent="0.2">
      <c r="A80" s="19">
        <v>5</v>
      </c>
      <c r="B80" s="27" t="s">
        <v>74</v>
      </c>
      <c r="C80" s="470" t="s">
        <v>133</v>
      </c>
      <c r="D80" s="471"/>
      <c r="E80" s="170" t="e">
        <f>#REF!/#REF!</f>
        <v>#REF!</v>
      </c>
    </row>
    <row r="81" spans="1:5" s="7" customFormat="1" ht="11.25" x14ac:dyDescent="0.2">
      <c r="A81" s="189">
        <f>A80+1</f>
        <v>6</v>
      </c>
      <c r="B81" s="27" t="s">
        <v>75</v>
      </c>
      <c r="C81" s="30" t="s">
        <v>105</v>
      </c>
      <c r="D81" s="180" t="s">
        <v>134</v>
      </c>
      <c r="E81" s="170" t="e">
        <f>#REF!/#REF!</f>
        <v>#REF!</v>
      </c>
    </row>
    <row r="82" spans="1:5" s="7" customFormat="1" ht="12.75" customHeight="1" x14ac:dyDescent="0.2">
      <c r="A82" s="188"/>
      <c r="B82" s="462" t="s">
        <v>84</v>
      </c>
      <c r="C82" s="462"/>
      <c r="D82" s="462"/>
      <c r="E82" s="23"/>
    </row>
    <row r="83" spans="1:5" s="13" customFormat="1" ht="15.75" customHeight="1" x14ac:dyDescent="0.2">
      <c r="A83" s="19">
        <v>1</v>
      </c>
      <c r="B83" s="27" t="s">
        <v>433</v>
      </c>
      <c r="C83" s="28" t="s">
        <v>107</v>
      </c>
      <c r="D83" s="186" t="s">
        <v>494</v>
      </c>
      <c r="E83" s="170">
        <f>1.2*8</f>
        <v>9.6</v>
      </c>
    </row>
    <row r="84" spans="1:5" s="13" customFormat="1" ht="16.5" customHeight="1" x14ac:dyDescent="0.2">
      <c r="A84" s="19">
        <v>2</v>
      </c>
      <c r="B84" s="27" t="s">
        <v>79</v>
      </c>
      <c r="C84" s="19" t="s">
        <v>495</v>
      </c>
      <c r="D84" s="180" t="s">
        <v>117</v>
      </c>
      <c r="E84" s="170">
        <f>4*4</f>
        <v>16</v>
      </c>
    </row>
    <row r="85" spans="1:5" s="13" customFormat="1" ht="11.25" x14ac:dyDescent="0.2">
      <c r="A85" s="189">
        <f>A84+1</f>
        <v>3</v>
      </c>
      <c r="B85" s="27" t="s">
        <v>80</v>
      </c>
      <c r="C85" s="463" t="s">
        <v>496</v>
      </c>
      <c r="D85" s="464"/>
      <c r="E85" s="170" t="e">
        <f>#REF!/#REF!</f>
        <v>#REF!</v>
      </c>
    </row>
    <row r="86" spans="1:5" s="13" customFormat="1" ht="11.25" x14ac:dyDescent="0.2">
      <c r="A86" s="189">
        <f>A85+1</f>
        <v>4</v>
      </c>
      <c r="B86" s="27" t="s">
        <v>81</v>
      </c>
      <c r="C86" s="463" t="s">
        <v>120</v>
      </c>
      <c r="D86" s="464"/>
      <c r="E86" s="170">
        <v>2</v>
      </c>
    </row>
    <row r="87" spans="1:5" s="13" customFormat="1" ht="11.25" x14ac:dyDescent="0.2">
      <c r="A87" s="189">
        <v>5</v>
      </c>
      <c r="B87" s="27" t="s">
        <v>82</v>
      </c>
      <c r="C87" s="463" t="s">
        <v>120</v>
      </c>
      <c r="D87" s="464"/>
      <c r="E87" s="170" t="e">
        <f>#REF!/#REF!</f>
        <v>#REF!</v>
      </c>
    </row>
    <row r="88" spans="1:5" s="13" customFormat="1" ht="11.25" x14ac:dyDescent="0.2">
      <c r="A88" s="189">
        <v>6</v>
      </c>
      <c r="B88" s="27" t="s">
        <v>83</v>
      </c>
      <c r="C88" s="463" t="s">
        <v>120</v>
      </c>
      <c r="D88" s="464"/>
      <c r="E88" s="170" t="e">
        <f>#REF!/#REF!</f>
        <v>#REF!</v>
      </c>
    </row>
    <row r="89" spans="1:5" s="13" customFormat="1" ht="11.25" x14ac:dyDescent="0.2">
      <c r="A89" s="19">
        <v>1</v>
      </c>
      <c r="B89" s="27" t="s">
        <v>78</v>
      </c>
      <c r="C89" s="30" t="s">
        <v>107</v>
      </c>
      <c r="D89" s="31" t="s">
        <v>202</v>
      </c>
      <c r="E89" s="32">
        <v>6</v>
      </c>
    </row>
    <row r="90" spans="1:5" s="13" customFormat="1" ht="11.25" x14ac:dyDescent="0.2">
      <c r="A90" s="189">
        <f>A89+1</f>
        <v>2</v>
      </c>
      <c r="B90" s="27" t="s">
        <v>86</v>
      </c>
      <c r="C90" s="30" t="s">
        <v>107</v>
      </c>
      <c r="D90" s="31" t="s">
        <v>203</v>
      </c>
      <c r="E90" s="32">
        <v>16</v>
      </c>
    </row>
    <row r="91" spans="1:5" s="13" customFormat="1" ht="11.25" x14ac:dyDescent="0.2">
      <c r="A91" s="189">
        <f>A90+1</f>
        <v>3</v>
      </c>
      <c r="B91" s="27" t="s">
        <v>87</v>
      </c>
      <c r="C91" s="30" t="s">
        <v>107</v>
      </c>
      <c r="D91" s="31" t="s">
        <v>203</v>
      </c>
      <c r="E91" s="32">
        <v>14</v>
      </c>
    </row>
    <row r="92" spans="1:5" s="13" customFormat="1" ht="11.25" x14ac:dyDescent="0.2">
      <c r="A92" s="189">
        <f>A91+1</f>
        <v>4</v>
      </c>
      <c r="B92" s="27" t="s">
        <v>204</v>
      </c>
      <c r="C92" s="30" t="s">
        <v>107</v>
      </c>
      <c r="D92" s="31" t="s">
        <v>205</v>
      </c>
      <c r="E92" s="32">
        <v>7.2</v>
      </c>
    </row>
    <row r="93" spans="1:5" s="13" customFormat="1" ht="11.25" x14ac:dyDescent="0.2">
      <c r="A93" s="189">
        <f>A92+1</f>
        <v>5</v>
      </c>
      <c r="B93" s="27" t="s">
        <v>88</v>
      </c>
      <c r="C93" s="132" t="s">
        <v>120</v>
      </c>
      <c r="D93" s="31" t="s">
        <v>206</v>
      </c>
      <c r="E93" s="32">
        <v>13</v>
      </c>
    </row>
    <row r="94" spans="1:5" s="13" customFormat="1" ht="11.25" x14ac:dyDescent="0.2">
      <c r="A94" s="189">
        <f>A93+1</f>
        <v>6</v>
      </c>
      <c r="B94" s="27" t="s">
        <v>89</v>
      </c>
      <c r="C94" s="30" t="s">
        <v>107</v>
      </c>
      <c r="D94" s="31" t="s">
        <v>207</v>
      </c>
      <c r="E94" s="32">
        <v>142.30000000000001</v>
      </c>
    </row>
    <row r="95" spans="1:5" s="13" customFormat="1" ht="11.25" x14ac:dyDescent="0.2">
      <c r="A95" s="189" t="e">
        <f>#REF!+1</f>
        <v>#REF!</v>
      </c>
      <c r="B95" s="27" t="s">
        <v>78</v>
      </c>
      <c r="C95" s="30" t="s">
        <v>107</v>
      </c>
      <c r="D95" s="31" t="s">
        <v>202</v>
      </c>
      <c r="E95" s="32">
        <v>6</v>
      </c>
    </row>
    <row r="96" spans="1:5" s="13" customFormat="1" ht="11.25" x14ac:dyDescent="0.2">
      <c r="A96" s="189" t="e">
        <f>A95+1</f>
        <v>#REF!</v>
      </c>
      <c r="B96" s="27" t="s">
        <v>86</v>
      </c>
      <c r="C96" s="30" t="s">
        <v>107</v>
      </c>
      <c r="D96" s="31" t="s">
        <v>203</v>
      </c>
      <c r="E96" s="32">
        <v>16</v>
      </c>
    </row>
    <row r="97" spans="1:5" s="13" customFormat="1" ht="11.25" x14ac:dyDescent="0.2">
      <c r="A97" s="189" t="e">
        <f>A96+1</f>
        <v>#REF!</v>
      </c>
      <c r="B97" s="27" t="s">
        <v>87</v>
      </c>
      <c r="C97" s="30" t="s">
        <v>107</v>
      </c>
      <c r="D97" s="31" t="s">
        <v>203</v>
      </c>
      <c r="E97" s="32">
        <v>14</v>
      </c>
    </row>
    <row r="98" spans="1:5" s="13" customFormat="1" ht="11.25" x14ac:dyDescent="0.2">
      <c r="A98" s="189" t="e">
        <f>A97+1</f>
        <v>#REF!</v>
      </c>
      <c r="B98" s="27" t="s">
        <v>90</v>
      </c>
      <c r="C98" s="30" t="s">
        <v>107</v>
      </c>
      <c r="D98" s="31" t="s">
        <v>208</v>
      </c>
      <c r="E98" s="32">
        <v>16</v>
      </c>
    </row>
    <row r="99" spans="1:5" s="13" customFormat="1" ht="11.25" x14ac:dyDescent="0.2">
      <c r="A99" s="189" t="e">
        <f>A98+1</f>
        <v>#REF!</v>
      </c>
      <c r="B99" s="27" t="s">
        <v>91</v>
      </c>
      <c r="C99" s="30" t="s">
        <v>107</v>
      </c>
      <c r="D99" s="31" t="s">
        <v>207</v>
      </c>
      <c r="E99" s="32">
        <v>142.30000000000001</v>
      </c>
    </row>
    <row r="100" spans="1:5" s="13" customFormat="1" ht="11.25" x14ac:dyDescent="0.2">
      <c r="A100" s="189">
        <v>6</v>
      </c>
      <c r="B100" s="27" t="s">
        <v>92</v>
      </c>
      <c r="C100" s="30" t="s">
        <v>107</v>
      </c>
      <c r="D100" s="31" t="s">
        <v>209</v>
      </c>
      <c r="E100" s="32">
        <v>23.47</v>
      </c>
    </row>
    <row r="101" spans="1:5" s="13" customFormat="1" ht="11.25" x14ac:dyDescent="0.2">
      <c r="A101" s="189">
        <v>7</v>
      </c>
      <c r="B101" s="27" t="s">
        <v>93</v>
      </c>
      <c r="C101" s="30" t="s">
        <v>107</v>
      </c>
      <c r="D101" s="31" t="s">
        <v>117</v>
      </c>
      <c r="E101" s="32">
        <v>20</v>
      </c>
    </row>
    <row r="102" spans="1:5" s="13" customFormat="1" ht="11.25" x14ac:dyDescent="0.2">
      <c r="A102" s="189">
        <v>8</v>
      </c>
      <c r="B102" s="27" t="s">
        <v>94</v>
      </c>
      <c r="C102" s="30" t="s">
        <v>107</v>
      </c>
      <c r="D102" s="31" t="s">
        <v>210</v>
      </c>
      <c r="E102" s="32">
        <v>19.600000000000001</v>
      </c>
    </row>
    <row r="103" spans="1:5" s="13" customFormat="1" ht="11.25" x14ac:dyDescent="0.2">
      <c r="A103" s="19">
        <v>1</v>
      </c>
      <c r="B103" s="27" t="s">
        <v>78</v>
      </c>
      <c r="C103" s="30" t="s">
        <v>107</v>
      </c>
      <c r="D103" s="31" t="s">
        <v>202</v>
      </c>
      <c r="E103" s="32">
        <v>6</v>
      </c>
    </row>
    <row r="104" spans="1:5" s="13" customFormat="1" ht="11.25" x14ac:dyDescent="0.2">
      <c r="A104" s="19">
        <v>2</v>
      </c>
      <c r="B104" s="27" t="s">
        <v>86</v>
      </c>
      <c r="C104" s="30" t="s">
        <v>107</v>
      </c>
      <c r="D104" s="31" t="s">
        <v>203</v>
      </c>
      <c r="E104" s="32">
        <v>16</v>
      </c>
    </row>
    <row r="105" spans="1:5" s="13" customFormat="1" ht="11.25" x14ac:dyDescent="0.2">
      <c r="A105" s="19">
        <v>3</v>
      </c>
      <c r="B105" s="27" t="s">
        <v>87</v>
      </c>
      <c r="C105" s="30" t="s">
        <v>107</v>
      </c>
      <c r="D105" s="31" t="s">
        <v>203</v>
      </c>
      <c r="E105" s="32">
        <v>14</v>
      </c>
    </row>
    <row r="106" spans="1:5" s="13" customFormat="1" ht="11.25" x14ac:dyDescent="0.2">
      <c r="A106" s="19">
        <v>4</v>
      </c>
      <c r="B106" s="27" t="s">
        <v>95</v>
      </c>
      <c r="C106" s="30" t="s">
        <v>120</v>
      </c>
      <c r="D106" s="31" t="s">
        <v>206</v>
      </c>
      <c r="E106" s="32">
        <v>1.2</v>
      </c>
    </row>
    <row r="107" spans="1:5" s="13" customFormat="1" ht="11.25" x14ac:dyDescent="0.2">
      <c r="A107" s="19">
        <v>5</v>
      </c>
      <c r="B107" s="27" t="s">
        <v>96</v>
      </c>
      <c r="C107" s="30" t="s">
        <v>120</v>
      </c>
      <c r="D107" s="31" t="s">
        <v>211</v>
      </c>
      <c r="E107" s="32">
        <v>2.5</v>
      </c>
    </row>
    <row r="108" spans="1:5" s="13" customFormat="1" ht="11.25" x14ac:dyDescent="0.2">
      <c r="A108" s="19">
        <v>6</v>
      </c>
      <c r="B108" s="27" t="s">
        <v>97</v>
      </c>
      <c r="C108" s="30" t="s">
        <v>120</v>
      </c>
      <c r="D108" s="31" t="s">
        <v>206</v>
      </c>
      <c r="E108" s="32">
        <v>3</v>
      </c>
    </row>
    <row r="109" spans="1:5" s="13" customFormat="1" ht="11.25" x14ac:dyDescent="0.2">
      <c r="A109" s="19">
        <v>7</v>
      </c>
      <c r="B109" s="27" t="s">
        <v>96</v>
      </c>
      <c r="C109" s="30" t="s">
        <v>120</v>
      </c>
      <c r="D109" s="31" t="s">
        <v>211</v>
      </c>
      <c r="E109" s="32">
        <v>2.5</v>
      </c>
    </row>
    <row r="110" spans="1:5" s="13" customFormat="1" ht="11.25" x14ac:dyDescent="0.2">
      <c r="A110" s="19">
        <v>8</v>
      </c>
      <c r="B110" s="27" t="s">
        <v>98</v>
      </c>
      <c r="C110" s="30" t="s">
        <v>120</v>
      </c>
      <c r="D110" s="31" t="s">
        <v>206</v>
      </c>
      <c r="E110" s="32">
        <v>6</v>
      </c>
    </row>
    <row r="111" spans="1:5" s="13" customFormat="1" ht="11.25" x14ac:dyDescent="0.2">
      <c r="A111" s="19">
        <v>1</v>
      </c>
      <c r="B111" s="27" t="s">
        <v>78</v>
      </c>
      <c r="C111" s="30" t="s">
        <v>187</v>
      </c>
      <c r="D111" s="31" t="s">
        <v>488</v>
      </c>
      <c r="E111" s="32">
        <v>3.24</v>
      </c>
    </row>
    <row r="112" spans="1:5" s="13" customFormat="1" ht="11.25" x14ac:dyDescent="0.2">
      <c r="A112" s="189">
        <f>A111+1</f>
        <v>2</v>
      </c>
      <c r="B112" s="27" t="s">
        <v>86</v>
      </c>
      <c r="C112" s="30" t="s">
        <v>187</v>
      </c>
      <c r="D112" s="31" t="s">
        <v>489</v>
      </c>
      <c r="E112" s="32">
        <v>3.7800000000000002</v>
      </c>
    </row>
    <row r="113" spans="1:5" s="13" customFormat="1" ht="11.25" x14ac:dyDescent="0.2">
      <c r="A113" s="189">
        <f>A112+1</f>
        <v>3</v>
      </c>
      <c r="B113" s="27" t="s">
        <v>102</v>
      </c>
      <c r="C113" s="30" t="s">
        <v>187</v>
      </c>
      <c r="D113" s="31" t="s">
        <v>490</v>
      </c>
      <c r="E113" s="32">
        <v>3.7800000000000002</v>
      </c>
    </row>
    <row r="114" spans="1:5" s="13" customFormat="1" ht="11.25" x14ac:dyDescent="0.2">
      <c r="A114" s="189">
        <f>A113+1</f>
        <v>4</v>
      </c>
      <c r="B114" s="27" t="s">
        <v>95</v>
      </c>
      <c r="C114" s="30" t="s">
        <v>120</v>
      </c>
      <c r="D114" s="31" t="s">
        <v>206</v>
      </c>
      <c r="E114" s="32">
        <v>1.2</v>
      </c>
    </row>
    <row r="115" spans="1:5" s="13" customFormat="1" ht="11.25" x14ac:dyDescent="0.2">
      <c r="A115" s="189">
        <f>A114+1</f>
        <v>5</v>
      </c>
      <c r="B115" s="27" t="s">
        <v>96</v>
      </c>
      <c r="C115" s="30" t="s">
        <v>120</v>
      </c>
      <c r="D115" s="31" t="s">
        <v>211</v>
      </c>
      <c r="E115" s="32">
        <v>2.5</v>
      </c>
    </row>
    <row r="116" spans="1:5" s="13" customFormat="1" ht="11.25" x14ac:dyDescent="0.2">
      <c r="A116" s="189">
        <v>6</v>
      </c>
      <c r="B116" s="27" t="s">
        <v>103</v>
      </c>
      <c r="C116" s="30" t="s">
        <v>120</v>
      </c>
      <c r="D116" s="31" t="s">
        <v>215</v>
      </c>
      <c r="E116" s="32">
        <v>3</v>
      </c>
    </row>
    <row r="117" spans="1:5" s="13" customFormat="1" ht="11.25" x14ac:dyDescent="0.2">
      <c r="A117" s="189">
        <v>7</v>
      </c>
      <c r="B117" s="27" t="s">
        <v>97</v>
      </c>
      <c r="C117" s="30" t="s">
        <v>120</v>
      </c>
      <c r="D117" s="31" t="s">
        <v>206</v>
      </c>
      <c r="E117" s="32">
        <v>3</v>
      </c>
    </row>
    <row r="118" spans="1:5" s="13" customFormat="1" ht="11.25" x14ac:dyDescent="0.2">
      <c r="A118" s="189">
        <v>8</v>
      </c>
      <c r="B118" s="27" t="s">
        <v>98</v>
      </c>
      <c r="C118" s="30" t="s">
        <v>120</v>
      </c>
      <c r="D118" s="31" t="s">
        <v>206</v>
      </c>
      <c r="E118" s="32">
        <v>6</v>
      </c>
    </row>
    <row r="119" spans="1:5" s="13" customFormat="1" ht="11.25" x14ac:dyDescent="0.2">
      <c r="A119" s="189">
        <v>1</v>
      </c>
      <c r="B119" s="27" t="s">
        <v>78</v>
      </c>
      <c r="C119" s="30" t="s">
        <v>120</v>
      </c>
      <c r="D119" s="31" t="s">
        <v>216</v>
      </c>
      <c r="E119" s="32">
        <v>0.6</v>
      </c>
    </row>
    <row r="120" spans="1:5" s="13" customFormat="1" ht="11.25" x14ac:dyDescent="0.2">
      <c r="A120" s="189">
        <v>2</v>
      </c>
      <c r="B120" s="27" t="s">
        <v>86</v>
      </c>
      <c r="C120" s="30" t="s">
        <v>120</v>
      </c>
      <c r="D120" s="31" t="s">
        <v>211</v>
      </c>
      <c r="E120" s="32">
        <v>1.6</v>
      </c>
    </row>
    <row r="121" spans="1:5" s="13" customFormat="1" ht="11.25" x14ac:dyDescent="0.2">
      <c r="A121" s="189">
        <v>3</v>
      </c>
      <c r="B121" s="27" t="s">
        <v>102</v>
      </c>
      <c r="C121" s="30" t="s">
        <v>120</v>
      </c>
      <c r="D121" s="31" t="s">
        <v>211</v>
      </c>
      <c r="E121" s="32">
        <v>0.8</v>
      </c>
    </row>
    <row r="122" spans="1:5" s="13" customFormat="1" ht="11.25" x14ac:dyDescent="0.2">
      <c r="A122" s="189">
        <v>4</v>
      </c>
      <c r="B122" s="27" t="s">
        <v>95</v>
      </c>
      <c r="C122" s="30" t="s">
        <v>120</v>
      </c>
      <c r="D122" s="31" t="s">
        <v>206</v>
      </c>
      <c r="E122" s="32">
        <v>3.5</v>
      </c>
    </row>
    <row r="123" spans="1:5" s="13" customFormat="1" ht="11.25" x14ac:dyDescent="0.2">
      <c r="A123" s="189">
        <v>5</v>
      </c>
      <c r="B123" s="27" t="s">
        <v>103</v>
      </c>
      <c r="C123" s="30" t="s">
        <v>120</v>
      </c>
      <c r="D123" s="31" t="s">
        <v>215</v>
      </c>
      <c r="E123" s="32">
        <v>3.5</v>
      </c>
    </row>
    <row r="124" spans="1:5" s="13" customFormat="1" ht="11.25" x14ac:dyDescent="0.2">
      <c r="A124" s="189">
        <v>6</v>
      </c>
      <c r="B124" s="27" t="s">
        <v>97</v>
      </c>
      <c r="C124" s="30" t="s">
        <v>120</v>
      </c>
      <c r="D124" s="31" t="s">
        <v>206</v>
      </c>
      <c r="E124" s="32">
        <v>7</v>
      </c>
    </row>
    <row r="125" spans="1:5" s="13" customFormat="1" ht="11.25" x14ac:dyDescent="0.2">
      <c r="A125" s="189">
        <v>7</v>
      </c>
      <c r="B125" s="27" t="s">
        <v>98</v>
      </c>
      <c r="C125" s="30" t="s">
        <v>120</v>
      </c>
      <c r="D125" s="31" t="s">
        <v>206</v>
      </c>
      <c r="E125" s="32">
        <v>11</v>
      </c>
    </row>
  </sheetData>
  <mergeCells count="35">
    <mergeCell ref="C88:D88"/>
    <mergeCell ref="C78:D78"/>
    <mergeCell ref="C80:D80"/>
    <mergeCell ref="B82:D82"/>
    <mergeCell ref="C85:D85"/>
    <mergeCell ref="C86:D86"/>
    <mergeCell ref="C87:D87"/>
    <mergeCell ref="C76:D76"/>
    <mergeCell ref="C53:D53"/>
    <mergeCell ref="B56:D56"/>
    <mergeCell ref="C60:D60"/>
    <mergeCell ref="C61:D61"/>
    <mergeCell ref="C62:D62"/>
    <mergeCell ref="C68:D68"/>
    <mergeCell ref="C70:D70"/>
    <mergeCell ref="C71:D71"/>
    <mergeCell ref="C73:D73"/>
    <mergeCell ref="B75:D75"/>
    <mergeCell ref="C34:D34"/>
    <mergeCell ref="B36:D36"/>
    <mergeCell ref="C48:D48"/>
    <mergeCell ref="C50:D50"/>
    <mergeCell ref="C51:D51"/>
    <mergeCell ref="B43:D43"/>
    <mergeCell ref="B33:D33"/>
    <mergeCell ref="C7:D7"/>
    <mergeCell ref="C9:D9"/>
    <mergeCell ref="C10:D10"/>
    <mergeCell ref="C12:D12"/>
    <mergeCell ref="B14:D14"/>
    <mergeCell ref="B21:D21"/>
    <mergeCell ref="C26:D26"/>
    <mergeCell ref="C28:D28"/>
    <mergeCell ref="C29:D29"/>
    <mergeCell ref="C31:D31"/>
  </mergeCells>
  <conditionalFormatting sqref="E14 E2 E21 E63 E75 E82">
    <cfRule type="cellIs" dxfId="230" priority="98" stopIfTrue="1" operator="greaterThan">
      <formula>0</formula>
    </cfRule>
  </conditionalFormatting>
  <conditionalFormatting sqref="E15:E20 E3:E13">
    <cfRule type="cellIs" dxfId="229" priority="99" stopIfTrue="1" operator="greaterThan">
      <formula>0</formula>
    </cfRule>
  </conditionalFormatting>
  <conditionalFormatting sqref="D15:D20 D8 D11 D13 D3:D6">
    <cfRule type="cellIs" dxfId="228" priority="100" stopIfTrue="1" operator="equal">
      <formula>0</formula>
    </cfRule>
  </conditionalFormatting>
  <conditionalFormatting sqref="E36 E33">
    <cfRule type="cellIs" dxfId="227" priority="88" stopIfTrue="1" operator="greaterThan">
      <formula>0</formula>
    </cfRule>
  </conditionalFormatting>
  <conditionalFormatting sqref="E34:E35 E22:E32 E37:E42">
    <cfRule type="cellIs" dxfId="226" priority="89" stopIfTrue="1" operator="greaterThan">
      <formula>0</formula>
    </cfRule>
  </conditionalFormatting>
  <conditionalFormatting sqref="D22:D25 D35 D32 D27 D30 D37:D42">
    <cfRule type="cellIs" dxfId="225" priority="90" stopIfTrue="1" operator="equal">
      <formula>0</formula>
    </cfRule>
  </conditionalFormatting>
  <conditionalFormatting sqref="E56 E43">
    <cfRule type="cellIs" dxfId="224" priority="84" stopIfTrue="1" operator="greaterThan">
      <formula>0</formula>
    </cfRule>
  </conditionalFormatting>
  <conditionalFormatting sqref="E44:E55 E57:E62">
    <cfRule type="cellIs" dxfId="223" priority="85" stopIfTrue="1" operator="greaterThan">
      <formula>0</formula>
    </cfRule>
  </conditionalFormatting>
  <conditionalFormatting sqref="D54:D55 D49 D52 D44:D47 D57:D59">
    <cfRule type="cellIs" dxfId="222" priority="86" stopIfTrue="1" operator="equal">
      <formula>0</formula>
    </cfRule>
  </conditionalFormatting>
  <conditionalFormatting sqref="E64:E74 E76:E81 E83:E88">
    <cfRule type="cellIs" dxfId="221" priority="82" stopIfTrue="1" operator="greaterThan">
      <formula>0</formula>
    </cfRule>
  </conditionalFormatting>
  <conditionalFormatting sqref="D64:D67 D74 D69 D72 D77:D81 D83:D84">
    <cfRule type="cellIs" dxfId="220" priority="81" stopIfTrue="1" operator="equal">
      <formula>0</formula>
    </cfRule>
  </conditionalFormatting>
  <conditionalFormatting sqref="D74">
    <cfRule type="cellIs" dxfId="219" priority="79" stopIfTrue="1" operator="equal">
      <formula>0</formula>
    </cfRule>
  </conditionalFormatting>
  <conditionalFormatting sqref="D83">
    <cfRule type="cellIs" dxfId="218" priority="78" stopIfTrue="1" operator="equal">
      <formula>0</formula>
    </cfRule>
  </conditionalFormatting>
  <conditionalFormatting sqref="D83">
    <cfRule type="cellIs" dxfId="217" priority="77" stopIfTrue="1" operator="equal">
      <formula>0</formula>
    </cfRule>
  </conditionalFormatting>
  <conditionalFormatting sqref="D74">
    <cfRule type="cellIs" dxfId="216" priority="76" stopIfTrue="1" operator="equal">
      <formula>0</formula>
    </cfRule>
  </conditionalFormatting>
  <conditionalFormatting sqref="D83">
    <cfRule type="cellIs" dxfId="215" priority="75" stopIfTrue="1" operator="equal">
      <formula>0</formula>
    </cfRule>
  </conditionalFormatting>
  <conditionalFormatting sqref="D83">
    <cfRule type="cellIs" dxfId="214" priority="74" stopIfTrue="1" operator="equal">
      <formula>0</formula>
    </cfRule>
  </conditionalFormatting>
  <conditionalFormatting sqref="D83">
    <cfRule type="cellIs" dxfId="213" priority="73" stopIfTrue="1" operator="equal">
      <formula>0</formula>
    </cfRule>
  </conditionalFormatting>
  <conditionalFormatting sqref="D79">
    <cfRule type="cellIs" dxfId="212" priority="72" stopIfTrue="1" operator="equal">
      <formula>0</formula>
    </cfRule>
  </conditionalFormatting>
  <conditionalFormatting sqref="D81">
    <cfRule type="cellIs" dxfId="211" priority="67" stopIfTrue="1" operator="equal">
      <formula>0</formula>
    </cfRule>
  </conditionalFormatting>
  <conditionalFormatting sqref="E76:E81">
    <cfRule type="cellIs" dxfId="210" priority="65" stopIfTrue="1" operator="greaterThan">
      <formula>0</formula>
    </cfRule>
  </conditionalFormatting>
  <conditionalFormatting sqref="D67">
    <cfRule type="cellIs" dxfId="209" priority="62" stopIfTrue="1" operator="equal">
      <formula>0</formula>
    </cfRule>
  </conditionalFormatting>
  <conditionalFormatting sqref="E74">
    <cfRule type="cellIs" dxfId="208" priority="61" stopIfTrue="1" operator="greaterThan">
      <formula>0</formula>
    </cfRule>
  </conditionalFormatting>
  <conditionalFormatting sqref="E64">
    <cfRule type="cellIs" dxfId="207" priority="59" stopIfTrue="1" operator="greaterThan">
      <formula>0</formula>
    </cfRule>
  </conditionalFormatting>
  <conditionalFormatting sqref="E65:E66">
    <cfRule type="cellIs" dxfId="206" priority="58" stopIfTrue="1" operator="greaterThan">
      <formula>0</formula>
    </cfRule>
  </conditionalFormatting>
  <conditionalFormatting sqref="E83">
    <cfRule type="cellIs" dxfId="205" priority="53" stopIfTrue="1" operator="greaterThan">
      <formula>0</formula>
    </cfRule>
  </conditionalFormatting>
  <conditionalFormatting sqref="E84">
    <cfRule type="cellIs" dxfId="204" priority="52" stopIfTrue="1" operator="greaterThan">
      <formula>0</formula>
    </cfRule>
  </conditionalFormatting>
  <conditionalFormatting sqref="E85">
    <cfRule type="cellIs" dxfId="203" priority="51" stopIfTrue="1" operator="greaterThan">
      <formula>0</formula>
    </cfRule>
  </conditionalFormatting>
  <conditionalFormatting sqref="E87:E88">
    <cfRule type="cellIs" dxfId="202" priority="49" stopIfTrue="1" operator="greaterThan">
      <formula>0</formula>
    </cfRule>
  </conditionalFormatting>
  <conditionalFormatting sqref="E65:E73">
    <cfRule type="cellIs" dxfId="201" priority="48" stopIfTrue="1" operator="greaterThan">
      <formula>0</formula>
    </cfRule>
  </conditionalFormatting>
  <conditionalFormatting sqref="E86">
    <cfRule type="cellIs" dxfId="200" priority="40" stopIfTrue="1" operator="greaterThan">
      <formula>0</formula>
    </cfRule>
  </conditionalFormatting>
  <conditionalFormatting sqref="D74">
    <cfRule type="cellIs" dxfId="199" priority="36" stopIfTrue="1" operator="equal">
      <formula>0</formula>
    </cfRule>
  </conditionalFormatting>
  <conditionalFormatting sqref="D83">
    <cfRule type="cellIs" dxfId="198" priority="35" stopIfTrue="1" operator="equal">
      <formula>0</formula>
    </cfRule>
  </conditionalFormatting>
  <conditionalFormatting sqref="D84">
    <cfRule type="cellIs" dxfId="197" priority="34" stopIfTrue="1" operator="equal">
      <formula>0</formula>
    </cfRule>
  </conditionalFormatting>
  <conditionalFormatting sqref="E64:E74">
    <cfRule type="cellIs" dxfId="196" priority="31" stopIfTrue="1" operator="greaterThan">
      <formula>0</formula>
    </cfRule>
  </conditionalFormatting>
  <conditionalFormatting sqref="E84">
    <cfRule type="cellIs" dxfId="195" priority="29" stopIfTrue="1" operator="greaterThan">
      <formula>0</formula>
    </cfRule>
  </conditionalFormatting>
  <conditionalFormatting sqref="E83">
    <cfRule type="cellIs" dxfId="194" priority="28" stopIfTrue="1" operator="greaterThan">
      <formula>0</formula>
    </cfRule>
  </conditionalFormatting>
  <conditionalFormatting sqref="E89:E94">
    <cfRule type="cellIs" dxfId="193" priority="25" stopIfTrue="1" operator="greaterThan">
      <formula>0</formula>
    </cfRule>
  </conditionalFormatting>
  <conditionalFormatting sqref="D89:D94">
    <cfRule type="cellIs" dxfId="192" priority="26" stopIfTrue="1" operator="equal">
      <formula>0</formula>
    </cfRule>
  </conditionalFormatting>
  <conditionalFormatting sqref="E95:E102">
    <cfRule type="cellIs" dxfId="191" priority="21" stopIfTrue="1" operator="greaterThan">
      <formula>0</formula>
    </cfRule>
  </conditionalFormatting>
  <conditionalFormatting sqref="D95:D102">
    <cfRule type="cellIs" dxfId="190" priority="22" stopIfTrue="1" operator="equal">
      <formula>0</formula>
    </cfRule>
  </conditionalFormatting>
  <conditionalFormatting sqref="E103:E110">
    <cfRule type="cellIs" dxfId="189" priority="15" stopIfTrue="1" operator="greaterThan">
      <formula>0</formula>
    </cfRule>
  </conditionalFormatting>
  <conditionalFormatting sqref="D103:D110">
    <cfRule type="cellIs" dxfId="188" priority="16" stopIfTrue="1" operator="equal">
      <formula>0</formula>
    </cfRule>
  </conditionalFormatting>
  <conditionalFormatting sqref="E111:E118">
    <cfRule type="cellIs" dxfId="187" priority="11" stopIfTrue="1" operator="greaterThan">
      <formula>0</formula>
    </cfRule>
  </conditionalFormatting>
  <conditionalFormatting sqref="D111:D118">
    <cfRule type="cellIs" dxfId="186" priority="12" stopIfTrue="1" operator="equal">
      <formula>0</formula>
    </cfRule>
  </conditionalFormatting>
  <conditionalFormatting sqref="E119:E125">
    <cfRule type="cellIs" dxfId="185" priority="4" stopIfTrue="1" operator="greaterThan">
      <formula>0</formula>
    </cfRule>
  </conditionalFormatting>
  <conditionalFormatting sqref="D119:D125">
    <cfRule type="cellIs" dxfId="184" priority="5" stopIfTrue="1" operator="equal">
      <formula>0</formula>
    </cfRule>
  </conditionalFormatting>
  <conditionalFormatting sqref="E119:E125">
    <cfRule type="cellIs" dxfId="183" priority="2" stopIfTrue="1" operator="greaterThan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  <pageSetUpPr fitToPage="1"/>
  </sheetPr>
  <dimension ref="A1:BU37"/>
  <sheetViews>
    <sheetView topLeftCell="A13" workbookViewId="0">
      <selection activeCell="M40" sqref="M40"/>
    </sheetView>
  </sheetViews>
  <sheetFormatPr defaultColWidth="9.140625" defaultRowHeight="11.25" x14ac:dyDescent="0.2"/>
  <cols>
    <col min="1" max="1" width="3.85546875" style="15" customWidth="1"/>
    <col min="2" max="2" width="26.85546875" style="13" customWidth="1"/>
    <col min="3" max="3" width="3.42578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" style="13" customWidth="1"/>
    <col min="9" max="9" width="6.140625" style="13" customWidth="1"/>
    <col min="10" max="10" width="5.42578125" style="13" customWidth="1"/>
    <col min="11" max="15" width="6.140625" style="13" customWidth="1"/>
    <col min="16" max="16" width="7.140625" style="13" customWidth="1"/>
    <col min="17" max="17" width="6.140625" style="18" customWidth="1"/>
    <col min="18" max="21" width="6.140625" style="13" customWidth="1"/>
    <col min="22" max="22" width="8.28515625" style="13" customWidth="1"/>
    <col min="23" max="23" width="6.140625" style="13" customWidth="1"/>
    <col min="24" max="26" width="8.28515625" style="13" customWidth="1"/>
    <col min="27" max="27" width="6.7109375" style="13" customWidth="1"/>
    <col min="28" max="29" width="8.28515625" style="13" customWidth="1"/>
    <col min="30" max="30" width="6.85546875" style="13" customWidth="1"/>
    <col min="31" max="31" width="8.28515625" style="13" customWidth="1"/>
    <col min="32" max="32" width="6.140625" style="13" customWidth="1"/>
    <col min="33" max="33" width="8.28515625" style="13" customWidth="1"/>
    <col min="34" max="35" width="6.5703125" style="13" customWidth="1"/>
    <col min="36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48" width="7.42578125" style="16" customWidth="1"/>
    <col min="49" max="49" width="8.42578125" style="16" customWidth="1"/>
    <col min="50" max="52" width="7.42578125" style="16" customWidth="1"/>
    <col min="53" max="53" width="8.7109375" style="16" customWidth="1"/>
    <col min="54" max="68" width="7.42578125" style="16" customWidth="1"/>
    <col min="69" max="69" width="8.85546875" style="16" customWidth="1"/>
    <col min="70" max="71" width="7.42578125" style="16" customWidth="1"/>
    <col min="72" max="72" width="9" style="17" customWidth="1"/>
    <col min="73" max="16384" width="9.140625" style="13"/>
  </cols>
  <sheetData>
    <row r="1" spans="1:73" s="115" customFormat="1" ht="15" x14ac:dyDescent="0.2">
      <c r="B1" s="47" t="s">
        <v>55</v>
      </c>
      <c r="E1" s="116"/>
      <c r="G1" s="117"/>
      <c r="Q1" s="118"/>
      <c r="AP1" s="119"/>
      <c r="AQ1" s="120"/>
      <c r="AR1" s="120"/>
      <c r="AS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21"/>
    </row>
    <row r="2" spans="1:73" s="115" customFormat="1" ht="15" x14ac:dyDescent="0.2">
      <c r="B2" s="47" t="s">
        <v>58</v>
      </c>
      <c r="E2" s="116"/>
      <c r="G2" s="117"/>
      <c r="Q2" s="118"/>
      <c r="AP2" s="119"/>
      <c r="AQ2" s="119"/>
      <c r="AR2" s="119"/>
      <c r="AS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21"/>
    </row>
    <row r="3" spans="1:73" s="1" customFormat="1" ht="12.75" x14ac:dyDescent="0.2">
      <c r="B3" s="97"/>
      <c r="E3" s="2"/>
      <c r="G3" s="97"/>
      <c r="Q3" s="3"/>
      <c r="AP3" s="4"/>
      <c r="AQ3" s="4"/>
      <c r="AR3" s="4"/>
      <c r="AS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5"/>
    </row>
    <row r="4" spans="1:73" s="1" customFormat="1" ht="12.75" customHeight="1" x14ac:dyDescent="0.2">
      <c r="B4" s="46" t="s">
        <v>72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5"/>
    </row>
    <row r="5" spans="1:73" s="1" customFormat="1" ht="12.75" customHeight="1" x14ac:dyDescent="0.2">
      <c r="B5" s="46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5"/>
    </row>
    <row r="6" spans="1:73" s="1" customFormat="1" ht="12.75" customHeight="1" x14ac:dyDescent="0.2">
      <c r="B6" s="46" t="s">
        <v>366</v>
      </c>
      <c r="D6" s="1">
        <v>100</v>
      </c>
      <c r="E6" s="2"/>
      <c r="F6" s="1" t="s">
        <v>362</v>
      </c>
      <c r="G6" s="46"/>
      <c r="I6" s="1">
        <v>50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5"/>
    </row>
    <row r="7" spans="1:73" s="102" customFormat="1" ht="12.75" customHeight="1" x14ac:dyDescent="0.2">
      <c r="B7" s="45" t="s">
        <v>369</v>
      </c>
      <c r="C7" s="13"/>
      <c r="D7" s="13">
        <f>D6*I6</f>
        <v>5000</v>
      </c>
      <c r="E7" s="14"/>
      <c r="F7" s="7"/>
      <c r="G7" s="100"/>
      <c r="K7" s="1"/>
      <c r="L7" s="1"/>
      <c r="N7" s="1"/>
      <c r="Q7" s="103"/>
      <c r="AP7" s="104"/>
      <c r="AQ7" s="104"/>
      <c r="AR7" s="104"/>
      <c r="AS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5"/>
    </row>
    <row r="8" spans="1:73" s="102" customFormat="1" ht="12.75" customHeight="1" x14ac:dyDescent="0.2">
      <c r="B8" s="45" t="s">
        <v>370</v>
      </c>
      <c r="D8" s="13">
        <f>D7*0.85</f>
        <v>4250</v>
      </c>
      <c r="E8" s="101"/>
      <c r="F8" s="1"/>
      <c r="G8" s="100"/>
      <c r="K8" s="1"/>
      <c r="L8" s="1"/>
      <c r="N8" s="1"/>
      <c r="Q8" s="103"/>
      <c r="AP8" s="104"/>
      <c r="AQ8" s="105"/>
      <c r="AR8" s="104"/>
      <c r="AS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5"/>
    </row>
    <row r="9" spans="1:73" s="102" customFormat="1" ht="12.75" customHeight="1" x14ac:dyDescent="0.2">
      <c r="A9" s="45"/>
      <c r="C9" s="13"/>
      <c r="D9" s="101"/>
      <c r="E9" s="1"/>
      <c r="F9" s="100"/>
      <c r="K9" s="1"/>
      <c r="L9" s="1"/>
      <c r="N9" s="1"/>
      <c r="Q9" s="103"/>
      <c r="AP9" s="104"/>
      <c r="AQ9" s="105"/>
      <c r="AR9" s="104"/>
      <c r="AS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5"/>
    </row>
    <row r="10" spans="1:73" s="6" customFormat="1" ht="39.75" customHeight="1" x14ac:dyDescent="0.2">
      <c r="A10" s="472" t="s">
        <v>56</v>
      </c>
      <c r="B10" s="473" t="s">
        <v>52</v>
      </c>
      <c r="C10" s="473"/>
      <c r="D10" s="473"/>
      <c r="E10" s="473"/>
      <c r="F10" s="472" t="s">
        <v>16</v>
      </c>
      <c r="G10" s="472" t="s">
        <v>35</v>
      </c>
      <c r="H10" s="473" t="s">
        <v>31</v>
      </c>
      <c r="I10" s="473"/>
      <c r="J10" s="472" t="s">
        <v>34</v>
      </c>
      <c r="K10" s="472" t="s">
        <v>40</v>
      </c>
      <c r="L10" s="472" t="s">
        <v>39</v>
      </c>
      <c r="M10" s="473" t="s">
        <v>36</v>
      </c>
      <c r="N10" s="473"/>
      <c r="O10" s="473" t="s">
        <v>320</v>
      </c>
      <c r="P10" s="473"/>
      <c r="Q10" s="473" t="s">
        <v>319</v>
      </c>
      <c r="R10" s="473"/>
      <c r="S10" s="473"/>
      <c r="T10" s="473"/>
      <c r="U10" s="473" t="s">
        <v>321</v>
      </c>
      <c r="V10" s="473"/>
      <c r="W10" s="473" t="s">
        <v>322</v>
      </c>
      <c r="X10" s="473"/>
      <c r="Y10" s="473" t="s">
        <v>323</v>
      </c>
      <c r="Z10" s="473"/>
      <c r="AA10" s="473" t="s">
        <v>324</v>
      </c>
      <c r="AB10" s="473"/>
      <c r="AC10" s="481" t="s">
        <v>435</v>
      </c>
      <c r="AD10" s="482"/>
      <c r="AE10" s="483"/>
      <c r="AF10" s="473" t="s">
        <v>166</v>
      </c>
      <c r="AG10" s="473"/>
      <c r="AH10" s="473" t="s">
        <v>325</v>
      </c>
      <c r="AI10" s="473"/>
      <c r="AJ10" s="473" t="s">
        <v>326</v>
      </c>
      <c r="AK10" s="473"/>
      <c r="AL10" s="473" t="s">
        <v>327</v>
      </c>
      <c r="AM10" s="473"/>
      <c r="AN10" s="473" t="s">
        <v>14</v>
      </c>
      <c r="AO10" s="473"/>
      <c r="AP10" s="473"/>
      <c r="AQ10" s="473"/>
      <c r="AR10" s="473"/>
      <c r="AS10" s="473"/>
      <c r="AT10" s="473" t="s">
        <v>189</v>
      </c>
      <c r="AU10" s="473"/>
      <c r="AV10" s="473"/>
      <c r="AW10" s="473"/>
      <c r="AX10" s="473" t="s">
        <v>334</v>
      </c>
      <c r="AY10" s="473"/>
      <c r="AZ10" s="473"/>
      <c r="BA10" s="473"/>
      <c r="BB10" s="475" t="s">
        <v>404</v>
      </c>
      <c r="BC10" s="476"/>
      <c r="BD10" s="476"/>
      <c r="BE10" s="477"/>
      <c r="BF10" s="473" t="s">
        <v>45</v>
      </c>
      <c r="BG10" s="473"/>
      <c r="BH10" s="473"/>
      <c r="BI10" s="473"/>
      <c r="BJ10" s="473" t="s">
        <v>317</v>
      </c>
      <c r="BK10" s="473"/>
      <c r="BL10" s="473"/>
      <c r="BM10" s="473"/>
      <c r="BN10" s="473"/>
      <c r="BO10" s="473"/>
      <c r="BP10" s="473"/>
      <c r="BQ10" s="473" t="s">
        <v>49</v>
      </c>
      <c r="BR10" s="473"/>
      <c r="BS10" s="473" t="s">
        <v>331</v>
      </c>
      <c r="BT10" s="488" t="s">
        <v>59</v>
      </c>
      <c r="BU10" s="488"/>
    </row>
    <row r="11" spans="1:73" s="6" customFormat="1" ht="40.5" customHeight="1" x14ac:dyDescent="0.2">
      <c r="A11" s="472"/>
      <c r="B11" s="473"/>
      <c r="C11" s="473"/>
      <c r="D11" s="473"/>
      <c r="E11" s="473"/>
      <c r="F11" s="472"/>
      <c r="G11" s="472"/>
      <c r="H11" s="473"/>
      <c r="I11" s="473"/>
      <c r="J11" s="472"/>
      <c r="K11" s="472"/>
      <c r="L11" s="472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84"/>
      <c r="AD11" s="485"/>
      <c r="AE11" s="486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3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478"/>
      <c r="BC11" s="479"/>
      <c r="BD11" s="479"/>
      <c r="BE11" s="480"/>
      <c r="BF11" s="473"/>
      <c r="BG11" s="473"/>
      <c r="BH11" s="473"/>
      <c r="BI11" s="473"/>
      <c r="BJ11" s="473"/>
      <c r="BK11" s="473"/>
      <c r="BL11" s="473"/>
      <c r="BM11" s="473"/>
      <c r="BN11" s="473"/>
      <c r="BO11" s="473"/>
      <c r="BP11" s="473"/>
      <c r="BQ11" s="473"/>
      <c r="BR11" s="473"/>
      <c r="BS11" s="473"/>
      <c r="BT11" s="488"/>
      <c r="BU11" s="488"/>
    </row>
    <row r="12" spans="1:73" s="6" customFormat="1" ht="39.75" customHeight="1" x14ac:dyDescent="0.2">
      <c r="A12" s="472"/>
      <c r="B12" s="473" t="s">
        <v>13</v>
      </c>
      <c r="C12" s="473" t="s">
        <v>41</v>
      </c>
      <c r="D12" s="473"/>
      <c r="E12" s="473"/>
      <c r="F12" s="472"/>
      <c r="G12" s="472"/>
      <c r="H12" s="472" t="s">
        <v>32</v>
      </c>
      <c r="I12" s="472" t="s">
        <v>33</v>
      </c>
      <c r="J12" s="472"/>
      <c r="K12" s="472"/>
      <c r="L12" s="472"/>
      <c r="M12" s="472" t="s">
        <v>37</v>
      </c>
      <c r="N12" s="472" t="s">
        <v>38</v>
      </c>
      <c r="O12" s="462">
        <v>7</v>
      </c>
      <c r="P12" s="462"/>
      <c r="Q12" s="473" t="s">
        <v>37</v>
      </c>
      <c r="R12" s="473"/>
      <c r="S12" s="473" t="s">
        <v>38</v>
      </c>
      <c r="T12" s="473"/>
      <c r="U12" s="472" t="s">
        <v>17</v>
      </c>
      <c r="V12" s="472" t="s">
        <v>18</v>
      </c>
      <c r="W12" s="489"/>
      <c r="X12" s="489"/>
      <c r="Y12" s="74">
        <v>0.1</v>
      </c>
      <c r="Z12" s="74">
        <v>0.05</v>
      </c>
      <c r="AA12" s="495"/>
      <c r="AB12" s="495"/>
      <c r="AC12" s="491" t="s">
        <v>19</v>
      </c>
      <c r="AD12" s="491" t="s">
        <v>17</v>
      </c>
      <c r="AE12" s="491" t="s">
        <v>18</v>
      </c>
      <c r="AF12" s="495">
        <f ca="1">(((((AD37/O37)*167)/29*(52/12)))/((AD37/O37)*167))</f>
        <v>0.14942528735632182</v>
      </c>
      <c r="AG12" s="495"/>
      <c r="AH12" s="472" t="s">
        <v>17</v>
      </c>
      <c r="AI12" s="472" t="s">
        <v>18</v>
      </c>
      <c r="AJ12" s="495">
        <v>0.3</v>
      </c>
      <c r="AK12" s="495"/>
      <c r="AL12" s="472" t="s">
        <v>17</v>
      </c>
      <c r="AM12" s="472" t="s">
        <v>18</v>
      </c>
      <c r="AN12" s="490" t="s">
        <v>333</v>
      </c>
      <c r="AO12" s="472" t="s">
        <v>43</v>
      </c>
      <c r="AP12" s="487" t="s">
        <v>50</v>
      </c>
      <c r="AQ12" s="487" t="s">
        <v>44</v>
      </c>
      <c r="AR12" s="487" t="s">
        <v>328</v>
      </c>
      <c r="AS12" s="487" t="s">
        <v>329</v>
      </c>
      <c r="AT12" s="490" t="s">
        <v>217</v>
      </c>
      <c r="AU12" s="487" t="s">
        <v>190</v>
      </c>
      <c r="AV12" s="487" t="s">
        <v>330</v>
      </c>
      <c r="AW12" s="487" t="s">
        <v>329</v>
      </c>
      <c r="AX12" s="490" t="s">
        <v>217</v>
      </c>
      <c r="AY12" s="487" t="s">
        <v>190</v>
      </c>
      <c r="AZ12" s="487" t="s">
        <v>330</v>
      </c>
      <c r="BA12" s="487" t="s">
        <v>329</v>
      </c>
      <c r="BB12" s="490" t="s">
        <v>414</v>
      </c>
      <c r="BC12" s="487" t="s">
        <v>415</v>
      </c>
      <c r="BD12" s="487" t="s">
        <v>416</v>
      </c>
      <c r="BE12" s="487" t="s">
        <v>329</v>
      </c>
      <c r="BF12" s="488" t="s">
        <v>46</v>
      </c>
      <c r="BG12" s="488"/>
      <c r="BH12" s="488" t="s">
        <v>47</v>
      </c>
      <c r="BI12" s="488"/>
      <c r="BJ12" s="488" t="s">
        <v>312</v>
      </c>
      <c r="BK12" s="488"/>
      <c r="BL12" s="488" t="s">
        <v>313</v>
      </c>
      <c r="BM12" s="488"/>
      <c r="BN12" s="488" t="s">
        <v>314</v>
      </c>
      <c r="BO12" s="488"/>
      <c r="BP12" s="472" t="s">
        <v>315</v>
      </c>
      <c r="BQ12" s="487" t="s">
        <v>316</v>
      </c>
      <c r="BR12" s="487" t="s">
        <v>332</v>
      </c>
      <c r="BS12" s="473"/>
      <c r="BT12" s="487" t="s">
        <v>51</v>
      </c>
      <c r="BU12" s="487" t="s">
        <v>15</v>
      </c>
    </row>
    <row r="13" spans="1:73" s="6" customFormat="1" ht="48" customHeight="1" x14ac:dyDescent="0.2">
      <c r="A13" s="472"/>
      <c r="B13" s="473"/>
      <c r="C13" s="472" t="s">
        <v>42</v>
      </c>
      <c r="D13" s="472" t="s">
        <v>54</v>
      </c>
      <c r="E13" s="472" t="s">
        <v>53</v>
      </c>
      <c r="F13" s="472"/>
      <c r="G13" s="472"/>
      <c r="H13" s="472"/>
      <c r="I13" s="472"/>
      <c r="J13" s="472"/>
      <c r="K13" s="472"/>
      <c r="L13" s="472"/>
      <c r="M13" s="472"/>
      <c r="N13" s="472"/>
      <c r="O13" s="472" t="s">
        <v>37</v>
      </c>
      <c r="P13" s="472" t="s">
        <v>38</v>
      </c>
      <c r="Q13" s="474" t="s">
        <v>20</v>
      </c>
      <c r="R13" s="472" t="s">
        <v>21</v>
      </c>
      <c r="S13" s="474" t="s">
        <v>20</v>
      </c>
      <c r="T13" s="472" t="s">
        <v>21</v>
      </c>
      <c r="U13" s="472"/>
      <c r="V13" s="472"/>
      <c r="W13" s="472" t="s">
        <v>17</v>
      </c>
      <c r="X13" s="472" t="s">
        <v>18</v>
      </c>
      <c r="Y13" s="472" t="s">
        <v>175</v>
      </c>
      <c r="Z13" s="472" t="s">
        <v>176</v>
      </c>
      <c r="AA13" s="472" t="s">
        <v>17</v>
      </c>
      <c r="AB13" s="472" t="s">
        <v>18</v>
      </c>
      <c r="AC13" s="492"/>
      <c r="AD13" s="492"/>
      <c r="AE13" s="492"/>
      <c r="AF13" s="472" t="s">
        <v>17</v>
      </c>
      <c r="AG13" s="472" t="s">
        <v>18</v>
      </c>
      <c r="AH13" s="472"/>
      <c r="AI13" s="472"/>
      <c r="AJ13" s="472" t="s">
        <v>17</v>
      </c>
      <c r="AK13" s="472" t="s">
        <v>18</v>
      </c>
      <c r="AL13" s="472"/>
      <c r="AM13" s="472"/>
      <c r="AN13" s="490"/>
      <c r="AO13" s="472"/>
      <c r="AP13" s="487"/>
      <c r="AQ13" s="487"/>
      <c r="AR13" s="487"/>
      <c r="AS13" s="487"/>
      <c r="AT13" s="490"/>
      <c r="AU13" s="487"/>
      <c r="AV13" s="487"/>
      <c r="AW13" s="487"/>
      <c r="AX13" s="490"/>
      <c r="AY13" s="487"/>
      <c r="AZ13" s="487"/>
      <c r="BA13" s="487"/>
      <c r="BB13" s="490"/>
      <c r="BC13" s="487"/>
      <c r="BD13" s="487"/>
      <c r="BE13" s="487"/>
      <c r="BF13" s="487" t="s">
        <v>48</v>
      </c>
      <c r="BG13" s="487" t="s">
        <v>318</v>
      </c>
      <c r="BH13" s="487" t="s">
        <v>48</v>
      </c>
      <c r="BI13" s="487" t="s">
        <v>318</v>
      </c>
      <c r="BJ13" s="487" t="s">
        <v>311</v>
      </c>
      <c r="BK13" s="487" t="s">
        <v>318</v>
      </c>
      <c r="BL13" s="487" t="s">
        <v>311</v>
      </c>
      <c r="BM13" s="487" t="s">
        <v>318</v>
      </c>
      <c r="BN13" s="487" t="s">
        <v>311</v>
      </c>
      <c r="BO13" s="487" t="s">
        <v>318</v>
      </c>
      <c r="BP13" s="472"/>
      <c r="BQ13" s="487"/>
      <c r="BR13" s="487"/>
      <c r="BS13" s="473"/>
      <c r="BT13" s="487"/>
      <c r="BU13" s="487"/>
    </row>
    <row r="14" spans="1:73" s="6" customFormat="1" ht="76.5" customHeight="1" x14ac:dyDescent="0.2">
      <c r="A14" s="472"/>
      <c r="B14" s="473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4"/>
      <c r="R14" s="472"/>
      <c r="S14" s="474"/>
      <c r="T14" s="472"/>
      <c r="U14" s="472"/>
      <c r="V14" s="472"/>
      <c r="W14" s="472"/>
      <c r="X14" s="472"/>
      <c r="Y14" s="472"/>
      <c r="Z14" s="472"/>
      <c r="AA14" s="472"/>
      <c r="AB14" s="472"/>
      <c r="AC14" s="493"/>
      <c r="AD14" s="493"/>
      <c r="AE14" s="493"/>
      <c r="AF14" s="472"/>
      <c r="AG14" s="472"/>
      <c r="AH14" s="472"/>
      <c r="AI14" s="472"/>
      <c r="AJ14" s="472"/>
      <c r="AK14" s="472"/>
      <c r="AL14" s="472"/>
      <c r="AM14" s="472"/>
      <c r="AN14" s="490"/>
      <c r="AO14" s="472"/>
      <c r="AP14" s="487"/>
      <c r="AQ14" s="487"/>
      <c r="AR14" s="487"/>
      <c r="AS14" s="487"/>
      <c r="AT14" s="490"/>
      <c r="AU14" s="487"/>
      <c r="AV14" s="487"/>
      <c r="AW14" s="487"/>
      <c r="AX14" s="490"/>
      <c r="AY14" s="487"/>
      <c r="AZ14" s="487"/>
      <c r="BA14" s="487"/>
      <c r="BB14" s="490"/>
      <c r="BC14" s="487"/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72"/>
      <c r="BQ14" s="487"/>
      <c r="BR14" s="487"/>
      <c r="BS14" s="473"/>
      <c r="BT14" s="487"/>
      <c r="BU14" s="487"/>
    </row>
    <row r="15" spans="1:73" x14ac:dyDescent="0.2">
      <c r="A15" s="20">
        <f>COLUMN(A15)</f>
        <v>1</v>
      </c>
      <c r="B15" s="494">
        <f>COLUMN(B15)</f>
        <v>2</v>
      </c>
      <c r="C15" s="494"/>
      <c r="D15" s="494"/>
      <c r="E15" s="494"/>
      <c r="F15" s="20">
        <v>3</v>
      </c>
      <c r="G15" s="20">
        <f t="shared" ref="G15:BQ15" si="0">F15+1</f>
        <v>4</v>
      </c>
      <c r="H15" s="20">
        <f t="shared" si="0"/>
        <v>5</v>
      </c>
      <c r="I15" s="20">
        <f t="shared" si="0"/>
        <v>6</v>
      </c>
      <c r="J15" s="20">
        <f t="shared" si="0"/>
        <v>7</v>
      </c>
      <c r="K15" s="20">
        <f t="shared" si="0"/>
        <v>8</v>
      </c>
      <c r="L15" s="20">
        <f t="shared" si="0"/>
        <v>9</v>
      </c>
      <c r="M15" s="20">
        <f t="shared" si="0"/>
        <v>10</v>
      </c>
      <c r="N15" s="20">
        <f t="shared" si="0"/>
        <v>11</v>
      </c>
      <c r="O15" s="20">
        <f t="shared" si="0"/>
        <v>12</v>
      </c>
      <c r="P15" s="20">
        <f t="shared" si="0"/>
        <v>13</v>
      </c>
      <c r="Q15" s="20">
        <f t="shared" si="0"/>
        <v>14</v>
      </c>
      <c r="R15" s="20">
        <f t="shared" si="0"/>
        <v>15</v>
      </c>
      <c r="S15" s="20">
        <f t="shared" si="0"/>
        <v>16</v>
      </c>
      <c r="T15" s="20">
        <f t="shared" si="0"/>
        <v>17</v>
      </c>
      <c r="U15" s="20">
        <f t="shared" si="0"/>
        <v>18</v>
      </c>
      <c r="V15" s="20">
        <f t="shared" si="0"/>
        <v>19</v>
      </c>
      <c r="W15" s="20">
        <f t="shared" si="0"/>
        <v>20</v>
      </c>
      <c r="X15" s="20">
        <f t="shared" si="0"/>
        <v>21</v>
      </c>
      <c r="Y15" s="20">
        <f t="shared" si="0"/>
        <v>22</v>
      </c>
      <c r="Z15" s="20">
        <f t="shared" si="0"/>
        <v>23</v>
      </c>
      <c r="AA15" s="20">
        <f t="shared" si="0"/>
        <v>24</v>
      </c>
      <c r="AB15" s="20">
        <f t="shared" si="0"/>
        <v>25</v>
      </c>
      <c r="AC15" s="20">
        <f t="shared" si="0"/>
        <v>26</v>
      </c>
      <c r="AD15" s="20">
        <f t="shared" si="0"/>
        <v>27</v>
      </c>
      <c r="AE15" s="20">
        <f t="shared" si="0"/>
        <v>28</v>
      </c>
      <c r="AF15" s="20">
        <f t="shared" si="0"/>
        <v>29</v>
      </c>
      <c r="AG15" s="20">
        <f t="shared" si="0"/>
        <v>30</v>
      </c>
      <c r="AH15" s="20">
        <f t="shared" si="0"/>
        <v>31</v>
      </c>
      <c r="AI15" s="20">
        <f t="shared" si="0"/>
        <v>32</v>
      </c>
      <c r="AJ15" s="20">
        <f t="shared" si="0"/>
        <v>33</v>
      </c>
      <c r="AK15" s="20">
        <f t="shared" si="0"/>
        <v>34</v>
      </c>
      <c r="AL15" s="20">
        <f t="shared" si="0"/>
        <v>35</v>
      </c>
      <c r="AM15" s="20">
        <f t="shared" si="0"/>
        <v>36</v>
      </c>
      <c r="AN15" s="20">
        <f t="shared" si="0"/>
        <v>37</v>
      </c>
      <c r="AO15" s="20">
        <f t="shared" si="0"/>
        <v>38</v>
      </c>
      <c r="AP15" s="20">
        <f t="shared" si="0"/>
        <v>39</v>
      </c>
      <c r="AQ15" s="20">
        <f t="shared" si="0"/>
        <v>40</v>
      </c>
      <c r="AR15" s="20">
        <f t="shared" si="0"/>
        <v>41</v>
      </c>
      <c r="AS15" s="20">
        <f t="shared" si="0"/>
        <v>42</v>
      </c>
      <c r="AT15" s="20">
        <f t="shared" si="0"/>
        <v>43</v>
      </c>
      <c r="AU15" s="20">
        <f t="shared" si="0"/>
        <v>44</v>
      </c>
      <c r="AV15" s="20">
        <f t="shared" si="0"/>
        <v>45</v>
      </c>
      <c r="AW15" s="20">
        <f t="shared" si="0"/>
        <v>46</v>
      </c>
      <c r="AX15" s="20">
        <f t="shared" si="0"/>
        <v>47</v>
      </c>
      <c r="AY15" s="20">
        <f t="shared" si="0"/>
        <v>48</v>
      </c>
      <c r="AZ15" s="20">
        <f t="shared" si="0"/>
        <v>49</v>
      </c>
      <c r="BA15" s="20">
        <f t="shared" si="0"/>
        <v>50</v>
      </c>
      <c r="BB15" s="20">
        <f t="shared" si="0"/>
        <v>51</v>
      </c>
      <c r="BC15" s="20">
        <f t="shared" si="0"/>
        <v>52</v>
      </c>
      <c r="BD15" s="20">
        <f>BC15+1</f>
        <v>53</v>
      </c>
      <c r="BE15" s="20">
        <f>BD15+1</f>
        <v>54</v>
      </c>
      <c r="BF15" s="20">
        <f>BE15+1</f>
        <v>55</v>
      </c>
      <c r="BG15" s="20">
        <f t="shared" si="0"/>
        <v>56</v>
      </c>
      <c r="BH15" s="20">
        <f t="shared" si="0"/>
        <v>57</v>
      </c>
      <c r="BI15" s="20">
        <f t="shared" si="0"/>
        <v>58</v>
      </c>
      <c r="BJ15" s="20">
        <f t="shared" si="0"/>
        <v>59</v>
      </c>
      <c r="BK15" s="20">
        <f t="shared" si="0"/>
        <v>60</v>
      </c>
      <c r="BL15" s="20">
        <f t="shared" si="0"/>
        <v>61</v>
      </c>
      <c r="BM15" s="20">
        <f t="shared" si="0"/>
        <v>62</v>
      </c>
      <c r="BN15" s="20">
        <f t="shared" si="0"/>
        <v>63</v>
      </c>
      <c r="BO15" s="20">
        <f t="shared" si="0"/>
        <v>64</v>
      </c>
      <c r="BP15" s="20">
        <f t="shared" si="0"/>
        <v>65</v>
      </c>
      <c r="BQ15" s="20">
        <f t="shared" si="0"/>
        <v>66</v>
      </c>
      <c r="BR15" s="20">
        <f>BQ15+1</f>
        <v>67</v>
      </c>
      <c r="BS15" s="20">
        <f>BR15+1</f>
        <v>68</v>
      </c>
      <c r="BT15" s="20">
        <f>BS15+1</f>
        <v>69</v>
      </c>
      <c r="BU15" s="20">
        <f>BT15+1</f>
        <v>70</v>
      </c>
    </row>
    <row r="16" spans="1:73" s="7" customFormat="1" ht="12.75" customHeight="1" x14ac:dyDescent="0.2">
      <c r="A16" s="21"/>
      <c r="B16" s="462" t="s">
        <v>57</v>
      </c>
      <c r="C16" s="462"/>
      <c r="D16" s="462"/>
      <c r="E16" s="462"/>
      <c r="F16" s="22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5"/>
      <c r="AQ16" s="26"/>
      <c r="AR16" s="26"/>
      <c r="AS16" s="25"/>
      <c r="AT16" s="23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0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3"/>
    </row>
    <row r="17" spans="1:73" ht="22.5" x14ac:dyDescent="0.2">
      <c r="A17" s="20">
        <v>1</v>
      </c>
      <c r="B17" s="27" t="s">
        <v>420</v>
      </c>
      <c r="C17" s="29">
        <v>1.9841269841269842</v>
      </c>
      <c r="D17" s="30" t="s">
        <v>186</v>
      </c>
      <c r="E17" s="31" t="s">
        <v>115</v>
      </c>
      <c r="F17" s="28" t="s">
        <v>108</v>
      </c>
      <c r="G17" s="29">
        <v>100</v>
      </c>
      <c r="H17" s="174">
        <v>42628</v>
      </c>
      <c r="I17" s="174">
        <v>42633</v>
      </c>
      <c r="J17" s="179">
        <f t="shared" ref="J17:J27" si="1">I17-H17</f>
        <v>5</v>
      </c>
      <c r="K17" s="32">
        <v>10.08</v>
      </c>
      <c r="L17" s="33">
        <f t="shared" ref="L17:L27" si="2">G17/K17</f>
        <v>9.9206349206349209</v>
      </c>
      <c r="M17" s="34">
        <v>2</v>
      </c>
      <c r="N17" s="34"/>
      <c r="O17" s="35">
        <f t="shared" ref="O17:O27" si="3">IF(M17=0,0,L17*$O$12)</f>
        <v>69.444444444444443</v>
      </c>
      <c r="P17" s="35">
        <f t="shared" ref="P17:P27" si="4">IF(N17=0,0,L17*$O$12)</f>
        <v>0</v>
      </c>
      <c r="Q17" s="34">
        <v>5</v>
      </c>
      <c r="R17" s="83">
        <f>'Исходные данные'!$G$21</f>
        <v>197.57121135326915</v>
      </c>
      <c r="S17" s="34"/>
      <c r="T17" s="83">
        <f>IF(AND(N17&gt;0,P17&gt;0),SUMIF('Исходные данные'!$C$13:$J$29,S17,'Исходные данные'!$C$33:$J$39),IF(N17=0,0,IF(S17=0,"РОТ")))</f>
        <v>0</v>
      </c>
      <c r="U17" s="130">
        <f>O17*R17*'Исходные данные'!$C$37%</f>
        <v>0</v>
      </c>
      <c r="V17" s="130">
        <f>P17*T17*'Исходные данные'!$C$38%</f>
        <v>0</v>
      </c>
      <c r="W17" s="130">
        <f>O17*R17*$W$12</f>
        <v>0</v>
      </c>
      <c r="X17" s="131">
        <f>P17*T17*$W$12</f>
        <v>0</v>
      </c>
      <c r="Y17" s="130">
        <f>(O17*R17+U17+W17)*$Y$12</f>
        <v>1372.0223010643692</v>
      </c>
      <c r="Z17" s="131">
        <f>(P17*T17+V17+X17)*$Z$12</f>
        <v>0</v>
      </c>
      <c r="AA17" s="130">
        <f>(O17*R17+U17)*$AA$12</f>
        <v>0</v>
      </c>
      <c r="AB17" s="131">
        <f>(P17*T17+V17)*$AA$12</f>
        <v>0</v>
      </c>
      <c r="AC17" s="129">
        <v>2.5</v>
      </c>
      <c r="AD17" s="130">
        <f>(O17*R17+U17+W17+Y17+AA17)*AC17</f>
        <v>37730.613279270154</v>
      </c>
      <c r="AE17" s="130">
        <f>(P17*T17+V17+X17+Z17+AB17)*AC17</f>
        <v>0</v>
      </c>
      <c r="AF17" s="35">
        <f t="shared" ref="AF17:AG27" ca="1" si="5">AD17*$AF$12</f>
        <v>5637.9077313851949</v>
      </c>
      <c r="AG17" s="73">
        <f t="shared" ca="1" si="5"/>
        <v>0</v>
      </c>
      <c r="AH17" s="35">
        <f ca="1">AD17+AF17</f>
        <v>43368.52101065535</v>
      </c>
      <c r="AI17" s="35">
        <f t="shared" ref="AI17:AI27" ca="1" si="6">AE17+AG17</f>
        <v>0</v>
      </c>
      <c r="AJ17" s="35">
        <f ca="1">AH17*$AJ$12</f>
        <v>13010.556303196605</v>
      </c>
      <c r="AK17" s="73">
        <f t="shared" ref="AK17:AK27" ca="1" si="7">AI17*$AJ$12</f>
        <v>0</v>
      </c>
      <c r="AL17" s="35">
        <f t="shared" ref="AL17:AL27" ca="1" si="8">AH17+AJ17</f>
        <v>56379.077313851958</v>
      </c>
      <c r="AM17" s="73">
        <f t="shared" ref="AM17:AM27" ca="1" si="9">AK17+AI17</f>
        <v>0</v>
      </c>
      <c r="AN17" s="32">
        <v>9.5238095238095237</v>
      </c>
      <c r="AO17" s="33">
        <f>'Исходные данные'!$C$53</f>
        <v>0.84</v>
      </c>
      <c r="AP17" s="79">
        <f>(G17*AN17)*AO17/100</f>
        <v>8</v>
      </c>
      <c r="AQ17" s="33" t="s">
        <v>156</v>
      </c>
      <c r="AR17" s="83" t="e">
        <f>'Исходные данные'!#REF!</f>
        <v>#REF!</v>
      </c>
      <c r="AS17" s="36" t="e">
        <f>AP17*AR17</f>
        <v>#REF!</v>
      </c>
      <c r="AT17" s="32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20"/>
      <c r="BF17" s="36">
        <f>аморт!$G$12</f>
        <v>61.781971818181816</v>
      </c>
      <c r="BG17" s="36">
        <f>BF17*L17</f>
        <v>612.9163870851371</v>
      </c>
      <c r="BH17" s="36">
        <f>аморт!G70</f>
        <v>45.238095238095241</v>
      </c>
      <c r="BI17" s="36">
        <f>BH17*L17</f>
        <v>448.790627362056</v>
      </c>
      <c r="BJ17" s="38">
        <v>84.5</v>
      </c>
      <c r="BK17" s="36">
        <f t="shared" ref="BK17:BK27" si="10">BJ17*BU17</f>
        <v>9724.206349206348</v>
      </c>
      <c r="BL17" s="38">
        <v>9.4</v>
      </c>
      <c r="BM17" s="36">
        <f t="shared" ref="BM17:BM27" si="11">BL17*BU17</f>
        <v>1081.7460317460318</v>
      </c>
      <c r="BN17" s="38">
        <f>6.7*1.045*1.054</f>
        <v>7.3795810000000008</v>
      </c>
      <c r="BO17" s="36">
        <f t="shared" ref="BO17:BO27" si="12">BN17*BU17</f>
        <v>849.2374960317461</v>
      </c>
      <c r="BP17" s="36">
        <f>аморт!$C$70*10%/аморт!$E$70*L17*7</f>
        <v>92361.111111111124</v>
      </c>
      <c r="BQ17" s="36" t="e">
        <f t="shared" ref="BQ17:BQ27" ca="1" si="13">AL17+AM17+AS17+AW17+BA17+BE17+BG17+BI17+BK17+BM17+BO17+BP17</f>
        <v>#REF!</v>
      </c>
      <c r="BR17" s="36" t="e">
        <f t="shared" ref="BR17:BR27" ca="1" si="14">BQ17/$D$6</f>
        <v>#REF!</v>
      </c>
      <c r="BS17" s="38">
        <f t="shared" ref="BS17:BS27" si="15">(O17+P17)/$D$6</f>
        <v>0.69444444444444442</v>
      </c>
      <c r="BT17" s="38">
        <v>11.6</v>
      </c>
      <c r="BU17" s="39">
        <f>BT17*L17</f>
        <v>115.07936507936508</v>
      </c>
    </row>
    <row r="18" spans="1:73" x14ac:dyDescent="0.2">
      <c r="A18" s="20">
        <f t="shared" ref="A18:A27" si="16">A17+1</f>
        <v>2</v>
      </c>
      <c r="B18" s="27" t="s">
        <v>428</v>
      </c>
      <c r="C18" s="29">
        <v>1</v>
      </c>
      <c r="D18" s="30" t="s">
        <v>186</v>
      </c>
      <c r="E18" s="31" t="s">
        <v>432</v>
      </c>
      <c r="F18" s="28" t="s">
        <v>108</v>
      </c>
      <c r="G18" s="29">
        <f>G17</f>
        <v>100</v>
      </c>
      <c r="H18" s="174">
        <v>42510</v>
      </c>
      <c r="I18" s="174">
        <v>42515</v>
      </c>
      <c r="J18" s="179">
        <f t="shared" si="1"/>
        <v>5</v>
      </c>
      <c r="K18" s="32">
        <v>28.8</v>
      </c>
      <c r="L18" s="33">
        <f t="shared" si="2"/>
        <v>3.4722222222222223</v>
      </c>
      <c r="M18" s="34">
        <v>2</v>
      </c>
      <c r="N18" s="34"/>
      <c r="O18" s="35">
        <f t="shared" si="3"/>
        <v>24.305555555555557</v>
      </c>
      <c r="P18" s="35">
        <f t="shared" si="4"/>
        <v>0</v>
      </c>
      <c r="Q18" s="34">
        <v>4</v>
      </c>
      <c r="R18" s="83">
        <f>'Исходные данные'!$F$21</f>
        <v>173.86266599087685</v>
      </c>
      <c r="S18" s="34"/>
      <c r="T18" s="83">
        <f>IF(AND(N18&gt;0,P18&gt;0),SUMIF('Исходные данные'!$C$13:$J$29,S18,'Исходные данные'!$C$33:$J$39),IF(N18=0,0,IF(S18=0,"РОТ")))</f>
        <v>0</v>
      </c>
      <c r="U18" s="130">
        <f>O18*R18*'Исходные данные'!$C$37%</f>
        <v>0</v>
      </c>
      <c r="V18" s="130">
        <f>P18*T18*'Исходные данные'!$C$38%</f>
        <v>0</v>
      </c>
      <c r="W18" s="130">
        <f t="shared" ref="W18:W27" si="17">O18*R18*$W$12</f>
        <v>0</v>
      </c>
      <c r="X18" s="131">
        <f t="shared" ref="X18:X27" si="18">P18*T18*$W$12</f>
        <v>0</v>
      </c>
      <c r="Y18" s="130">
        <f t="shared" ref="Y18:Y27" si="19">(O18*R18+U18+W18)*$Y$12</f>
        <v>422.58286872782577</v>
      </c>
      <c r="Z18" s="131">
        <f t="shared" ref="Z18:Z27" si="20">(P18*T18+V18+X18)*$Z$12</f>
        <v>0</v>
      </c>
      <c r="AA18" s="130">
        <f t="shared" ref="AA18:AA27" si="21">(O18*R18+U18)*$AA$12</f>
        <v>0</v>
      </c>
      <c r="AB18" s="131">
        <f t="shared" ref="AB18:AB27" si="22">(P18*T18+V18)*$AA$12</f>
        <v>0</v>
      </c>
      <c r="AC18" s="129">
        <v>2.5</v>
      </c>
      <c r="AD18" s="130">
        <f t="shared" ref="AD18:AD27" si="23">(O18*R18+U18+W18+Y18+AA18)*AC18</f>
        <v>11621.028890015206</v>
      </c>
      <c r="AE18" s="130">
        <f t="shared" ref="AE18:AE27" si="24">(P18*T18+V18+X18+Z18+AB18)*AC18</f>
        <v>0</v>
      </c>
      <c r="AF18" s="35">
        <f t="shared" ca="1" si="5"/>
        <v>1736.4755812666399</v>
      </c>
      <c r="AG18" s="73">
        <f t="shared" ca="1" si="5"/>
        <v>0</v>
      </c>
      <c r="AH18" s="35">
        <f t="shared" ref="AH18:AH27" ca="1" si="25">AD18+AF18</f>
        <v>13357.504471281845</v>
      </c>
      <c r="AI18" s="35">
        <f t="shared" ca="1" si="6"/>
        <v>0</v>
      </c>
      <c r="AJ18" s="35">
        <f t="shared" ref="AJ18:AJ27" ca="1" si="26">AH18*$AJ$12</f>
        <v>4007.2513413845536</v>
      </c>
      <c r="AK18" s="73">
        <f t="shared" ca="1" si="7"/>
        <v>0</v>
      </c>
      <c r="AL18" s="35">
        <f t="shared" ca="1" si="8"/>
        <v>17364.755812666401</v>
      </c>
      <c r="AM18" s="73">
        <f t="shared" ca="1" si="9"/>
        <v>0</v>
      </c>
      <c r="AN18" s="32">
        <v>9.5238095238095237</v>
      </c>
      <c r="AO18" s="33">
        <f>'Исходные данные'!$C$53</f>
        <v>0.84</v>
      </c>
      <c r="AP18" s="79">
        <f>(G18*AN18)*AO18/100</f>
        <v>8</v>
      </c>
      <c r="AQ18" s="33" t="s">
        <v>156</v>
      </c>
      <c r="AR18" s="83" t="e">
        <f>AR17</f>
        <v>#REF!</v>
      </c>
      <c r="AS18" s="36" t="e">
        <f t="shared" ref="AS18:AS27" si="27">AP18*AR18</f>
        <v>#REF!</v>
      </c>
      <c r="AT18" s="32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20"/>
      <c r="BF18" s="36">
        <f>аморт!$G$12</f>
        <v>61.781971818181816</v>
      </c>
      <c r="BG18" s="36">
        <f>BF18*L18</f>
        <v>214.52073547979799</v>
      </c>
      <c r="BH18" s="36">
        <f>аморт!G33</f>
        <v>97.41305263157895</v>
      </c>
      <c r="BI18" s="36">
        <f>BH18*L18</f>
        <v>338.23976608187138</v>
      </c>
      <c r="BJ18" s="38">
        <v>84.5</v>
      </c>
      <c r="BK18" s="36">
        <f t="shared" si="10"/>
        <v>3403.4722222222222</v>
      </c>
      <c r="BL18" s="38">
        <v>9.4</v>
      </c>
      <c r="BM18" s="36">
        <f t="shared" si="11"/>
        <v>378.61111111111114</v>
      </c>
      <c r="BN18" s="38">
        <f>6.7*1.045*1.054</f>
        <v>7.3795810000000008</v>
      </c>
      <c r="BO18" s="36">
        <f t="shared" si="12"/>
        <v>297.23312361111113</v>
      </c>
      <c r="BP18" s="36">
        <f>аморт!$C$33*10%/аморт!$E$33*L18*7</f>
        <v>11246.472222222223</v>
      </c>
      <c r="BQ18" s="36" t="e">
        <f t="shared" ca="1" si="13"/>
        <v>#REF!</v>
      </c>
      <c r="BR18" s="36" t="e">
        <f t="shared" ca="1" si="14"/>
        <v>#REF!</v>
      </c>
      <c r="BS18" s="38">
        <f t="shared" si="15"/>
        <v>0.24305555555555558</v>
      </c>
      <c r="BT18" s="38">
        <v>11.6</v>
      </c>
      <c r="BU18" s="39">
        <f>BT18*L18</f>
        <v>40.277777777777779</v>
      </c>
    </row>
    <row r="19" spans="1:73" x14ac:dyDescent="0.2">
      <c r="A19" s="20">
        <f t="shared" si="16"/>
        <v>3</v>
      </c>
      <c r="B19" s="27" t="s">
        <v>429</v>
      </c>
      <c r="C19" s="29">
        <v>1</v>
      </c>
      <c r="D19" s="30" t="s">
        <v>186</v>
      </c>
      <c r="E19" s="31" t="s">
        <v>425</v>
      </c>
      <c r="F19" s="28" t="s">
        <v>108</v>
      </c>
      <c r="G19" s="29">
        <f>D6</f>
        <v>100</v>
      </c>
      <c r="H19" s="174">
        <v>42515</v>
      </c>
      <c r="I19" s="174">
        <v>42522</v>
      </c>
      <c r="J19" s="179">
        <f t="shared" si="1"/>
        <v>7</v>
      </c>
      <c r="K19" s="32">
        <v>32</v>
      </c>
      <c r="L19" s="33">
        <f t="shared" si="2"/>
        <v>3.125</v>
      </c>
      <c r="M19" s="34">
        <v>2</v>
      </c>
      <c r="N19" s="34"/>
      <c r="O19" s="35">
        <f t="shared" si="3"/>
        <v>21.875</v>
      </c>
      <c r="P19" s="35">
        <f t="shared" si="4"/>
        <v>0</v>
      </c>
      <c r="Q19" s="34">
        <v>4</v>
      </c>
      <c r="R19" s="83">
        <f>'Исходные данные'!$F$21</f>
        <v>173.86266599087685</v>
      </c>
      <c r="S19" s="34"/>
      <c r="T19" s="83">
        <f>IF(AND(N19&gt;0,P19&gt;0),SUMIF('Исходные данные'!$C$13:$J$29,S19,'Исходные данные'!$C$33:$J$39),IF(N19=0,0,IF(S19=0,"РОТ")))</f>
        <v>0</v>
      </c>
      <c r="U19" s="130">
        <f>O19*R19*'Исходные данные'!$C$37%</f>
        <v>0</v>
      </c>
      <c r="V19" s="130">
        <f>P19*T19*'Исходные данные'!$C$38%</f>
        <v>0</v>
      </c>
      <c r="W19" s="130">
        <f t="shared" si="17"/>
        <v>0</v>
      </c>
      <c r="X19" s="131">
        <f t="shared" si="18"/>
        <v>0</v>
      </c>
      <c r="Y19" s="130">
        <f t="shared" si="19"/>
        <v>380.32458185504311</v>
      </c>
      <c r="Z19" s="131">
        <f t="shared" si="20"/>
        <v>0</v>
      </c>
      <c r="AA19" s="130">
        <f t="shared" si="21"/>
        <v>0</v>
      </c>
      <c r="AB19" s="131">
        <f t="shared" si="22"/>
        <v>0</v>
      </c>
      <c r="AC19" s="129">
        <v>2.5</v>
      </c>
      <c r="AD19" s="130">
        <f t="shared" si="23"/>
        <v>10458.926001013686</v>
      </c>
      <c r="AE19" s="130">
        <f t="shared" si="24"/>
        <v>0</v>
      </c>
      <c r="AF19" s="35">
        <f t="shared" ca="1" si="5"/>
        <v>1562.8280231399758</v>
      </c>
      <c r="AG19" s="73">
        <f t="shared" ca="1" si="5"/>
        <v>0</v>
      </c>
      <c r="AH19" s="35">
        <f t="shared" ca="1" si="25"/>
        <v>12021.754024153663</v>
      </c>
      <c r="AI19" s="35">
        <f t="shared" ca="1" si="6"/>
        <v>0</v>
      </c>
      <c r="AJ19" s="35">
        <f t="shared" ca="1" si="26"/>
        <v>3606.5262072460987</v>
      </c>
      <c r="AK19" s="73">
        <f t="shared" ca="1" si="7"/>
        <v>0</v>
      </c>
      <c r="AL19" s="35">
        <f t="shared" ca="1" si="8"/>
        <v>15628.280231399762</v>
      </c>
      <c r="AM19" s="73">
        <f t="shared" ca="1" si="9"/>
        <v>0</v>
      </c>
      <c r="AN19" s="32">
        <v>9.5238095238095237</v>
      </c>
      <c r="AO19" s="33">
        <f>'Исходные данные'!$C$53</f>
        <v>0.84</v>
      </c>
      <c r="AP19" s="79">
        <f>(G19*AN19)*AO19/100</f>
        <v>8</v>
      </c>
      <c r="AQ19" s="33" t="s">
        <v>155</v>
      </c>
      <c r="AR19" s="83" t="e">
        <f>AR17</f>
        <v>#REF!</v>
      </c>
      <c r="AS19" s="36" t="e">
        <f t="shared" si="27"/>
        <v>#REF!</v>
      </c>
      <c r="AT19" s="32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20"/>
      <c r="BF19" s="36">
        <f>аморт!$G$12</f>
        <v>61.781971818181816</v>
      </c>
      <c r="BG19" s="36">
        <f>BF19*L19</f>
        <v>193.06866193181818</v>
      </c>
      <c r="BH19" s="36">
        <f>аморт!G52</f>
        <v>50.50391891891892</v>
      </c>
      <c r="BI19" s="36">
        <f>BH19*L19</f>
        <v>157.82474662162161</v>
      </c>
      <c r="BJ19" s="38">
        <v>84.5</v>
      </c>
      <c r="BK19" s="36">
        <f t="shared" si="10"/>
        <v>3063.125</v>
      </c>
      <c r="BL19" s="38">
        <v>9.4</v>
      </c>
      <c r="BM19" s="36">
        <f t="shared" si="11"/>
        <v>340.75</v>
      </c>
      <c r="BN19" s="38">
        <f>6.7*1.045*1.054</f>
        <v>7.3795810000000008</v>
      </c>
      <c r="BO19" s="36">
        <f t="shared" si="12"/>
        <v>267.50981125000004</v>
      </c>
      <c r="BP19" s="36">
        <f>аморт!$C$52*10%/аморт!$E$52*L19*7</f>
        <v>13080.514999999999</v>
      </c>
      <c r="BQ19" s="36" t="e">
        <f t="shared" ca="1" si="13"/>
        <v>#REF!</v>
      </c>
      <c r="BR19" s="36" t="e">
        <f t="shared" ca="1" si="14"/>
        <v>#REF!</v>
      </c>
      <c r="BS19" s="38">
        <f t="shared" si="15"/>
        <v>0.21875</v>
      </c>
      <c r="BT19" s="38">
        <v>11.6</v>
      </c>
      <c r="BU19" s="39">
        <f>BT19*L19</f>
        <v>36.25</v>
      </c>
    </row>
    <row r="20" spans="1:73" x14ac:dyDescent="0.2">
      <c r="A20" s="20">
        <f t="shared" si="16"/>
        <v>4</v>
      </c>
      <c r="B20" s="27" t="s">
        <v>430</v>
      </c>
      <c r="C20" s="29">
        <v>1</v>
      </c>
      <c r="D20" s="30" t="s">
        <v>107</v>
      </c>
      <c r="E20" s="31" t="s">
        <v>492</v>
      </c>
      <c r="F20" s="28" t="s">
        <v>108</v>
      </c>
      <c r="G20" s="29">
        <f>D6</f>
        <v>100</v>
      </c>
      <c r="H20" s="174">
        <v>42536</v>
      </c>
      <c r="I20" s="174">
        <v>42542</v>
      </c>
      <c r="J20" s="179">
        <f t="shared" si="1"/>
        <v>6</v>
      </c>
      <c r="K20" s="32">
        <v>33.6</v>
      </c>
      <c r="L20" s="33">
        <f t="shared" si="2"/>
        <v>2.9761904761904763</v>
      </c>
      <c r="M20" s="34">
        <v>2</v>
      </c>
      <c r="N20" s="34"/>
      <c r="O20" s="35">
        <f t="shared" si="3"/>
        <v>20.833333333333336</v>
      </c>
      <c r="P20" s="35">
        <f t="shared" si="4"/>
        <v>0</v>
      </c>
      <c r="Q20" s="34">
        <v>4</v>
      </c>
      <c r="R20" s="83">
        <f>'Исходные данные'!$F$21</f>
        <v>173.86266599087685</v>
      </c>
      <c r="S20" s="34"/>
      <c r="T20" s="83">
        <f>IF(AND(N20&gt;0,P20&gt;0),SUMIF('Исходные данные'!$C$13:$J$29,S20,'Исходные данные'!$C$33:$J$39),IF(N20=0,0,IF(S20=0,"РОТ")))</f>
        <v>0</v>
      </c>
      <c r="U20" s="130">
        <f>O20*R20*'Исходные данные'!$C$37%</f>
        <v>0</v>
      </c>
      <c r="V20" s="130">
        <f>P20*T20*'Исходные данные'!$C$38%</f>
        <v>0</v>
      </c>
      <c r="W20" s="130">
        <f t="shared" si="17"/>
        <v>0</v>
      </c>
      <c r="X20" s="131">
        <f t="shared" si="18"/>
        <v>0</v>
      </c>
      <c r="Y20" s="130">
        <f t="shared" si="19"/>
        <v>362.21388748099349</v>
      </c>
      <c r="Z20" s="131">
        <f t="shared" si="20"/>
        <v>0</v>
      </c>
      <c r="AA20" s="130">
        <f t="shared" si="21"/>
        <v>0</v>
      </c>
      <c r="AB20" s="131">
        <f t="shared" si="22"/>
        <v>0</v>
      </c>
      <c r="AC20" s="129">
        <v>2.5</v>
      </c>
      <c r="AD20" s="130">
        <f t="shared" si="23"/>
        <v>9960.8819057273213</v>
      </c>
      <c r="AE20" s="130">
        <f t="shared" si="24"/>
        <v>0</v>
      </c>
      <c r="AF20" s="35">
        <f t="shared" ca="1" si="5"/>
        <v>1488.4076410856915</v>
      </c>
      <c r="AG20" s="73">
        <f t="shared" ca="1" si="5"/>
        <v>0</v>
      </c>
      <c r="AH20" s="35">
        <f t="shared" ca="1" si="25"/>
        <v>11449.289546813012</v>
      </c>
      <c r="AI20" s="35">
        <f t="shared" ca="1" si="6"/>
        <v>0</v>
      </c>
      <c r="AJ20" s="35">
        <f t="shared" ca="1" si="26"/>
        <v>3434.7868640439033</v>
      </c>
      <c r="AK20" s="73">
        <f t="shared" ca="1" si="7"/>
        <v>0</v>
      </c>
      <c r="AL20" s="35">
        <f t="shared" ca="1" si="8"/>
        <v>14884.076410856915</v>
      </c>
      <c r="AM20" s="73">
        <f t="shared" ca="1" si="9"/>
        <v>0</v>
      </c>
      <c r="AN20" s="32">
        <v>2.2999999999999998</v>
      </c>
      <c r="AO20" s="33">
        <f>'Исходные данные'!$C$53</f>
        <v>0.84</v>
      </c>
      <c r="AP20" s="79">
        <f>(G20*AN20)*AO20/100</f>
        <v>1.9319999999999995</v>
      </c>
      <c r="AQ20" s="33" t="s">
        <v>155</v>
      </c>
      <c r="AR20" s="83" t="e">
        <f>AR17</f>
        <v>#REF!</v>
      </c>
      <c r="AS20" s="36" t="e">
        <f t="shared" si="27"/>
        <v>#REF!</v>
      </c>
      <c r="AT20" s="32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20"/>
      <c r="BF20" s="36">
        <f>аморт!$G$11</f>
        <v>181.91312849162011</v>
      </c>
      <c r="BG20" s="36">
        <f>BF20*L20</f>
        <v>541.40812051077421</v>
      </c>
      <c r="BH20" s="36">
        <f>аморт!G34</f>
        <v>97.41305263157895</v>
      </c>
      <c r="BI20" s="36">
        <f>BH20*L20</f>
        <v>289.9197994987469</v>
      </c>
      <c r="BJ20" s="38">
        <v>82.4</v>
      </c>
      <c r="BK20" s="36">
        <f t="shared" si="10"/>
        <v>1250.7142857142858</v>
      </c>
      <c r="BL20" s="38">
        <v>13.9</v>
      </c>
      <c r="BM20" s="36">
        <f t="shared" si="11"/>
        <v>210.98214285714286</v>
      </c>
      <c r="BN20" s="38">
        <f>4.8*1.045*1.054</f>
        <v>5.2868639999999996</v>
      </c>
      <c r="BO20" s="36">
        <f t="shared" si="12"/>
        <v>80.247042857142858</v>
      </c>
      <c r="BP20" s="36">
        <f>аморт!$C$23*10%/аморт!$E$23*L20*7</f>
        <v>22881.337500000001</v>
      </c>
      <c r="BQ20" s="36" t="e">
        <f t="shared" ca="1" si="13"/>
        <v>#REF!</v>
      </c>
      <c r="BR20" s="36" t="e">
        <f t="shared" ca="1" si="14"/>
        <v>#REF!</v>
      </c>
      <c r="BS20" s="38">
        <f t="shared" si="15"/>
        <v>0.20833333333333337</v>
      </c>
      <c r="BT20" s="38">
        <v>5.0999999999999996</v>
      </c>
      <c r="BU20" s="39">
        <f>BT20*L20</f>
        <v>15.178571428571429</v>
      </c>
    </row>
    <row r="21" spans="1:73" x14ac:dyDescent="0.2">
      <c r="A21" s="20">
        <f t="shared" si="16"/>
        <v>5</v>
      </c>
      <c r="B21" s="27" t="s">
        <v>23</v>
      </c>
      <c r="C21" s="29">
        <v>1</v>
      </c>
      <c r="D21" s="463" t="s">
        <v>120</v>
      </c>
      <c r="E21" s="464"/>
      <c r="F21" s="28" t="s">
        <v>111</v>
      </c>
      <c r="G21" s="36">
        <f>AU27</f>
        <v>18</v>
      </c>
      <c r="H21" s="174">
        <v>42536</v>
      </c>
      <c r="I21" s="174">
        <v>42542</v>
      </c>
      <c r="J21" s="179">
        <f t="shared" si="1"/>
        <v>6</v>
      </c>
      <c r="K21" s="32">
        <v>3</v>
      </c>
      <c r="L21" s="33">
        <f t="shared" si="2"/>
        <v>6</v>
      </c>
      <c r="M21" s="34"/>
      <c r="N21" s="34">
        <v>1</v>
      </c>
      <c r="O21" s="35">
        <f t="shared" si="3"/>
        <v>0</v>
      </c>
      <c r="P21" s="35">
        <f t="shared" si="4"/>
        <v>42</v>
      </c>
      <c r="Q21" s="34">
        <v>2</v>
      </c>
      <c r="R21" s="83">
        <f>IF(AND(O21&gt;0,Q21&gt;0),SUMIF('Исходные данные'!$C$13:H17,Q21,'Исходные данные'!$C$17:$H$17),IF(O21=0,0,IF(Q21=0,"РОТ")))</f>
        <v>0</v>
      </c>
      <c r="S21" s="34">
        <v>2</v>
      </c>
      <c r="T21" s="83">
        <f ca="1">IF(AND(N21&gt;0,P21&gt;0),SUMIF('Исходные данные'!$C$13:$J$29,S21,'Исходные данные'!$C$33:$J$39),IF(N21=0,0,IF(S21=0,"РОТ")))</f>
        <v>105.700598073999</v>
      </c>
      <c r="U21" s="130">
        <f>O21*R21*'Исходные данные'!$C$37%</f>
        <v>0</v>
      </c>
      <c r="V21" s="130">
        <f ca="1">P21*T21*'Исходные данные'!$C$38%</f>
        <v>0</v>
      </c>
      <c r="W21" s="130">
        <f t="shared" si="17"/>
        <v>0</v>
      </c>
      <c r="X21" s="131">
        <f t="shared" ca="1" si="18"/>
        <v>0</v>
      </c>
      <c r="Y21" s="130">
        <f t="shared" si="19"/>
        <v>0</v>
      </c>
      <c r="Z21" s="131">
        <f t="shared" ca="1" si="20"/>
        <v>221.97125595539794</v>
      </c>
      <c r="AA21" s="130">
        <f t="shared" si="21"/>
        <v>0</v>
      </c>
      <c r="AB21" s="131">
        <f t="shared" ca="1" si="22"/>
        <v>0</v>
      </c>
      <c r="AC21" s="129">
        <v>2.5</v>
      </c>
      <c r="AD21" s="130">
        <f t="shared" si="23"/>
        <v>0</v>
      </c>
      <c r="AE21" s="130">
        <f t="shared" ca="1" si="24"/>
        <v>11653.490937658391</v>
      </c>
      <c r="AF21" s="35">
        <f t="shared" ca="1" si="5"/>
        <v>0</v>
      </c>
      <c r="AG21" s="73">
        <f t="shared" ca="1" si="5"/>
        <v>1741.3262320638974</v>
      </c>
      <c r="AH21" s="35">
        <f t="shared" ca="1" si="25"/>
        <v>0</v>
      </c>
      <c r="AI21" s="35">
        <f t="shared" ca="1" si="6"/>
        <v>13394.817169722288</v>
      </c>
      <c r="AJ21" s="35">
        <f t="shared" ca="1" si="26"/>
        <v>0</v>
      </c>
      <c r="AK21" s="73">
        <f t="shared" ca="1" si="7"/>
        <v>4018.4451509166861</v>
      </c>
      <c r="AL21" s="35">
        <f t="shared" ca="1" si="8"/>
        <v>0</v>
      </c>
      <c r="AM21" s="73">
        <f t="shared" ca="1" si="9"/>
        <v>17413.262320638973</v>
      </c>
      <c r="AN21" s="32"/>
      <c r="AO21" s="33">
        <f>'Исходные данные'!$C$53</f>
        <v>0.84</v>
      </c>
      <c r="AP21" s="79"/>
      <c r="AQ21" s="33"/>
      <c r="AR21" s="83"/>
      <c r="AS21" s="36"/>
      <c r="AT21" s="32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20"/>
      <c r="BF21" s="36"/>
      <c r="BG21" s="36"/>
      <c r="BH21" s="85"/>
      <c r="BI21" s="36"/>
      <c r="BJ21" s="38"/>
      <c r="BK21" s="36"/>
      <c r="BL21" s="38"/>
      <c r="BM21" s="36"/>
      <c r="BN21" s="38"/>
      <c r="BO21" s="36"/>
      <c r="BP21" s="36"/>
      <c r="BQ21" s="36">
        <f t="shared" ca="1" si="13"/>
        <v>17413.262320638973</v>
      </c>
      <c r="BR21" s="36">
        <f t="shared" ca="1" si="14"/>
        <v>174.13262320638972</v>
      </c>
      <c r="BS21" s="38">
        <f t="shared" si="15"/>
        <v>0.42</v>
      </c>
      <c r="BT21" s="38"/>
      <c r="BU21" s="39"/>
    </row>
    <row r="22" spans="1:73" ht="22.5" x14ac:dyDescent="0.2">
      <c r="A22" s="20">
        <f t="shared" si="16"/>
        <v>6</v>
      </c>
      <c r="B22" s="27" t="s">
        <v>497</v>
      </c>
      <c r="C22" s="29">
        <v>1</v>
      </c>
      <c r="D22" s="30" t="s">
        <v>107</v>
      </c>
      <c r="E22" s="31" t="s">
        <v>117</v>
      </c>
      <c r="F22" s="28" t="s">
        <v>111</v>
      </c>
      <c r="G22" s="36">
        <f>G21</f>
        <v>18</v>
      </c>
      <c r="H22" s="174">
        <v>42536</v>
      </c>
      <c r="I22" s="174">
        <v>42542</v>
      </c>
      <c r="J22" s="179">
        <f t="shared" si="1"/>
        <v>6</v>
      </c>
      <c r="K22" s="32">
        <v>3</v>
      </c>
      <c r="L22" s="33">
        <f t="shared" si="2"/>
        <v>6</v>
      </c>
      <c r="M22" s="34">
        <v>1</v>
      </c>
      <c r="N22" s="34">
        <v>1</v>
      </c>
      <c r="O22" s="35">
        <f t="shared" si="3"/>
        <v>42</v>
      </c>
      <c r="P22" s="35">
        <f t="shared" si="4"/>
        <v>42</v>
      </c>
      <c r="Q22" s="34">
        <v>2</v>
      </c>
      <c r="R22" s="83">
        <f ca="1">IF(AND(O22&gt;0,Q22&gt;0),SUMIF('Исходные данные'!$C$13:H26,Q22,'Исходные данные'!$C$17:$H$17),IF(O22=0,0,IF(Q22=0,"РОТ")))</f>
        <v>128.66557526609228</v>
      </c>
      <c r="S22" s="34">
        <v>2</v>
      </c>
      <c r="T22" s="83">
        <f ca="1">IF(AND(N22&gt;0,P22&gt;0),SUMIF('Исходные данные'!$C$13:$J$29,S22,'Исходные данные'!$C$33:$J$39),IF(N22=0,0,IF(S22=0,"РОТ")))</f>
        <v>105.700598073999</v>
      </c>
      <c r="U22" s="130">
        <f ca="1">O22*R22*'Исходные данные'!$C$37%</f>
        <v>0</v>
      </c>
      <c r="V22" s="130">
        <f ca="1">P22*T22*'Исходные данные'!$C$38%</f>
        <v>0</v>
      </c>
      <c r="W22" s="130">
        <f t="shared" ca="1" si="17"/>
        <v>0</v>
      </c>
      <c r="X22" s="131">
        <f t="shared" ca="1" si="18"/>
        <v>0</v>
      </c>
      <c r="Y22" s="130">
        <f t="shared" ca="1" si="19"/>
        <v>540.39541611758762</v>
      </c>
      <c r="Z22" s="131">
        <f t="shared" ca="1" si="20"/>
        <v>221.97125595539794</v>
      </c>
      <c r="AA22" s="130">
        <f t="shared" ca="1" si="21"/>
        <v>0</v>
      </c>
      <c r="AB22" s="131">
        <f t="shared" ca="1" si="22"/>
        <v>0</v>
      </c>
      <c r="AC22" s="129">
        <v>2.5</v>
      </c>
      <c r="AD22" s="130">
        <f t="shared" ca="1" si="23"/>
        <v>14860.873943233659</v>
      </c>
      <c r="AE22" s="130">
        <f t="shared" ca="1" si="24"/>
        <v>11653.490937658391</v>
      </c>
      <c r="AF22" s="35">
        <f t="shared" ca="1" si="5"/>
        <v>2220.5903593337648</v>
      </c>
      <c r="AG22" s="73">
        <f t="shared" ca="1" si="5"/>
        <v>1741.3262320638974</v>
      </c>
      <c r="AH22" s="35">
        <f t="shared" ca="1" si="25"/>
        <v>17081.464302567423</v>
      </c>
      <c r="AI22" s="35">
        <f t="shared" ca="1" si="6"/>
        <v>13394.817169722288</v>
      </c>
      <c r="AJ22" s="35">
        <f t="shared" ca="1" si="26"/>
        <v>5124.4392907702268</v>
      </c>
      <c r="AK22" s="73">
        <f t="shared" ca="1" si="7"/>
        <v>4018.4451509166861</v>
      </c>
      <c r="AL22" s="35">
        <f t="shared" ca="1" si="8"/>
        <v>22205.903593337651</v>
      </c>
      <c r="AM22" s="73">
        <f t="shared" ca="1" si="9"/>
        <v>17413.262320638973</v>
      </c>
      <c r="AN22" s="32">
        <v>0.96</v>
      </c>
      <c r="AO22" s="33">
        <f>'Исходные данные'!$C$53</f>
        <v>0.84</v>
      </c>
      <c r="AP22" s="79">
        <f>(G22*AN22)*AO22/100</f>
        <v>0.145152</v>
      </c>
      <c r="AQ22" s="33" t="s">
        <v>155</v>
      </c>
      <c r="AR22" s="83" t="e">
        <f>AR17</f>
        <v>#REF!</v>
      </c>
      <c r="AS22" s="36" t="e">
        <f t="shared" si="27"/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20"/>
      <c r="BF22" s="36">
        <f>аморт!$G$11</f>
        <v>181.91312849162011</v>
      </c>
      <c r="BG22" s="36">
        <f>BF22*L22</f>
        <v>1091.4787709497207</v>
      </c>
      <c r="BH22" s="85">
        <f>аморт!$G$23</f>
        <v>48.426111111111105</v>
      </c>
      <c r="BI22" s="36">
        <f>BH22*L22</f>
        <v>290.55666666666662</v>
      </c>
      <c r="BJ22" s="38">
        <v>82.4</v>
      </c>
      <c r="BK22" s="36">
        <f t="shared" si="10"/>
        <v>2521.44</v>
      </c>
      <c r="BL22" s="38">
        <v>13.9</v>
      </c>
      <c r="BM22" s="36">
        <f t="shared" si="11"/>
        <v>425.34</v>
      </c>
      <c r="BN22" s="38">
        <f>4.8*1.045*1.054</f>
        <v>5.2868639999999996</v>
      </c>
      <c r="BO22" s="36">
        <f t="shared" si="12"/>
        <v>161.77803839999999</v>
      </c>
      <c r="BP22" s="36">
        <f>аморт!$C$23*10%/аморт!$E$23*L22*7</f>
        <v>46128.776400000002</v>
      </c>
      <c r="BQ22" s="36" t="e">
        <f t="shared" ca="1" si="13"/>
        <v>#REF!</v>
      </c>
      <c r="BR22" s="36" t="e">
        <f t="shared" ca="1" si="14"/>
        <v>#REF!</v>
      </c>
      <c r="BS22" s="38">
        <f t="shared" si="15"/>
        <v>0.84</v>
      </c>
      <c r="BT22" s="38">
        <v>5.0999999999999996</v>
      </c>
      <c r="BU22" s="39">
        <f>BT22*L22</f>
        <v>30.599999999999998</v>
      </c>
    </row>
    <row r="23" spans="1:73" x14ac:dyDescent="0.2">
      <c r="A23" s="20">
        <f t="shared" si="16"/>
        <v>7</v>
      </c>
      <c r="B23" s="27" t="s">
        <v>25</v>
      </c>
      <c r="C23" s="29">
        <v>1</v>
      </c>
      <c r="D23" s="463" t="s">
        <v>120</v>
      </c>
      <c r="E23" s="464"/>
      <c r="F23" s="28" t="s">
        <v>111</v>
      </c>
      <c r="G23" s="36">
        <f>G22</f>
        <v>18</v>
      </c>
      <c r="H23" s="174">
        <v>42536</v>
      </c>
      <c r="I23" s="174">
        <v>42542</v>
      </c>
      <c r="J23" s="179">
        <f t="shared" si="1"/>
        <v>6</v>
      </c>
      <c r="K23" s="32">
        <v>3</v>
      </c>
      <c r="L23" s="33">
        <f t="shared" si="2"/>
        <v>6</v>
      </c>
      <c r="M23" s="34"/>
      <c r="N23" s="34">
        <v>1</v>
      </c>
      <c r="O23" s="35">
        <f t="shared" si="3"/>
        <v>0</v>
      </c>
      <c r="P23" s="35">
        <f t="shared" si="4"/>
        <v>42</v>
      </c>
      <c r="Q23" s="34">
        <v>2</v>
      </c>
      <c r="R23" s="83">
        <f>IF(AND(O23&gt;0,Q23&gt;0),SUMIF('Исходные данные'!$C$13:H27,Q23,'Исходные данные'!$C$17:$H$17),IF(O23=0,0,IF(Q23=0,"РОТ")))</f>
        <v>0</v>
      </c>
      <c r="S23" s="34">
        <v>2</v>
      </c>
      <c r="T23" s="83">
        <f ca="1">IF(AND(N23&gt;0,P23&gt;0),SUMIF('Исходные данные'!$C$13:$J$29,S23,'Исходные данные'!$C$33:$J$39),IF(N23=0,0,IF(S23=0,"РОТ")))</f>
        <v>105.700598073999</v>
      </c>
      <c r="U23" s="130">
        <f>O23*R23*'Исходные данные'!$C$37%</f>
        <v>0</v>
      </c>
      <c r="V23" s="130">
        <f ca="1">P23*T23*'Исходные данные'!$C$38%</f>
        <v>0</v>
      </c>
      <c r="W23" s="130">
        <f t="shared" si="17"/>
        <v>0</v>
      </c>
      <c r="X23" s="131">
        <f t="shared" ca="1" si="18"/>
        <v>0</v>
      </c>
      <c r="Y23" s="130">
        <f t="shared" si="19"/>
        <v>0</v>
      </c>
      <c r="Z23" s="131">
        <f t="shared" ca="1" si="20"/>
        <v>221.97125595539794</v>
      </c>
      <c r="AA23" s="130">
        <f t="shared" si="21"/>
        <v>0</v>
      </c>
      <c r="AB23" s="131">
        <f t="shared" ca="1" si="22"/>
        <v>0</v>
      </c>
      <c r="AC23" s="129">
        <v>2.5</v>
      </c>
      <c r="AD23" s="130">
        <f t="shared" si="23"/>
        <v>0</v>
      </c>
      <c r="AE23" s="130">
        <f t="shared" ca="1" si="24"/>
        <v>11653.490937658391</v>
      </c>
      <c r="AF23" s="35">
        <f t="shared" ca="1" si="5"/>
        <v>0</v>
      </c>
      <c r="AG23" s="73">
        <f t="shared" ca="1" si="5"/>
        <v>1741.3262320638974</v>
      </c>
      <c r="AH23" s="35">
        <f t="shared" ca="1" si="25"/>
        <v>0</v>
      </c>
      <c r="AI23" s="35">
        <f t="shared" ca="1" si="6"/>
        <v>13394.817169722288</v>
      </c>
      <c r="AJ23" s="35">
        <f t="shared" ca="1" si="26"/>
        <v>0</v>
      </c>
      <c r="AK23" s="73">
        <f t="shared" ca="1" si="7"/>
        <v>4018.4451509166861</v>
      </c>
      <c r="AL23" s="35">
        <f t="shared" ca="1" si="8"/>
        <v>0</v>
      </c>
      <c r="AM23" s="73">
        <f t="shared" ca="1" si="9"/>
        <v>17413.262320638973</v>
      </c>
      <c r="AN23" s="32"/>
      <c r="AO23" s="33"/>
      <c r="AP23" s="79"/>
      <c r="AQ23" s="33"/>
      <c r="AR23" s="83"/>
      <c r="AS23" s="36"/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20"/>
      <c r="BF23" s="36"/>
      <c r="BG23" s="36"/>
      <c r="BH23" s="85"/>
      <c r="BI23" s="36"/>
      <c r="BJ23" s="38"/>
      <c r="BK23" s="36"/>
      <c r="BL23" s="38"/>
      <c r="BM23" s="36"/>
      <c r="BN23" s="38"/>
      <c r="BO23" s="36"/>
      <c r="BP23" s="36"/>
      <c r="BQ23" s="36">
        <f t="shared" ca="1" si="13"/>
        <v>17413.262320638973</v>
      </c>
      <c r="BR23" s="36">
        <f t="shared" ca="1" si="14"/>
        <v>174.13262320638972</v>
      </c>
      <c r="BS23" s="38">
        <f t="shared" si="15"/>
        <v>0.42</v>
      </c>
      <c r="BT23" s="38"/>
      <c r="BU23" s="39"/>
    </row>
    <row r="24" spans="1:73" ht="22.5" x14ac:dyDescent="0.2">
      <c r="A24" s="20">
        <f t="shared" si="16"/>
        <v>8</v>
      </c>
      <c r="B24" s="27" t="s">
        <v>26</v>
      </c>
      <c r="C24" s="29">
        <v>1</v>
      </c>
      <c r="D24" s="463" t="s">
        <v>120</v>
      </c>
      <c r="E24" s="464"/>
      <c r="F24" s="28" t="s">
        <v>111</v>
      </c>
      <c r="G24" s="36">
        <f>AY27</f>
        <v>50</v>
      </c>
      <c r="H24" s="174">
        <v>42536</v>
      </c>
      <c r="I24" s="174">
        <v>42542</v>
      </c>
      <c r="J24" s="179">
        <f t="shared" si="1"/>
        <v>6</v>
      </c>
      <c r="K24" s="32">
        <v>8.3333333333333339</v>
      </c>
      <c r="L24" s="33">
        <f t="shared" si="2"/>
        <v>6</v>
      </c>
      <c r="M24" s="34"/>
      <c r="N24" s="34">
        <v>1</v>
      </c>
      <c r="O24" s="35">
        <f t="shared" si="3"/>
        <v>0</v>
      </c>
      <c r="P24" s="35">
        <f t="shared" si="4"/>
        <v>42</v>
      </c>
      <c r="Q24" s="34">
        <v>2</v>
      </c>
      <c r="R24" s="83">
        <f>IF(AND(O24&gt;0,Q24&gt;0),SUMIF('Исходные данные'!$C$13:H28,Q24,'Исходные данные'!$C$17:$H$17),IF(O24=0,0,IF(Q24=0,"РОТ")))</f>
        <v>0</v>
      </c>
      <c r="S24" s="34">
        <v>2</v>
      </c>
      <c r="T24" s="83">
        <f ca="1">IF(AND(N24&gt;0,P24&gt;0),SUMIF('Исходные данные'!$C$13:$J$29,S24,'Исходные данные'!$C$33:$J$39),IF(N24=0,0,IF(S24=0,"РОТ")))</f>
        <v>105.700598073999</v>
      </c>
      <c r="U24" s="130">
        <f>O24*R24*'Исходные данные'!$C$37%</f>
        <v>0</v>
      </c>
      <c r="V24" s="130">
        <f ca="1">P24*T24*'Исходные данные'!$C$38%</f>
        <v>0</v>
      </c>
      <c r="W24" s="130">
        <f t="shared" si="17"/>
        <v>0</v>
      </c>
      <c r="X24" s="131">
        <f t="shared" ca="1" si="18"/>
        <v>0</v>
      </c>
      <c r="Y24" s="130">
        <f t="shared" si="19"/>
        <v>0</v>
      </c>
      <c r="Z24" s="131">
        <f t="shared" ca="1" si="20"/>
        <v>221.97125595539794</v>
      </c>
      <c r="AA24" s="130">
        <f t="shared" si="21"/>
        <v>0</v>
      </c>
      <c r="AB24" s="131">
        <f t="shared" ca="1" si="22"/>
        <v>0</v>
      </c>
      <c r="AC24" s="129">
        <v>2.5</v>
      </c>
      <c r="AD24" s="130">
        <f t="shared" si="23"/>
        <v>0</v>
      </c>
      <c r="AE24" s="130">
        <f t="shared" ca="1" si="24"/>
        <v>11653.490937658391</v>
      </c>
      <c r="AF24" s="35">
        <f t="shared" ca="1" si="5"/>
        <v>0</v>
      </c>
      <c r="AG24" s="73">
        <f t="shared" ca="1" si="5"/>
        <v>1741.3262320638974</v>
      </c>
      <c r="AH24" s="35">
        <f t="shared" ca="1" si="25"/>
        <v>0</v>
      </c>
      <c r="AI24" s="35">
        <f t="shared" ca="1" si="6"/>
        <v>13394.817169722288</v>
      </c>
      <c r="AJ24" s="35">
        <f t="shared" ca="1" si="26"/>
        <v>0</v>
      </c>
      <c r="AK24" s="73">
        <f t="shared" ca="1" si="7"/>
        <v>4018.4451509166861</v>
      </c>
      <c r="AL24" s="35">
        <f t="shared" ca="1" si="8"/>
        <v>0</v>
      </c>
      <c r="AM24" s="73">
        <f t="shared" ca="1" si="9"/>
        <v>17413.262320638973</v>
      </c>
      <c r="AN24" s="32"/>
      <c r="AO24" s="33"/>
      <c r="AP24" s="79"/>
      <c r="AQ24" s="33"/>
      <c r="AR24" s="83"/>
      <c r="AS24" s="36"/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20"/>
      <c r="BF24" s="36"/>
      <c r="BG24" s="36"/>
      <c r="BH24" s="85"/>
      <c r="BI24" s="36"/>
      <c r="BJ24" s="38"/>
      <c r="BK24" s="36"/>
      <c r="BL24" s="38"/>
      <c r="BM24" s="36"/>
      <c r="BN24" s="38"/>
      <c r="BO24" s="36"/>
      <c r="BP24" s="36"/>
      <c r="BQ24" s="36">
        <f t="shared" ca="1" si="13"/>
        <v>17413.262320638973</v>
      </c>
      <c r="BR24" s="36">
        <f t="shared" ca="1" si="14"/>
        <v>174.13262320638972</v>
      </c>
      <c r="BS24" s="38">
        <f t="shared" si="15"/>
        <v>0.42</v>
      </c>
      <c r="BT24" s="38"/>
      <c r="BU24" s="39"/>
    </row>
    <row r="25" spans="1:73" ht="22.5" x14ac:dyDescent="0.2">
      <c r="A25" s="20">
        <f t="shared" si="16"/>
        <v>9</v>
      </c>
      <c r="B25" s="27" t="s">
        <v>77</v>
      </c>
      <c r="C25" s="29">
        <v>1</v>
      </c>
      <c r="D25" s="30" t="s">
        <v>107</v>
      </c>
      <c r="E25" s="31" t="s">
        <v>117</v>
      </c>
      <c r="F25" s="28" t="s">
        <v>111</v>
      </c>
      <c r="G25" s="36">
        <f>G24</f>
        <v>50</v>
      </c>
      <c r="H25" s="174">
        <v>42536</v>
      </c>
      <c r="I25" s="174">
        <v>42542</v>
      </c>
      <c r="J25" s="179">
        <f t="shared" si="1"/>
        <v>6</v>
      </c>
      <c r="K25" s="32">
        <v>8.3333333333333339</v>
      </c>
      <c r="L25" s="33">
        <f t="shared" si="2"/>
        <v>6</v>
      </c>
      <c r="M25" s="34">
        <v>1</v>
      </c>
      <c r="N25" s="34">
        <v>1</v>
      </c>
      <c r="O25" s="35">
        <f t="shared" si="3"/>
        <v>42</v>
      </c>
      <c r="P25" s="35">
        <f t="shared" si="4"/>
        <v>42</v>
      </c>
      <c r="Q25" s="34">
        <v>2</v>
      </c>
      <c r="R25" s="83">
        <f ca="1">IF(AND(O25&gt;0,Q25&gt;0),SUMIF('Исходные данные'!$C$13:H29,Q25,'Исходные данные'!$C$17:$H$17),IF(O25=0,0,IF(Q25=0,"РОТ")))</f>
        <v>128.66557526609228</v>
      </c>
      <c r="S25" s="34">
        <v>2</v>
      </c>
      <c r="T25" s="83">
        <f ca="1">IF(AND(N25&gt;0,P25&gt;0),SUMIF('Исходные данные'!$C$13:$J$29,S25,'Исходные данные'!$C$33:$J$39),IF(N25=0,0,IF(S25=0,"РОТ")))</f>
        <v>105.700598073999</v>
      </c>
      <c r="U25" s="130">
        <f ca="1">O25*R25*'Исходные данные'!$C$37%</f>
        <v>0</v>
      </c>
      <c r="V25" s="130">
        <f ca="1">P25*T25*'Исходные данные'!$C$38%</f>
        <v>0</v>
      </c>
      <c r="W25" s="130">
        <f t="shared" ca="1" si="17"/>
        <v>0</v>
      </c>
      <c r="X25" s="131">
        <f t="shared" ca="1" si="18"/>
        <v>0</v>
      </c>
      <c r="Y25" s="130">
        <f t="shared" ca="1" si="19"/>
        <v>540.39541611758762</v>
      </c>
      <c r="Z25" s="131">
        <f t="shared" ca="1" si="20"/>
        <v>221.97125595539794</v>
      </c>
      <c r="AA25" s="130">
        <f t="shared" ca="1" si="21"/>
        <v>0</v>
      </c>
      <c r="AB25" s="131">
        <f t="shared" ca="1" si="22"/>
        <v>0</v>
      </c>
      <c r="AC25" s="129">
        <v>2.5</v>
      </c>
      <c r="AD25" s="130">
        <f t="shared" ca="1" si="23"/>
        <v>14860.873943233659</v>
      </c>
      <c r="AE25" s="130">
        <f t="shared" ca="1" si="24"/>
        <v>11653.490937658391</v>
      </c>
      <c r="AF25" s="35">
        <f t="shared" ca="1" si="5"/>
        <v>2220.5903593337648</v>
      </c>
      <c r="AG25" s="73">
        <f t="shared" ca="1" si="5"/>
        <v>1741.3262320638974</v>
      </c>
      <c r="AH25" s="35">
        <f t="shared" ca="1" si="25"/>
        <v>17081.464302567423</v>
      </c>
      <c r="AI25" s="35">
        <f t="shared" ca="1" si="6"/>
        <v>13394.817169722288</v>
      </c>
      <c r="AJ25" s="35">
        <f t="shared" ca="1" si="26"/>
        <v>5124.4392907702268</v>
      </c>
      <c r="AK25" s="73">
        <f t="shared" ca="1" si="7"/>
        <v>4018.4451509166861</v>
      </c>
      <c r="AL25" s="35">
        <f t="shared" ca="1" si="8"/>
        <v>22205.903593337651</v>
      </c>
      <c r="AM25" s="73">
        <f t="shared" ca="1" si="9"/>
        <v>17413.262320638973</v>
      </c>
      <c r="AN25" s="32">
        <v>0.96</v>
      </c>
      <c r="AO25" s="33">
        <f>'Исходные данные'!$C$53</f>
        <v>0.84</v>
      </c>
      <c r="AP25" s="79">
        <f>(G25*AN25)*AO25/100</f>
        <v>0.4032</v>
      </c>
      <c r="AQ25" s="33" t="s">
        <v>155</v>
      </c>
      <c r="AR25" s="83" t="e">
        <f>AR17</f>
        <v>#REF!</v>
      </c>
      <c r="AS25" s="36" t="e">
        <f t="shared" si="27"/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20"/>
      <c r="BF25" s="36">
        <f>аморт!$G$11</f>
        <v>181.91312849162011</v>
      </c>
      <c r="BG25" s="36">
        <f>BF25*L25</f>
        <v>1091.4787709497207</v>
      </c>
      <c r="BH25" s="85">
        <f>аморт!$G$23</f>
        <v>48.426111111111105</v>
      </c>
      <c r="BI25" s="36">
        <f>BH25*L25</f>
        <v>290.55666666666662</v>
      </c>
      <c r="BJ25" s="38">
        <v>82.4</v>
      </c>
      <c r="BK25" s="36">
        <f t="shared" si="10"/>
        <v>2521.44</v>
      </c>
      <c r="BL25" s="38">
        <v>13.9</v>
      </c>
      <c r="BM25" s="36">
        <f t="shared" si="11"/>
        <v>425.34</v>
      </c>
      <c r="BN25" s="38">
        <f>4.8*1.045*1.054</f>
        <v>5.2868639999999996</v>
      </c>
      <c r="BO25" s="36">
        <f t="shared" si="12"/>
        <v>161.77803839999999</v>
      </c>
      <c r="BP25" s="36">
        <f>аморт!$C$23*10%/аморт!$E$23*L25*7</f>
        <v>46128.776400000002</v>
      </c>
      <c r="BQ25" s="36" t="e">
        <f t="shared" ca="1" si="13"/>
        <v>#REF!</v>
      </c>
      <c r="BR25" s="36" t="e">
        <f t="shared" ca="1" si="14"/>
        <v>#REF!</v>
      </c>
      <c r="BS25" s="38">
        <f t="shared" si="15"/>
        <v>0.84</v>
      </c>
      <c r="BT25" s="38">
        <v>5.0999999999999996</v>
      </c>
      <c r="BU25" s="39">
        <f>BT25*L25</f>
        <v>30.599999999999998</v>
      </c>
    </row>
    <row r="26" spans="1:73" ht="22.5" x14ac:dyDescent="0.2">
      <c r="A26" s="20">
        <f t="shared" si="16"/>
        <v>10</v>
      </c>
      <c r="B26" s="27" t="s">
        <v>27</v>
      </c>
      <c r="C26" s="29">
        <v>1</v>
      </c>
      <c r="D26" s="463" t="s">
        <v>120</v>
      </c>
      <c r="E26" s="464"/>
      <c r="F26" s="28" t="s">
        <v>111</v>
      </c>
      <c r="G26" s="36">
        <f>G25</f>
        <v>50</v>
      </c>
      <c r="H26" s="174">
        <v>42536</v>
      </c>
      <c r="I26" s="174">
        <v>42542</v>
      </c>
      <c r="J26" s="179">
        <f t="shared" si="1"/>
        <v>6</v>
      </c>
      <c r="K26" s="32">
        <v>8.3333333333333339</v>
      </c>
      <c r="L26" s="33">
        <f t="shared" si="2"/>
        <v>6</v>
      </c>
      <c r="M26" s="34"/>
      <c r="N26" s="34">
        <v>1</v>
      </c>
      <c r="O26" s="35">
        <f t="shared" si="3"/>
        <v>0</v>
      </c>
      <c r="P26" s="35">
        <f t="shared" si="4"/>
        <v>42</v>
      </c>
      <c r="Q26" s="34">
        <v>2</v>
      </c>
      <c r="R26" s="83">
        <f>IF(AND(O26&gt;0,Q26&gt;0),SUMIF('Исходные данные'!$C$13:H29,Q26,'Исходные данные'!$C$17:$H$17),IF(O26=0,0,IF(Q26=0,"РОТ")))</f>
        <v>0</v>
      </c>
      <c r="S26" s="34">
        <v>2</v>
      </c>
      <c r="T26" s="83">
        <f ca="1">IF(AND(N26&gt;0,P26&gt;0),SUMIF('Исходные данные'!$C$13:$J$29,S26,'Исходные данные'!$C$33:$J$39),IF(N26=0,0,IF(S26=0,"РОТ")))</f>
        <v>105.700598073999</v>
      </c>
      <c r="U26" s="130">
        <f>O26*R26*'Исходные данные'!$C$37%</f>
        <v>0</v>
      </c>
      <c r="V26" s="130">
        <f ca="1">P26*T26*'Исходные данные'!$C$38%</f>
        <v>0</v>
      </c>
      <c r="W26" s="130">
        <f t="shared" si="17"/>
        <v>0</v>
      </c>
      <c r="X26" s="131">
        <f t="shared" ca="1" si="18"/>
        <v>0</v>
      </c>
      <c r="Y26" s="130">
        <f t="shared" si="19"/>
        <v>0</v>
      </c>
      <c r="Z26" s="131">
        <f t="shared" ca="1" si="20"/>
        <v>221.97125595539794</v>
      </c>
      <c r="AA26" s="130">
        <f t="shared" si="21"/>
        <v>0</v>
      </c>
      <c r="AB26" s="131">
        <f t="shared" ca="1" si="22"/>
        <v>0</v>
      </c>
      <c r="AC26" s="129">
        <v>2.5</v>
      </c>
      <c r="AD26" s="130">
        <f t="shared" si="23"/>
        <v>0</v>
      </c>
      <c r="AE26" s="130">
        <f t="shared" ca="1" si="24"/>
        <v>11653.490937658391</v>
      </c>
      <c r="AF26" s="35">
        <f t="shared" ca="1" si="5"/>
        <v>0</v>
      </c>
      <c r="AG26" s="73">
        <f t="shared" ca="1" si="5"/>
        <v>1741.3262320638974</v>
      </c>
      <c r="AH26" s="35">
        <f t="shared" ca="1" si="25"/>
        <v>0</v>
      </c>
      <c r="AI26" s="35">
        <f t="shared" ca="1" si="6"/>
        <v>13394.817169722288</v>
      </c>
      <c r="AJ26" s="35">
        <f t="shared" ca="1" si="26"/>
        <v>0</v>
      </c>
      <c r="AK26" s="73">
        <f t="shared" ca="1" si="7"/>
        <v>4018.4451509166861</v>
      </c>
      <c r="AL26" s="35">
        <f t="shared" ca="1" si="8"/>
        <v>0</v>
      </c>
      <c r="AM26" s="73">
        <f t="shared" ca="1" si="9"/>
        <v>17413.262320638973</v>
      </c>
      <c r="AN26" s="32"/>
      <c r="AO26" s="33">
        <f>'Исходные данные'!$C$53</f>
        <v>0.84</v>
      </c>
      <c r="AP26" s="79"/>
      <c r="AQ26" s="33"/>
      <c r="AR26" s="83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20"/>
      <c r="BF26" s="36"/>
      <c r="BG26" s="36"/>
      <c r="BH26" s="85"/>
      <c r="BI26" s="36"/>
      <c r="BJ26" s="38"/>
      <c r="BK26" s="36"/>
      <c r="BL26" s="38"/>
      <c r="BM26" s="36"/>
      <c r="BN26" s="38"/>
      <c r="BO26" s="36"/>
      <c r="BP26" s="36"/>
      <c r="BQ26" s="36">
        <f t="shared" ca="1" si="13"/>
        <v>17413.262320638973</v>
      </c>
      <c r="BR26" s="36">
        <f t="shared" ca="1" si="14"/>
        <v>174.13262320638972</v>
      </c>
      <c r="BS26" s="38">
        <f t="shared" si="15"/>
        <v>0.42</v>
      </c>
      <c r="BT26" s="38"/>
      <c r="BU26" s="39"/>
    </row>
    <row r="27" spans="1:73" ht="45" x14ac:dyDescent="0.2">
      <c r="A27" s="20">
        <f t="shared" si="16"/>
        <v>11</v>
      </c>
      <c r="B27" s="27" t="s">
        <v>431</v>
      </c>
      <c r="C27" s="29">
        <v>1</v>
      </c>
      <c r="D27" s="30" t="s">
        <v>186</v>
      </c>
      <c r="E27" s="187" t="s">
        <v>505</v>
      </c>
      <c r="F27" s="28" t="s">
        <v>108</v>
      </c>
      <c r="G27" s="29">
        <f>D6</f>
        <v>100</v>
      </c>
      <c r="H27" s="174">
        <f>H20</f>
        <v>42536</v>
      </c>
      <c r="I27" s="174">
        <f>I20</f>
        <v>42542</v>
      </c>
      <c r="J27" s="179">
        <f t="shared" si="1"/>
        <v>6</v>
      </c>
      <c r="K27" s="32">
        <v>14.4</v>
      </c>
      <c r="L27" s="33">
        <f t="shared" si="2"/>
        <v>6.9444444444444446</v>
      </c>
      <c r="M27" s="34">
        <v>2</v>
      </c>
      <c r="N27" s="34"/>
      <c r="O27" s="35">
        <f t="shared" si="3"/>
        <v>48.611111111111114</v>
      </c>
      <c r="P27" s="35">
        <f t="shared" si="4"/>
        <v>0</v>
      </c>
      <c r="Q27" s="34">
        <v>5</v>
      </c>
      <c r="R27" s="83">
        <f ca="1">IF(AND(O27&gt;0,Q27&gt;0),SUMIF('Исходные данные'!$C$13:H29,Q27,'Исходные данные'!$C$17:$H$17),IF(O27=0,0,IF(Q27=0,"РОТ")))</f>
        <v>179.78980233147493</v>
      </c>
      <c r="S27" s="34">
        <v>5</v>
      </c>
      <c r="T27" s="83">
        <f>IF(AND(N27&gt;0,P27&gt;0),SUMIF('Исходные данные'!$C$13:$J$29,S27,'Исходные данные'!$C$33:$J$39),IF(N27=0,0,IF(S27=0,"РОТ")))</f>
        <v>0</v>
      </c>
      <c r="U27" s="130">
        <f ca="1">O27*R27*'Исходные данные'!$C$37%</f>
        <v>0</v>
      </c>
      <c r="V27" s="130">
        <f>P27*T27*'Исходные данные'!$C$38%</f>
        <v>0</v>
      </c>
      <c r="W27" s="130">
        <f t="shared" ca="1" si="17"/>
        <v>0</v>
      </c>
      <c r="X27" s="131">
        <f t="shared" si="18"/>
        <v>0</v>
      </c>
      <c r="Y27" s="130">
        <f t="shared" ca="1" si="19"/>
        <v>873.97820577800326</v>
      </c>
      <c r="Z27" s="131">
        <f t="shared" si="20"/>
        <v>0</v>
      </c>
      <c r="AA27" s="130">
        <f t="shared" ca="1" si="21"/>
        <v>0</v>
      </c>
      <c r="AB27" s="131">
        <f t="shared" si="22"/>
        <v>0</v>
      </c>
      <c r="AC27" s="129">
        <v>2.5</v>
      </c>
      <c r="AD27" s="130">
        <f t="shared" ca="1" si="23"/>
        <v>24034.400658895087</v>
      </c>
      <c r="AE27" s="130">
        <f t="shared" si="24"/>
        <v>0</v>
      </c>
      <c r="AF27" s="35">
        <f t="shared" ca="1" si="5"/>
        <v>3591.347224892369</v>
      </c>
      <c r="AG27" s="73">
        <f t="shared" ca="1" si="5"/>
        <v>0</v>
      </c>
      <c r="AH27" s="35">
        <f t="shared" ca="1" si="25"/>
        <v>27625.747883787455</v>
      </c>
      <c r="AI27" s="35">
        <f t="shared" ca="1" si="6"/>
        <v>0</v>
      </c>
      <c r="AJ27" s="35">
        <f t="shared" ca="1" si="26"/>
        <v>8287.7243651362369</v>
      </c>
      <c r="AK27" s="73">
        <f t="shared" ca="1" si="7"/>
        <v>0</v>
      </c>
      <c r="AL27" s="35">
        <f t="shared" ca="1" si="8"/>
        <v>35913.472248923688</v>
      </c>
      <c r="AM27" s="73">
        <f t="shared" ca="1" si="9"/>
        <v>0</v>
      </c>
      <c r="AN27" s="32">
        <v>9</v>
      </c>
      <c r="AO27" s="33">
        <f>'Исходные данные'!$C$53</f>
        <v>0.84</v>
      </c>
      <c r="AP27" s="79">
        <f>(G27*AN27)*AO27/100</f>
        <v>7.56</v>
      </c>
      <c r="AQ27" s="33" t="s">
        <v>155</v>
      </c>
      <c r="AR27" s="83" t="e">
        <f>AR17</f>
        <v>#REF!</v>
      </c>
      <c r="AS27" s="36" t="e">
        <f t="shared" si="27"/>
        <v>#REF!</v>
      </c>
      <c r="AT27" s="32">
        <v>1.8</v>
      </c>
      <c r="AU27" s="36">
        <f>AT27*G27/10</f>
        <v>18</v>
      </c>
      <c r="AV27" s="79">
        <v>20</v>
      </c>
      <c r="AW27" s="36">
        <f>AU27*AV27*1000</f>
        <v>360000</v>
      </c>
      <c r="AX27" s="38">
        <v>5</v>
      </c>
      <c r="AY27" s="36">
        <f>AX27*G27/10</f>
        <v>50</v>
      </c>
      <c r="AZ27" s="38" t="e">
        <f>Нормы!#REF!</f>
        <v>#REF!</v>
      </c>
      <c r="BA27" s="36" t="e">
        <f>AY27*AZ27*1000</f>
        <v>#REF!</v>
      </c>
      <c r="BB27" s="36"/>
      <c r="BC27" s="36"/>
      <c r="BD27" s="36"/>
      <c r="BE27" s="36"/>
      <c r="BF27" s="36">
        <f>аморт!$G$11</f>
        <v>181.91312849162011</v>
      </c>
      <c r="BG27" s="36">
        <f>BF27*L27</f>
        <v>1263.2856145251396</v>
      </c>
      <c r="BH27" s="36">
        <f>аморт!G83</f>
        <v>214.94602272727272</v>
      </c>
      <c r="BI27" s="36">
        <f>BH27*L27</f>
        <v>1492.6807133838383</v>
      </c>
      <c r="BJ27" s="38">
        <v>82.4</v>
      </c>
      <c r="BK27" s="36">
        <f t="shared" si="10"/>
        <v>2918.3333333333335</v>
      </c>
      <c r="BL27" s="38">
        <v>13.9</v>
      </c>
      <c r="BM27" s="36">
        <f t="shared" si="11"/>
        <v>492.29166666666663</v>
      </c>
      <c r="BN27" s="38">
        <f>4.8*1.045*1.054</f>
        <v>5.2868639999999996</v>
      </c>
      <c r="BO27" s="36">
        <f t="shared" si="12"/>
        <v>187.24309999999997</v>
      </c>
      <c r="BP27" s="36">
        <f>аморт!$C$83*10%/аморт!$E$83*L27*7</f>
        <v>73559.305555555562</v>
      </c>
      <c r="BQ27" s="36" t="e">
        <f t="shared" ca="1" si="13"/>
        <v>#REF!</v>
      </c>
      <c r="BR27" s="36" t="e">
        <f t="shared" ca="1" si="14"/>
        <v>#REF!</v>
      </c>
      <c r="BS27" s="38">
        <f t="shared" si="15"/>
        <v>0.48611111111111116</v>
      </c>
      <c r="BT27" s="38">
        <v>5.0999999999999996</v>
      </c>
      <c r="BU27" s="39">
        <f>BT27*L27</f>
        <v>35.416666666666664</v>
      </c>
    </row>
    <row r="28" spans="1:73" s="54" customFormat="1" x14ac:dyDescent="0.2">
      <c r="A28" s="52"/>
      <c r="B28" s="53" t="s">
        <v>22</v>
      </c>
      <c r="C28" s="53"/>
      <c r="D28" s="53"/>
      <c r="E28" s="53"/>
      <c r="F28" s="55"/>
      <c r="G28" s="56"/>
      <c r="H28" s="56"/>
      <c r="I28" s="56"/>
      <c r="J28" s="65">
        <f>SUM(J17:J27)</f>
        <v>65</v>
      </c>
      <c r="K28" s="65"/>
      <c r="L28" s="65">
        <f>SUM(L17:L27)</f>
        <v>62.438492063492063</v>
      </c>
      <c r="M28" s="65">
        <f>SUM(M17:M27)</f>
        <v>12</v>
      </c>
      <c r="N28" s="65">
        <f>SUM(N17:N27)</f>
        <v>6</v>
      </c>
      <c r="O28" s="65">
        <f>SUM(O17:O27)</f>
        <v>269.06944444444446</v>
      </c>
      <c r="P28" s="65">
        <f>SUM(P17:P27)</f>
        <v>252</v>
      </c>
      <c r="Q28" s="65"/>
      <c r="R28" s="65"/>
      <c r="S28" s="65"/>
      <c r="T28" s="65"/>
      <c r="U28" s="65">
        <f t="shared" ref="U28:AM28" ca="1" si="28">SUM(U17:U27)</f>
        <v>0</v>
      </c>
      <c r="V28" s="65">
        <f t="shared" ca="1" si="28"/>
        <v>0</v>
      </c>
      <c r="W28" s="65">
        <f t="shared" ca="1" si="28"/>
        <v>0</v>
      </c>
      <c r="X28" s="65">
        <f t="shared" ca="1" si="28"/>
        <v>0</v>
      </c>
      <c r="Y28" s="65">
        <f t="shared" ca="1" si="28"/>
        <v>4491.9126771414094</v>
      </c>
      <c r="Z28" s="65">
        <f t="shared" ca="1" si="28"/>
        <v>1331.8275357323876</v>
      </c>
      <c r="AA28" s="65">
        <f t="shared" ca="1" si="28"/>
        <v>0</v>
      </c>
      <c r="AB28" s="65">
        <f t="shared" ca="1" si="28"/>
        <v>0</v>
      </c>
      <c r="AC28" s="65"/>
      <c r="AD28" s="65">
        <f t="shared" ca="1" si="28"/>
        <v>123527.59862138878</v>
      </c>
      <c r="AE28" s="65">
        <f t="shared" ca="1" si="28"/>
        <v>69920.945625950349</v>
      </c>
      <c r="AF28" s="65">
        <f t="shared" ca="1" si="28"/>
        <v>18458.146920437397</v>
      </c>
      <c r="AG28" s="65">
        <f t="shared" ca="1" si="28"/>
        <v>10447.957392383383</v>
      </c>
      <c r="AH28" s="65">
        <f t="shared" ca="1" si="28"/>
        <v>141985.74554182618</v>
      </c>
      <c r="AI28" s="65">
        <f t="shared" ca="1" si="28"/>
        <v>80368.903018333731</v>
      </c>
      <c r="AJ28" s="65">
        <f t="shared" ca="1" si="28"/>
        <v>42595.723662547854</v>
      </c>
      <c r="AK28" s="65">
        <f t="shared" ca="1" si="28"/>
        <v>24110.670905500116</v>
      </c>
      <c r="AL28" s="65">
        <f t="shared" ca="1" si="28"/>
        <v>184581.46920437401</v>
      </c>
      <c r="AM28" s="65">
        <f t="shared" ca="1" si="28"/>
        <v>104479.57392383383</v>
      </c>
      <c r="AN28" s="65"/>
      <c r="AO28" s="65"/>
      <c r="AP28" s="65">
        <f>SUM(AP17:AP27)</f>
        <v>34.040351999999999</v>
      </c>
      <c r="AQ28" s="65"/>
      <c r="AR28" s="65"/>
      <c r="AS28" s="65" t="e">
        <f>SUM(AS17:AS27)</f>
        <v>#REF!</v>
      </c>
      <c r="AT28" s="65"/>
      <c r="AU28" s="65">
        <f>SUM(AU17:AU27)</f>
        <v>18</v>
      </c>
      <c r="AV28" s="65"/>
      <c r="AW28" s="65">
        <f>SUM(AW17:AW27)</f>
        <v>360000</v>
      </c>
      <c r="AX28" s="65"/>
      <c r="AY28" s="65">
        <f>SUM(AY17:AY27)</f>
        <v>50</v>
      </c>
      <c r="AZ28" s="65"/>
      <c r="BA28" s="65" t="e">
        <f>SUM(BA17:BA27)</f>
        <v>#REF!</v>
      </c>
      <c r="BB28" s="65"/>
      <c r="BC28" s="65">
        <f>SUM(BC17:BC27)</f>
        <v>0</v>
      </c>
      <c r="BD28" s="65"/>
      <c r="BE28" s="65">
        <f>SUM(BE17:BE27)</f>
        <v>0</v>
      </c>
      <c r="BF28" s="65"/>
      <c r="BG28" s="65">
        <f>SUM(BG17:BG27)</f>
        <v>5008.1570614321081</v>
      </c>
      <c r="BH28" s="65"/>
      <c r="BI28" s="65">
        <f>SUM(BI17:BI27)</f>
        <v>3308.5689862814675</v>
      </c>
      <c r="BJ28" s="65"/>
      <c r="BK28" s="65">
        <f>SUM(BK17:BK27)</f>
        <v>25402.731190476185</v>
      </c>
      <c r="BL28" s="65"/>
      <c r="BM28" s="65">
        <f>SUM(BM17:BM27)</f>
        <v>3355.0609523809526</v>
      </c>
      <c r="BN28" s="65"/>
      <c r="BO28" s="65">
        <f>SUM(BO17:BO27)</f>
        <v>2005.0266505499999</v>
      </c>
      <c r="BP28" s="65">
        <f>SUM(BP17:BP27)</f>
        <v>305386.29418888892</v>
      </c>
      <c r="BQ28" s="65" t="e">
        <f ca="1">SUM(BQ17:BQ27)</f>
        <v>#REF!</v>
      </c>
      <c r="BR28" s="65"/>
      <c r="BS28" s="65"/>
      <c r="BT28" s="65"/>
      <c r="BU28" s="65">
        <f>SUM(BU17:BU27)</f>
        <v>303.40238095238095</v>
      </c>
    </row>
    <row r="29" spans="1:73" s="7" customFormat="1" ht="12.75" customHeight="1" x14ac:dyDescent="0.2">
      <c r="A29" s="21"/>
      <c r="B29" s="462" t="s">
        <v>66</v>
      </c>
      <c r="C29" s="462"/>
      <c r="D29" s="462"/>
      <c r="E29" s="462"/>
      <c r="F29" s="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5"/>
      <c r="AQ29" s="26"/>
      <c r="AR29" s="26"/>
      <c r="AS29" s="25"/>
      <c r="AT29" s="23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3"/>
    </row>
    <row r="30" spans="1:73" ht="22.5" x14ac:dyDescent="0.2">
      <c r="A30" s="19">
        <v>1</v>
      </c>
      <c r="B30" s="27" t="s">
        <v>67</v>
      </c>
      <c r="C30" s="29">
        <v>1.1574074074074074</v>
      </c>
      <c r="D30" s="30" t="s">
        <v>107</v>
      </c>
      <c r="E30" s="31" t="s">
        <v>194</v>
      </c>
      <c r="F30" s="28" t="s">
        <v>108</v>
      </c>
      <c r="G30" s="29">
        <f>D6</f>
        <v>100</v>
      </c>
      <c r="H30" s="174">
        <v>42597</v>
      </c>
      <c r="I30" s="174">
        <v>42603</v>
      </c>
      <c r="J30" s="179">
        <f t="shared" ref="J30:J35" si="29">I30-H30</f>
        <v>6</v>
      </c>
      <c r="K30" s="32">
        <v>14.4</v>
      </c>
      <c r="L30" s="33">
        <f t="shared" ref="L30:L35" si="30">G30/K30</f>
        <v>6.9444444444444446</v>
      </c>
      <c r="M30" s="34">
        <v>1</v>
      </c>
      <c r="N30" s="34"/>
      <c r="O30" s="35">
        <f t="shared" ref="O30:O35" si="31">IF(M30=0,0,L30*$O$12)</f>
        <v>48.611111111111114</v>
      </c>
      <c r="P30" s="35">
        <f t="shared" ref="P30:P35" si="32">IF(N30=0,0,L30*$O$12)</f>
        <v>0</v>
      </c>
      <c r="Q30" s="34">
        <v>5</v>
      </c>
      <c r="R30" s="83">
        <f ca="1">IF(AND(O30&gt;0,Q30&gt;0),SUMIF('Исходные данные'!$C$13:H33,Q30,'Исходные данные'!$C$17:$H$17),IF(O30=0,0,IF(Q30=0,"РОТ")))</f>
        <v>179.78980233147493</v>
      </c>
      <c r="S30" s="34"/>
      <c r="T30" s="83">
        <f>IF(AND(N30&gt;0,P30&gt;0),SUMIF('Исходные данные'!$C$13:$J$29,S30,'Исходные данные'!$C$33:$J$39),IF(N30=0,0,IF(S30=0,"РОТ")))</f>
        <v>0</v>
      </c>
      <c r="U30" s="130">
        <f ca="1">O30*R30*'Исходные данные'!$C$37%</f>
        <v>0</v>
      </c>
      <c r="V30" s="130">
        <f>P30*T30*'Исходные данные'!$C$38%</f>
        <v>0</v>
      </c>
      <c r="W30" s="130">
        <f t="shared" ref="W30:W35" ca="1" si="33">O30*R30*$W$12</f>
        <v>0</v>
      </c>
      <c r="X30" s="131">
        <f t="shared" ref="X30:X35" si="34">P30*T30*$W$12</f>
        <v>0</v>
      </c>
      <c r="Y30" s="130">
        <f t="shared" ref="Y30:Y35" ca="1" si="35">(O30*R30+U30+W30)*$Y$12</f>
        <v>873.97820577800326</v>
      </c>
      <c r="Z30" s="131">
        <f t="shared" ref="Z30:Z35" si="36">(P30*T30+V30+X30)*$Z$12</f>
        <v>0</v>
      </c>
      <c r="AA30" s="130">
        <f t="shared" ref="AA30:AA35" ca="1" si="37">(O30*R30+U30)*$AA$12</f>
        <v>0</v>
      </c>
      <c r="AB30" s="131">
        <f t="shared" ref="AB30:AB35" si="38">(P30*T30+V30)*$AA$12</f>
        <v>0</v>
      </c>
      <c r="AC30" s="129">
        <v>2.5</v>
      </c>
      <c r="AD30" s="130">
        <f t="shared" ref="AD30:AD35" ca="1" si="39">(O30*R30+U30+W30+Y30+AA30)*AC30</f>
        <v>24034.400658895087</v>
      </c>
      <c r="AE30" s="130">
        <f t="shared" ref="AE30:AE35" si="40">(P30*T30+V30+X30+Z30+AB30)*AC30</f>
        <v>0</v>
      </c>
      <c r="AF30" s="35">
        <f t="shared" ref="AF30:AG34" ca="1" si="41">AD30*$AF$12</f>
        <v>3591.347224892369</v>
      </c>
      <c r="AG30" s="73">
        <f t="shared" ca="1" si="41"/>
        <v>0</v>
      </c>
      <c r="AH30" s="35">
        <f t="shared" ref="AH30:AI34" ca="1" si="42">AD30+AF30</f>
        <v>27625.747883787455</v>
      </c>
      <c r="AI30" s="35">
        <f t="shared" ca="1" si="42"/>
        <v>0</v>
      </c>
      <c r="AJ30" s="35">
        <f t="shared" ref="AJ30:AK34" ca="1" si="43">AH30*$AJ$12</f>
        <v>8287.7243651362369</v>
      </c>
      <c r="AK30" s="73">
        <f t="shared" ca="1" si="43"/>
        <v>0</v>
      </c>
      <c r="AL30" s="35">
        <f t="shared" ref="AL30:AL35" ca="1" si="44">AH30+AJ30</f>
        <v>35913.472248923688</v>
      </c>
      <c r="AM30" s="73">
        <f t="shared" ref="AM30:AM35" ca="1" si="45">AK30+AI30</f>
        <v>0</v>
      </c>
      <c r="AN30" s="171">
        <v>6.5</v>
      </c>
      <c r="AO30" s="33">
        <f>'Исходные данные'!$C$53</f>
        <v>0.84</v>
      </c>
      <c r="AP30" s="79">
        <f t="shared" ref="AP30:AP35" si="46">(G30*AN30)*AO30/100</f>
        <v>5.46</v>
      </c>
      <c r="AQ30" s="33" t="s">
        <v>155</v>
      </c>
      <c r="AR30" s="83" t="e">
        <f>AR17</f>
        <v>#REF!</v>
      </c>
      <c r="AS30" s="36" t="e">
        <f t="shared" ref="AS30:AS35" si="47"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>
        <f>аморт!$G$11</f>
        <v>181.91312849162011</v>
      </c>
      <c r="BG30" s="36">
        <f t="shared" ref="BG30:BG35" si="48">BF30*L30</f>
        <v>1263.2856145251396</v>
      </c>
      <c r="BH30" s="36">
        <f>аморт!$G$25</f>
        <v>12.519247457627118</v>
      </c>
      <c r="BI30" s="36">
        <f t="shared" ref="BI30:BI35" si="49">BH30*L30</f>
        <v>86.939218455743884</v>
      </c>
      <c r="BJ30" s="38">
        <v>82.4</v>
      </c>
      <c r="BK30" s="36">
        <f t="shared" ref="BK30:BK35" si="50">BJ30*BU30</f>
        <v>2918.3333333333335</v>
      </c>
      <c r="BL30" s="38">
        <v>13.9</v>
      </c>
      <c r="BM30" s="36">
        <f t="shared" ref="BM30:BM35" si="51">BL30*BU30</f>
        <v>492.29166666666663</v>
      </c>
      <c r="BN30" s="38">
        <f t="shared" ref="BN30:BN35" si="52">4.8*1.045*1.054</f>
        <v>5.2868639999999996</v>
      </c>
      <c r="BO30" s="36">
        <f t="shared" ref="BO30:BO35" si="53">BN30*BU30</f>
        <v>187.24309999999997</v>
      </c>
      <c r="BP30" s="36">
        <f>аморт!$C$25*10%/аморт!$E$25*L30*7</f>
        <v>35905.897222222222</v>
      </c>
      <c r="BQ30" s="36" t="e">
        <f t="shared" ref="BQ30:BQ35" ca="1" si="54">AL30+AM30+AS30+AW30+BA30+BE30+BG30+BI30+BK30+BM30+BO30+BP30</f>
        <v>#REF!</v>
      </c>
      <c r="BR30" s="36" t="e">
        <f t="shared" ref="BR30:BR35" ca="1" si="55">BQ30/$D$6</f>
        <v>#REF!</v>
      </c>
      <c r="BS30" s="38">
        <f t="shared" ref="BS30:BS35" si="56">(O30+P30)/$D$6</f>
        <v>0.48611111111111116</v>
      </c>
      <c r="BT30" s="38">
        <v>5.0999999999999996</v>
      </c>
      <c r="BU30" s="39">
        <f t="shared" ref="BU30:BU35" si="57">BT30*L30</f>
        <v>35.416666666666664</v>
      </c>
    </row>
    <row r="31" spans="1:73" x14ac:dyDescent="0.2">
      <c r="A31" s="20">
        <f>A30+1</f>
        <v>2</v>
      </c>
      <c r="B31" s="27" t="s">
        <v>68</v>
      </c>
      <c r="C31" s="29">
        <v>0.32552083333333331</v>
      </c>
      <c r="D31" s="30" t="s">
        <v>107</v>
      </c>
      <c r="E31" s="31" t="s">
        <v>195</v>
      </c>
      <c r="F31" s="28" t="s">
        <v>108</v>
      </c>
      <c r="G31" s="29">
        <f>G30</f>
        <v>100</v>
      </c>
      <c r="H31" s="174">
        <v>42597</v>
      </c>
      <c r="I31" s="174">
        <v>42603</v>
      </c>
      <c r="J31" s="179">
        <f t="shared" si="29"/>
        <v>6</v>
      </c>
      <c r="K31" s="32">
        <v>51.2</v>
      </c>
      <c r="L31" s="33">
        <f t="shared" si="30"/>
        <v>1.953125</v>
      </c>
      <c r="M31" s="34">
        <v>1</v>
      </c>
      <c r="N31" s="34"/>
      <c r="O31" s="35">
        <f t="shared" si="31"/>
        <v>13.671875</v>
      </c>
      <c r="P31" s="35">
        <f t="shared" si="32"/>
        <v>0</v>
      </c>
      <c r="Q31" s="34">
        <v>5</v>
      </c>
      <c r="R31" s="83">
        <f ca="1">IF(AND(O31&gt;0,Q31&gt;0),SUMIF('Исходные данные'!$C$13:H33,Q31,'Исходные данные'!$C$17:$H$17),IF(O31=0,0,IF(Q31=0,"РОТ")))</f>
        <v>179.78980233147493</v>
      </c>
      <c r="S31" s="34"/>
      <c r="T31" s="83">
        <f>IF(AND(N31&gt;0,P31&gt;0),SUMIF('Исходные данные'!$C$13:$J$29,S31,'Исходные данные'!$C$33:$J$39),IF(N31=0,0,IF(S31=0,"РОТ")))</f>
        <v>0</v>
      </c>
      <c r="U31" s="130">
        <f ca="1">O31*R31*'Исходные данные'!$C$37%</f>
        <v>0</v>
      </c>
      <c r="V31" s="130">
        <f>P31*T31*'Исходные данные'!$C$38%</f>
        <v>0</v>
      </c>
      <c r="W31" s="130">
        <f t="shared" ca="1" si="33"/>
        <v>0</v>
      </c>
      <c r="X31" s="131">
        <f t="shared" si="34"/>
        <v>0</v>
      </c>
      <c r="Y31" s="130">
        <f t="shared" ca="1" si="35"/>
        <v>245.80637037506341</v>
      </c>
      <c r="Z31" s="131">
        <f t="shared" si="36"/>
        <v>0</v>
      </c>
      <c r="AA31" s="130">
        <f t="shared" ca="1" si="37"/>
        <v>0</v>
      </c>
      <c r="AB31" s="131">
        <f t="shared" si="38"/>
        <v>0</v>
      </c>
      <c r="AC31" s="129">
        <v>2.5</v>
      </c>
      <c r="AD31" s="130">
        <f t="shared" ca="1" si="39"/>
        <v>6759.6751853142441</v>
      </c>
      <c r="AE31" s="130">
        <f t="shared" si="40"/>
        <v>0</v>
      </c>
      <c r="AF31" s="35">
        <f t="shared" ca="1" si="41"/>
        <v>1010.0664070009789</v>
      </c>
      <c r="AG31" s="73">
        <f t="shared" ca="1" si="41"/>
        <v>0</v>
      </c>
      <c r="AH31" s="35">
        <f t="shared" ca="1" si="42"/>
        <v>7769.741592315223</v>
      </c>
      <c r="AI31" s="35">
        <f t="shared" ca="1" si="42"/>
        <v>0</v>
      </c>
      <c r="AJ31" s="35">
        <f t="shared" ca="1" si="43"/>
        <v>2330.9224776945666</v>
      </c>
      <c r="AK31" s="73">
        <f t="shared" ca="1" si="43"/>
        <v>0</v>
      </c>
      <c r="AL31" s="35">
        <f t="shared" ca="1" si="44"/>
        <v>10100.664070009789</v>
      </c>
      <c r="AM31" s="73">
        <f t="shared" ca="1" si="45"/>
        <v>0</v>
      </c>
      <c r="AN31" s="176">
        <v>1.8</v>
      </c>
      <c r="AO31" s="33">
        <f>'Исходные данные'!$C$53</f>
        <v>0.84</v>
      </c>
      <c r="AP31" s="79">
        <f t="shared" si="46"/>
        <v>1.5119999999999998</v>
      </c>
      <c r="AQ31" s="33" t="s">
        <v>155</v>
      </c>
      <c r="AR31" s="83" t="e">
        <f>AR17</f>
        <v>#REF!</v>
      </c>
      <c r="AS31" s="36" t="e">
        <f t="shared" si="47"/>
        <v>#REF!</v>
      </c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>
        <f>аморт!$G$11</f>
        <v>181.91312849162011</v>
      </c>
      <c r="BG31" s="36">
        <f t="shared" si="48"/>
        <v>355.29907908519556</v>
      </c>
      <c r="BH31" s="36">
        <f>аморт!$G$28</f>
        <v>384.88701041666667</v>
      </c>
      <c r="BI31" s="36">
        <f t="shared" si="49"/>
        <v>751.73244222005212</v>
      </c>
      <c r="BJ31" s="38">
        <v>82.4</v>
      </c>
      <c r="BK31" s="36">
        <f t="shared" si="50"/>
        <v>820.78125</v>
      </c>
      <c r="BL31" s="38">
        <v>13.9</v>
      </c>
      <c r="BM31" s="36">
        <f t="shared" si="51"/>
        <v>138.45703125</v>
      </c>
      <c r="BN31" s="38">
        <f t="shared" si="52"/>
        <v>5.2868639999999996</v>
      </c>
      <c r="BO31" s="36">
        <f t="shared" si="53"/>
        <v>52.662121874999997</v>
      </c>
      <c r="BP31" s="36">
        <f>аморт!$C$28*10%/аморт!$E$28*L31*7</f>
        <v>40413.136093750007</v>
      </c>
      <c r="BQ31" s="36" t="e">
        <f t="shared" ca="1" si="54"/>
        <v>#REF!</v>
      </c>
      <c r="BR31" s="36" t="e">
        <f t="shared" ca="1" si="55"/>
        <v>#REF!</v>
      </c>
      <c r="BS31" s="38">
        <f t="shared" si="56"/>
        <v>0.13671875</v>
      </c>
      <c r="BT31" s="38">
        <v>5.0999999999999996</v>
      </c>
      <c r="BU31" s="39">
        <f t="shared" si="57"/>
        <v>9.9609375</v>
      </c>
    </row>
    <row r="32" spans="1:73" x14ac:dyDescent="0.2">
      <c r="A32" s="20">
        <f>A31+1</f>
        <v>3</v>
      </c>
      <c r="B32" s="27" t="s">
        <v>69</v>
      </c>
      <c r="C32" s="29">
        <v>0.34722222222222227</v>
      </c>
      <c r="D32" s="30" t="s">
        <v>107</v>
      </c>
      <c r="E32" s="31" t="s">
        <v>196</v>
      </c>
      <c r="F32" s="28" t="s">
        <v>108</v>
      </c>
      <c r="G32" s="29">
        <f>G31</f>
        <v>100</v>
      </c>
      <c r="H32" s="174">
        <v>42597</v>
      </c>
      <c r="I32" s="174">
        <v>42603</v>
      </c>
      <c r="J32" s="179">
        <f t="shared" si="29"/>
        <v>6</v>
      </c>
      <c r="K32" s="32">
        <v>48</v>
      </c>
      <c r="L32" s="33">
        <f t="shared" si="30"/>
        <v>2.0833333333333335</v>
      </c>
      <c r="M32" s="34">
        <v>1</v>
      </c>
      <c r="N32" s="34"/>
      <c r="O32" s="35">
        <f t="shared" si="31"/>
        <v>14.583333333333334</v>
      </c>
      <c r="P32" s="35">
        <f t="shared" si="32"/>
        <v>0</v>
      </c>
      <c r="Q32" s="34">
        <v>5</v>
      </c>
      <c r="R32" s="83">
        <f ca="1">IF(AND(O32&gt;0,Q32&gt;0),SUMIF('Исходные данные'!$C$13:H33,Q32,'Исходные данные'!$C$17:$H$17),IF(O32=0,0,IF(Q32=0,"РОТ")))</f>
        <v>179.78980233147493</v>
      </c>
      <c r="S32" s="34"/>
      <c r="T32" s="83">
        <f>IF(AND(N32&gt;0,P32&gt;0),SUMIF('Исходные данные'!$C$13:$J$29,S32,'Исходные данные'!$C$33:$J$39),IF(N32=0,0,IF(S32=0,"РОТ")))</f>
        <v>0</v>
      </c>
      <c r="U32" s="130">
        <f ca="1">O32*R32*'Исходные данные'!$C$37%</f>
        <v>0</v>
      </c>
      <c r="V32" s="130">
        <f>P32*T32*'Исходные данные'!$C$38%</f>
        <v>0</v>
      </c>
      <c r="W32" s="130">
        <f t="shared" ca="1" si="33"/>
        <v>0</v>
      </c>
      <c r="X32" s="131">
        <f t="shared" si="34"/>
        <v>0</v>
      </c>
      <c r="Y32" s="130">
        <f t="shared" ca="1" si="35"/>
        <v>262.19346173340097</v>
      </c>
      <c r="Z32" s="131">
        <f t="shared" si="36"/>
        <v>0</v>
      </c>
      <c r="AA32" s="130">
        <f t="shared" ca="1" si="37"/>
        <v>0</v>
      </c>
      <c r="AB32" s="131">
        <f t="shared" si="38"/>
        <v>0</v>
      </c>
      <c r="AC32" s="129">
        <v>2.5</v>
      </c>
      <c r="AD32" s="130">
        <f t="shared" ca="1" si="39"/>
        <v>7210.3201976685259</v>
      </c>
      <c r="AE32" s="130">
        <f t="shared" si="40"/>
        <v>0</v>
      </c>
      <c r="AF32" s="35">
        <f t="shared" ca="1" si="41"/>
        <v>1077.4041674677107</v>
      </c>
      <c r="AG32" s="73">
        <f t="shared" ca="1" si="41"/>
        <v>0</v>
      </c>
      <c r="AH32" s="35">
        <f t="shared" ca="1" si="42"/>
        <v>8287.7243651362369</v>
      </c>
      <c r="AI32" s="35">
        <f t="shared" ca="1" si="42"/>
        <v>0</v>
      </c>
      <c r="AJ32" s="35">
        <f t="shared" ca="1" si="43"/>
        <v>2486.3173095408711</v>
      </c>
      <c r="AK32" s="73">
        <f t="shared" ca="1" si="43"/>
        <v>0</v>
      </c>
      <c r="AL32" s="35">
        <f t="shared" ca="1" si="44"/>
        <v>10774.041674677108</v>
      </c>
      <c r="AM32" s="73">
        <f t="shared" ca="1" si="45"/>
        <v>0</v>
      </c>
      <c r="AN32" s="176">
        <v>2.8</v>
      </c>
      <c r="AO32" s="33">
        <f>'Исходные данные'!$C$53</f>
        <v>0.84</v>
      </c>
      <c r="AP32" s="79">
        <f t="shared" si="46"/>
        <v>2.3519999999999999</v>
      </c>
      <c r="AQ32" s="33" t="s">
        <v>155</v>
      </c>
      <c r="AR32" s="83" t="e">
        <f>AR17</f>
        <v>#REF!</v>
      </c>
      <c r="AS32" s="36" t="e">
        <f t="shared" si="47"/>
        <v>#REF!</v>
      </c>
      <c r="AT32" s="32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>
        <f>аморт!$G$11</f>
        <v>181.91312849162011</v>
      </c>
      <c r="BG32" s="36">
        <f t="shared" si="48"/>
        <v>378.98568435754191</v>
      </c>
      <c r="BH32" s="36">
        <f>аморт!$G$27</f>
        <v>343.69111111111113</v>
      </c>
      <c r="BI32" s="36">
        <f t="shared" si="49"/>
        <v>716.02314814814827</v>
      </c>
      <c r="BJ32" s="38">
        <v>82.4</v>
      </c>
      <c r="BK32" s="36">
        <f t="shared" si="50"/>
        <v>875.50000000000011</v>
      </c>
      <c r="BL32" s="38">
        <v>13.9</v>
      </c>
      <c r="BM32" s="36">
        <f t="shared" si="51"/>
        <v>147.6875</v>
      </c>
      <c r="BN32" s="38">
        <f t="shared" si="52"/>
        <v>5.2868639999999996</v>
      </c>
      <c r="BO32" s="36">
        <f t="shared" si="53"/>
        <v>56.172929999999994</v>
      </c>
      <c r="BP32" s="36">
        <f>аморт!$C$27*10%/аморт!$E$27*L32*7</f>
        <v>43305.080000000009</v>
      </c>
      <c r="BQ32" s="36" t="e">
        <f t="shared" ca="1" si="54"/>
        <v>#REF!</v>
      </c>
      <c r="BR32" s="36" t="e">
        <f t="shared" ca="1" si="55"/>
        <v>#REF!</v>
      </c>
      <c r="BS32" s="38">
        <f t="shared" si="56"/>
        <v>0.14583333333333334</v>
      </c>
      <c r="BT32" s="38">
        <v>5.0999999999999996</v>
      </c>
      <c r="BU32" s="39">
        <f t="shared" si="57"/>
        <v>10.625</v>
      </c>
    </row>
    <row r="33" spans="1:73" ht="45" x14ac:dyDescent="0.2">
      <c r="A33" s="20">
        <f>A32+1</f>
        <v>4</v>
      </c>
      <c r="B33" s="27" t="s">
        <v>70</v>
      </c>
      <c r="C33" s="29">
        <v>0.83333333333333337</v>
      </c>
      <c r="D33" s="30" t="s">
        <v>107</v>
      </c>
      <c r="E33" s="31" t="s">
        <v>197</v>
      </c>
      <c r="F33" s="28" t="s">
        <v>111</v>
      </c>
      <c r="G33" s="175">
        <f>D7/10</f>
        <v>500</v>
      </c>
      <c r="H33" s="174">
        <v>42597</v>
      </c>
      <c r="I33" s="174">
        <v>42603</v>
      </c>
      <c r="J33" s="179">
        <f t="shared" si="29"/>
        <v>6</v>
      </c>
      <c r="K33" s="32">
        <v>100</v>
      </c>
      <c r="L33" s="33">
        <f t="shared" si="30"/>
        <v>5</v>
      </c>
      <c r="M33" s="34">
        <v>1</v>
      </c>
      <c r="N33" s="34"/>
      <c r="O33" s="35">
        <f t="shared" si="31"/>
        <v>35</v>
      </c>
      <c r="P33" s="35">
        <f t="shared" si="32"/>
        <v>0</v>
      </c>
      <c r="Q33" s="34">
        <v>5</v>
      </c>
      <c r="R33" s="83">
        <f ca="1">IF(AND(O33&gt;0,Q33&gt;0),SUMIF('Исходные данные'!$C$13:H34,Q33,'Исходные данные'!$C$17:$H$17),IF(O33=0,0,IF(Q33=0,"РОТ")))</f>
        <v>179.78980233147493</v>
      </c>
      <c r="S33" s="34">
        <v>2</v>
      </c>
      <c r="T33" s="83">
        <f>IF(AND(N33&gt;0,P33&gt;0),SUMIF('Исходные данные'!$C$13:$J$29,S33,'Исходные данные'!$C$33:$J$39),IF(N33=0,0,IF(S33=0,"РОТ")))</f>
        <v>0</v>
      </c>
      <c r="U33" s="130">
        <f ca="1">O33*R33*'Исходные данные'!$C$37%</f>
        <v>0</v>
      </c>
      <c r="V33" s="130">
        <f>P33*T33*'Исходные данные'!$C$38%</f>
        <v>0</v>
      </c>
      <c r="W33" s="130">
        <f t="shared" ca="1" si="33"/>
        <v>0</v>
      </c>
      <c r="X33" s="131">
        <f t="shared" si="34"/>
        <v>0</v>
      </c>
      <c r="Y33" s="130">
        <f t="shared" ca="1" si="35"/>
        <v>629.26430816016227</v>
      </c>
      <c r="Z33" s="131">
        <f t="shared" si="36"/>
        <v>0</v>
      </c>
      <c r="AA33" s="130">
        <f t="shared" ca="1" si="37"/>
        <v>0</v>
      </c>
      <c r="AB33" s="131">
        <f t="shared" si="38"/>
        <v>0</v>
      </c>
      <c r="AC33" s="129">
        <v>2.5</v>
      </c>
      <c r="AD33" s="130">
        <f t="shared" ca="1" si="39"/>
        <v>17304.768474404464</v>
      </c>
      <c r="AE33" s="130">
        <f t="shared" si="40"/>
        <v>0</v>
      </c>
      <c r="AF33" s="35">
        <f t="shared" ca="1" si="41"/>
        <v>2585.7700019225058</v>
      </c>
      <c r="AG33" s="73">
        <f t="shared" ca="1" si="41"/>
        <v>0</v>
      </c>
      <c r="AH33" s="35">
        <f t="shared" ca="1" si="42"/>
        <v>19890.538476326969</v>
      </c>
      <c r="AI33" s="35">
        <f t="shared" ca="1" si="42"/>
        <v>0</v>
      </c>
      <c r="AJ33" s="35">
        <f t="shared" ca="1" si="43"/>
        <v>5967.1615428980904</v>
      </c>
      <c r="AK33" s="73">
        <f t="shared" ca="1" si="43"/>
        <v>0</v>
      </c>
      <c r="AL33" s="35">
        <f t="shared" ca="1" si="44"/>
        <v>25857.70001922506</v>
      </c>
      <c r="AM33" s="73">
        <f t="shared" ca="1" si="45"/>
        <v>0</v>
      </c>
      <c r="AN33" s="176">
        <v>0.3</v>
      </c>
      <c r="AO33" s="33">
        <f>'Исходные данные'!$C$53</f>
        <v>0.84</v>
      </c>
      <c r="AP33" s="79">
        <f t="shared" si="46"/>
        <v>1.26</v>
      </c>
      <c r="AQ33" s="33" t="s">
        <v>155</v>
      </c>
      <c r="AR33" s="83" t="e">
        <f>AR17</f>
        <v>#REF!</v>
      </c>
      <c r="AS33" s="36" t="e">
        <f t="shared" si="47"/>
        <v>#REF!</v>
      </c>
      <c r="AT33" s="32"/>
      <c r="AU33" s="36"/>
      <c r="AV33" s="36"/>
      <c r="AW33" s="36"/>
      <c r="AX33" s="36"/>
      <c r="AY33" s="36"/>
      <c r="AZ33" s="36"/>
      <c r="BA33" s="36"/>
      <c r="BB33" s="113"/>
      <c r="BC33" s="36">
        <f>BB33*G34</f>
        <v>0</v>
      </c>
      <c r="BD33" s="36"/>
      <c r="BE33" s="36">
        <f>BC33*BD33</f>
        <v>0</v>
      </c>
      <c r="BF33" s="36">
        <f>аморт!$G$11</f>
        <v>181.91312849162011</v>
      </c>
      <c r="BG33" s="36">
        <f t="shared" si="48"/>
        <v>909.56564245810057</v>
      </c>
      <c r="BH33" s="36">
        <f>аморт!$G$29</f>
        <v>141.81938775510207</v>
      </c>
      <c r="BI33" s="36">
        <f t="shared" si="49"/>
        <v>709.09693877551035</v>
      </c>
      <c r="BJ33" s="38">
        <v>82.4</v>
      </c>
      <c r="BK33" s="36">
        <f t="shared" si="50"/>
        <v>2101.2000000000003</v>
      </c>
      <c r="BL33" s="38">
        <v>13.9</v>
      </c>
      <c r="BM33" s="36">
        <f t="shared" si="51"/>
        <v>354.45</v>
      </c>
      <c r="BN33" s="38">
        <f t="shared" si="52"/>
        <v>5.2868639999999996</v>
      </c>
      <c r="BO33" s="36">
        <f t="shared" si="53"/>
        <v>134.815032</v>
      </c>
      <c r="BP33" s="36">
        <f>аморт!$C$29*10%/аморт!$E$29*L33*7</f>
        <v>40861.002</v>
      </c>
      <c r="BQ33" s="36" t="e">
        <f t="shared" ca="1" si="54"/>
        <v>#REF!</v>
      </c>
      <c r="BR33" s="36" t="e">
        <f t="shared" ca="1" si="55"/>
        <v>#REF!</v>
      </c>
      <c r="BS33" s="38">
        <f t="shared" si="56"/>
        <v>0.35</v>
      </c>
      <c r="BT33" s="38">
        <v>5.0999999999999996</v>
      </c>
      <c r="BU33" s="39">
        <f t="shared" si="57"/>
        <v>25.5</v>
      </c>
    </row>
    <row r="34" spans="1:73" x14ac:dyDescent="0.2">
      <c r="A34" s="20">
        <f>A33+1</f>
        <v>5</v>
      </c>
      <c r="B34" s="27" t="s">
        <v>71</v>
      </c>
      <c r="C34" s="29">
        <v>0.10416666666666667</v>
      </c>
      <c r="D34" s="30" t="s">
        <v>107</v>
      </c>
      <c r="E34" s="31" t="s">
        <v>198</v>
      </c>
      <c r="F34" s="28" t="s">
        <v>124</v>
      </c>
      <c r="G34" s="114">
        <f>G33/8</f>
        <v>62.5</v>
      </c>
      <c r="H34" s="174">
        <v>42597</v>
      </c>
      <c r="I34" s="174">
        <v>42603</v>
      </c>
      <c r="J34" s="179">
        <f t="shared" si="29"/>
        <v>6</v>
      </c>
      <c r="K34" s="32">
        <v>100</v>
      </c>
      <c r="L34" s="33">
        <f t="shared" si="30"/>
        <v>0.625</v>
      </c>
      <c r="M34" s="34">
        <v>1</v>
      </c>
      <c r="N34" s="34"/>
      <c r="O34" s="35">
        <f t="shared" si="31"/>
        <v>4.375</v>
      </c>
      <c r="P34" s="35">
        <f t="shared" si="32"/>
        <v>0</v>
      </c>
      <c r="Q34" s="34">
        <v>5</v>
      </c>
      <c r="R34" s="83">
        <f ca="1">IF(AND(O34&gt;0,Q34&gt;0),SUMIF('Исходные данные'!$C$13:H34,Q34,'Исходные данные'!$C$17:$H$17),IF(O34=0,0,IF(Q34=0,"РОТ")))</f>
        <v>179.78980233147493</v>
      </c>
      <c r="S34" s="34">
        <v>2</v>
      </c>
      <c r="T34" s="83">
        <f>IF(AND(N34&gt;0,P34&gt;0),SUMIF('Исходные данные'!$C$13:$J$29,S34,'Исходные данные'!$C$33:$J$39),IF(N34=0,0,IF(S34=0,"РОТ")))</f>
        <v>0</v>
      </c>
      <c r="U34" s="130">
        <f ca="1">O34*R34*'Исходные данные'!$C$37%</f>
        <v>0</v>
      </c>
      <c r="V34" s="130">
        <f>P34*T34*'Исходные данные'!$C$38%</f>
        <v>0</v>
      </c>
      <c r="W34" s="130">
        <f t="shared" ca="1" si="33"/>
        <v>0</v>
      </c>
      <c r="X34" s="131">
        <f t="shared" si="34"/>
        <v>0</v>
      </c>
      <c r="Y34" s="130">
        <f t="shared" ca="1" si="35"/>
        <v>78.658038520020284</v>
      </c>
      <c r="Z34" s="131">
        <f t="shared" si="36"/>
        <v>0</v>
      </c>
      <c r="AA34" s="130">
        <f t="shared" ca="1" si="37"/>
        <v>0</v>
      </c>
      <c r="AB34" s="131">
        <f t="shared" si="38"/>
        <v>0</v>
      </c>
      <c r="AC34" s="129">
        <v>2.5</v>
      </c>
      <c r="AD34" s="130">
        <f t="shared" ca="1" si="39"/>
        <v>2163.096059300558</v>
      </c>
      <c r="AE34" s="130">
        <f t="shared" si="40"/>
        <v>0</v>
      </c>
      <c r="AF34" s="35">
        <f t="shared" ca="1" si="41"/>
        <v>323.22125024031322</v>
      </c>
      <c r="AG34" s="73">
        <f t="shared" ca="1" si="41"/>
        <v>0</v>
      </c>
      <c r="AH34" s="35">
        <f t="shared" ca="1" si="42"/>
        <v>2486.3173095408711</v>
      </c>
      <c r="AI34" s="35">
        <f t="shared" ca="1" si="42"/>
        <v>0</v>
      </c>
      <c r="AJ34" s="35">
        <f t="shared" ca="1" si="43"/>
        <v>745.8951928622613</v>
      </c>
      <c r="AK34" s="73">
        <f t="shared" ca="1" si="43"/>
        <v>0</v>
      </c>
      <c r="AL34" s="35">
        <f t="shared" ca="1" si="44"/>
        <v>3232.2125024031325</v>
      </c>
      <c r="AM34" s="73">
        <f t="shared" ca="1" si="45"/>
        <v>0</v>
      </c>
      <c r="AN34" s="176">
        <v>0.3</v>
      </c>
      <c r="AO34" s="33">
        <f>'Исходные данные'!$C$53</f>
        <v>0.84</v>
      </c>
      <c r="AP34" s="79">
        <f t="shared" si="46"/>
        <v>0.1575</v>
      </c>
      <c r="AQ34" s="33" t="s">
        <v>155</v>
      </c>
      <c r="AR34" s="83" t="e">
        <f>AR17</f>
        <v>#REF!</v>
      </c>
      <c r="AS34" s="36" t="e">
        <f t="shared" si="47"/>
        <v>#REF!</v>
      </c>
      <c r="AT34" s="32"/>
      <c r="AU34" s="36"/>
      <c r="AV34" s="36"/>
      <c r="AW34" s="36"/>
      <c r="AX34" s="36"/>
      <c r="AY34" s="36"/>
      <c r="AZ34" s="36"/>
      <c r="BA34" s="36"/>
      <c r="BB34" s="113">
        <v>0.125</v>
      </c>
      <c r="BC34" s="36">
        <f>BB34*G34</f>
        <v>7.8125</v>
      </c>
      <c r="BD34" s="36">
        <v>8000</v>
      </c>
      <c r="BE34" s="36">
        <f>BC34*BD34</f>
        <v>62500</v>
      </c>
      <c r="BF34" s="36">
        <f>аморт!$G$11</f>
        <v>181.91312849162011</v>
      </c>
      <c r="BG34" s="36">
        <f t="shared" si="48"/>
        <v>113.69570530726257</v>
      </c>
      <c r="BH34" s="36">
        <f>аморт!$G$26</f>
        <v>12.519247457627118</v>
      </c>
      <c r="BI34" s="36">
        <f t="shared" si="49"/>
        <v>7.8245296610169488</v>
      </c>
      <c r="BJ34" s="38">
        <v>82.4</v>
      </c>
      <c r="BK34" s="36">
        <f t="shared" si="50"/>
        <v>262.65000000000003</v>
      </c>
      <c r="BL34" s="38">
        <v>13.9</v>
      </c>
      <c r="BM34" s="36">
        <f t="shared" si="51"/>
        <v>44.306249999999999</v>
      </c>
      <c r="BN34" s="38">
        <f t="shared" si="52"/>
        <v>5.2868639999999996</v>
      </c>
      <c r="BO34" s="36">
        <f t="shared" si="53"/>
        <v>16.851879</v>
      </c>
      <c r="BP34" s="36">
        <f>аморт!$C$26*10%/аморт!$E$26*L34*7</f>
        <v>3231.5307499999999</v>
      </c>
      <c r="BQ34" s="36" t="e">
        <f t="shared" ca="1" si="54"/>
        <v>#REF!</v>
      </c>
      <c r="BR34" s="36" t="e">
        <f t="shared" ca="1" si="55"/>
        <v>#REF!</v>
      </c>
      <c r="BS34" s="38">
        <f t="shared" si="56"/>
        <v>4.3749999999999997E-2</v>
      </c>
      <c r="BT34" s="38">
        <v>5.0999999999999996</v>
      </c>
      <c r="BU34" s="39">
        <f t="shared" si="57"/>
        <v>3.1875</v>
      </c>
    </row>
    <row r="35" spans="1:73" x14ac:dyDescent="0.2">
      <c r="A35" s="20">
        <f>A34+1</f>
        <v>6</v>
      </c>
      <c r="B35" s="27" t="s">
        <v>426</v>
      </c>
      <c r="C35" s="29">
        <v>0.83333333333333337</v>
      </c>
      <c r="D35" s="30" t="s">
        <v>107</v>
      </c>
      <c r="E35" s="31" t="s">
        <v>427</v>
      </c>
      <c r="F35" s="28" t="s">
        <v>111</v>
      </c>
      <c r="G35" s="114">
        <f>G33</f>
        <v>500</v>
      </c>
      <c r="H35" s="174">
        <v>42597</v>
      </c>
      <c r="I35" s="174">
        <v>42603</v>
      </c>
      <c r="J35" s="179">
        <f t="shared" si="29"/>
        <v>6</v>
      </c>
      <c r="K35" s="32">
        <v>100</v>
      </c>
      <c r="L35" s="33">
        <f t="shared" si="30"/>
        <v>5</v>
      </c>
      <c r="M35" s="34">
        <v>1</v>
      </c>
      <c r="N35" s="34"/>
      <c r="O35" s="35">
        <f t="shared" si="31"/>
        <v>35</v>
      </c>
      <c r="P35" s="35">
        <f t="shared" si="32"/>
        <v>0</v>
      </c>
      <c r="Q35" s="34">
        <v>5</v>
      </c>
      <c r="R35" s="83">
        <f ca="1">IF(AND(O35&gt;0,Q35&gt;0),SUMIF('Исходные данные'!$C$13:H34,Q35,'Исходные данные'!$C$17:$H$17),IF(O35=0,0,IF(Q35=0,"РОТ")))</f>
        <v>179.78980233147493</v>
      </c>
      <c r="S35" s="34">
        <v>2</v>
      </c>
      <c r="T35" s="83">
        <f>IF(AND(N35&gt;0,P35&gt;0),SUMIF('Исходные данные'!$C$13:$J$29,S35,'Исходные данные'!$C$33:$J$39),IF(N35=0,0,IF(S35=0,"РОТ")))</f>
        <v>0</v>
      </c>
      <c r="U35" s="130">
        <f ca="1">O35*R35*'Исходные данные'!$C$37%</f>
        <v>0</v>
      </c>
      <c r="V35" s="130">
        <f>P35*T35*'Исходные данные'!$C$38%</f>
        <v>0</v>
      </c>
      <c r="W35" s="130">
        <f t="shared" ca="1" si="33"/>
        <v>0</v>
      </c>
      <c r="X35" s="131">
        <f t="shared" si="34"/>
        <v>0</v>
      </c>
      <c r="Y35" s="130">
        <f t="shared" ca="1" si="35"/>
        <v>629.26430816016227</v>
      </c>
      <c r="Z35" s="131">
        <f t="shared" si="36"/>
        <v>0</v>
      </c>
      <c r="AA35" s="130">
        <f t="shared" ca="1" si="37"/>
        <v>0</v>
      </c>
      <c r="AB35" s="131">
        <f t="shared" si="38"/>
        <v>0</v>
      </c>
      <c r="AC35" s="129">
        <v>2.5</v>
      </c>
      <c r="AD35" s="130">
        <f t="shared" ca="1" si="39"/>
        <v>17304.768474404464</v>
      </c>
      <c r="AE35" s="130">
        <f t="shared" si="40"/>
        <v>0</v>
      </c>
      <c r="AF35" s="35">
        <f ca="1">AD35*$AF$12</f>
        <v>2585.7700019225058</v>
      </c>
      <c r="AG35" s="73">
        <f ca="1">AE35*$AF$12</f>
        <v>0</v>
      </c>
      <c r="AH35" s="35">
        <f ca="1">AD35+AF35</f>
        <v>19890.538476326969</v>
      </c>
      <c r="AI35" s="35">
        <f ca="1">AE35+AG35</f>
        <v>0</v>
      </c>
      <c r="AJ35" s="35">
        <f ca="1">AH35*$AJ$12</f>
        <v>5967.1615428980904</v>
      </c>
      <c r="AK35" s="73">
        <f ca="1">AI35*$AJ$12</f>
        <v>0</v>
      </c>
      <c r="AL35" s="35">
        <f t="shared" ca="1" si="44"/>
        <v>25857.70001922506</v>
      </c>
      <c r="AM35" s="73">
        <f t="shared" ca="1" si="45"/>
        <v>0</v>
      </c>
      <c r="AN35" s="176">
        <v>0.96</v>
      </c>
      <c r="AO35" s="33">
        <f>'Исходные данные'!$C$53</f>
        <v>0.84</v>
      </c>
      <c r="AP35" s="79">
        <f t="shared" si="46"/>
        <v>4.032</v>
      </c>
      <c r="AQ35" s="33" t="s">
        <v>155</v>
      </c>
      <c r="AR35" s="83" t="e">
        <f>AR17</f>
        <v>#REF!</v>
      </c>
      <c r="AS35" s="36" t="e">
        <f t="shared" si="47"/>
        <v>#REF!</v>
      </c>
      <c r="AT35" s="32"/>
      <c r="AU35" s="36"/>
      <c r="AV35" s="36"/>
      <c r="AW35" s="36"/>
      <c r="AX35" s="36"/>
      <c r="AY35" s="36"/>
      <c r="AZ35" s="36"/>
      <c r="BA35" s="36"/>
      <c r="BB35" s="113"/>
      <c r="BC35" s="36"/>
      <c r="BD35" s="36"/>
      <c r="BE35" s="36"/>
      <c r="BF35" s="36">
        <f>аморт!$G$11</f>
        <v>181.91312849162011</v>
      </c>
      <c r="BG35" s="36">
        <f t="shared" si="48"/>
        <v>909.56564245810057</v>
      </c>
      <c r="BH35" s="36">
        <f>аморт!G68</f>
        <v>126.15384615384616</v>
      </c>
      <c r="BI35" s="36">
        <f t="shared" si="49"/>
        <v>630.76923076923083</v>
      </c>
      <c r="BJ35" s="38">
        <v>82.4</v>
      </c>
      <c r="BK35" s="36">
        <f t="shared" si="50"/>
        <v>2101.2000000000003</v>
      </c>
      <c r="BL35" s="38">
        <v>13.9</v>
      </c>
      <c r="BM35" s="36">
        <f t="shared" si="51"/>
        <v>354.45</v>
      </c>
      <c r="BN35" s="38">
        <f t="shared" si="52"/>
        <v>5.2868639999999996</v>
      </c>
      <c r="BO35" s="36">
        <f t="shared" si="53"/>
        <v>134.815032</v>
      </c>
      <c r="BP35" s="36">
        <f>аморт!$C$68*10%/аморт!$E$68*L35*7</f>
        <v>2870</v>
      </c>
      <c r="BQ35" s="36" t="e">
        <f t="shared" ca="1" si="54"/>
        <v>#REF!</v>
      </c>
      <c r="BR35" s="36" t="e">
        <f t="shared" ca="1" si="55"/>
        <v>#REF!</v>
      </c>
      <c r="BS35" s="38">
        <f t="shared" si="56"/>
        <v>0.35</v>
      </c>
      <c r="BT35" s="38">
        <v>5.0999999999999996</v>
      </c>
      <c r="BU35" s="39">
        <f t="shared" si="57"/>
        <v>25.5</v>
      </c>
    </row>
    <row r="36" spans="1:73" s="54" customFormat="1" x14ac:dyDescent="0.2">
      <c r="A36" s="52"/>
      <c r="B36" s="53" t="s">
        <v>22</v>
      </c>
      <c r="C36" s="56"/>
      <c r="D36" s="56"/>
      <c r="E36" s="56"/>
      <c r="F36" s="55"/>
      <c r="G36" s="56"/>
      <c r="H36" s="56"/>
      <c r="I36" s="56"/>
      <c r="J36" s="65">
        <f>SUM(J30:J35)</f>
        <v>36</v>
      </c>
      <c r="K36" s="65"/>
      <c r="L36" s="65">
        <f>SUM(L30:L35)</f>
        <v>21.605902777777779</v>
      </c>
      <c r="M36" s="65">
        <f>SUM(M30:M35)</f>
        <v>6</v>
      </c>
      <c r="N36" s="65">
        <f>SUM(N30:N35)</f>
        <v>0</v>
      </c>
      <c r="O36" s="65">
        <f>SUM(O30:O35)</f>
        <v>151.24131944444446</v>
      </c>
      <c r="P36" s="65">
        <f>SUM(P30:P35)</f>
        <v>0</v>
      </c>
      <c r="Q36" s="65"/>
      <c r="R36" s="65"/>
      <c r="S36" s="65"/>
      <c r="T36" s="65"/>
      <c r="U36" s="65">
        <f t="shared" ref="U36:AB36" ca="1" si="58">SUM(U30:U35)</f>
        <v>0</v>
      </c>
      <c r="V36" s="65">
        <f t="shared" si="58"/>
        <v>0</v>
      </c>
      <c r="W36" s="65">
        <f t="shared" ca="1" si="58"/>
        <v>0</v>
      </c>
      <c r="X36" s="65">
        <f t="shared" si="58"/>
        <v>0</v>
      </c>
      <c r="Y36" s="65">
        <f t="shared" ca="1" si="58"/>
        <v>2719.1646927268125</v>
      </c>
      <c r="Z36" s="65">
        <f t="shared" si="58"/>
        <v>0</v>
      </c>
      <c r="AA36" s="65">
        <f t="shared" ca="1" si="58"/>
        <v>0</v>
      </c>
      <c r="AB36" s="65">
        <f t="shared" si="58"/>
        <v>0</v>
      </c>
      <c r="AC36" s="65"/>
      <c r="AD36" s="65">
        <f t="shared" ref="AD36:AM36" ca="1" si="59">SUM(AD30:AD35)</f>
        <v>74777.029049987352</v>
      </c>
      <c r="AE36" s="65">
        <f t="shared" si="59"/>
        <v>0</v>
      </c>
      <c r="AF36" s="65">
        <f t="shared" ca="1" si="59"/>
        <v>11173.579053446381</v>
      </c>
      <c r="AG36" s="65">
        <f t="shared" ca="1" si="59"/>
        <v>0</v>
      </c>
      <c r="AH36" s="65">
        <f t="shared" ca="1" si="59"/>
        <v>85950.608103433726</v>
      </c>
      <c r="AI36" s="65">
        <f t="shared" ca="1" si="59"/>
        <v>0</v>
      </c>
      <c r="AJ36" s="65">
        <f t="shared" ca="1" si="59"/>
        <v>25785.18243103012</v>
      </c>
      <c r="AK36" s="65">
        <f t="shared" ca="1" si="59"/>
        <v>0</v>
      </c>
      <c r="AL36" s="65">
        <f t="shared" ca="1" si="59"/>
        <v>111735.79053446383</v>
      </c>
      <c r="AM36" s="65">
        <f t="shared" ca="1" si="59"/>
        <v>0</v>
      </c>
      <c r="AN36" s="65"/>
      <c r="AO36" s="65"/>
      <c r="AP36" s="65">
        <f>SUM(AP30:AP35)</f>
        <v>14.7735</v>
      </c>
      <c r="AQ36" s="65"/>
      <c r="AR36" s="65"/>
      <c r="AS36" s="65" t="e">
        <f>SUM(AS30:AS35)</f>
        <v>#REF!</v>
      </c>
      <c r="AT36" s="65"/>
      <c r="AU36" s="65">
        <f>SUM(AU30:AU34)</f>
        <v>0</v>
      </c>
      <c r="AV36" s="65"/>
      <c r="AW36" s="65">
        <f>SUM(AW30:AW34)</f>
        <v>0</v>
      </c>
      <c r="AX36" s="65"/>
      <c r="AY36" s="65">
        <f>SUM(AY30:AY34)</f>
        <v>0</v>
      </c>
      <c r="AZ36" s="65"/>
      <c r="BA36" s="65">
        <f>SUM(BA30:BA34)</f>
        <v>0</v>
      </c>
      <c r="BB36" s="65"/>
      <c r="BC36" s="65">
        <f>SUM(BC30:BC35)</f>
        <v>7.8125</v>
      </c>
      <c r="BD36" s="65"/>
      <c r="BE36" s="65">
        <f>SUM(BE30:BE35)</f>
        <v>62500</v>
      </c>
      <c r="BF36" s="65"/>
      <c r="BG36" s="65">
        <f>SUM(BG30:BG35)</f>
        <v>3930.3973681913408</v>
      </c>
      <c r="BH36" s="65"/>
      <c r="BI36" s="65">
        <f>SUM(BI30:BI35)</f>
        <v>2902.3855080297026</v>
      </c>
      <c r="BJ36" s="65"/>
      <c r="BK36" s="65">
        <f>SUM(BK30:BK35)</f>
        <v>9079.664583333335</v>
      </c>
      <c r="BL36" s="65"/>
      <c r="BM36" s="65">
        <f>SUM(BM30:BM35)</f>
        <v>1531.6424479166667</v>
      </c>
      <c r="BN36" s="65"/>
      <c r="BO36" s="65">
        <f>SUM(BO30:BO35)</f>
        <v>582.560094875</v>
      </c>
      <c r="BP36" s="65">
        <f>SUM(BP30:BP35)</f>
        <v>166586.64606597225</v>
      </c>
      <c r="BQ36" s="65" t="e">
        <f ca="1">SUM(BQ30:BQ35)</f>
        <v>#REF!</v>
      </c>
      <c r="BR36" s="65"/>
      <c r="BS36" s="65"/>
      <c r="BT36" s="65"/>
      <c r="BU36" s="65">
        <f>SUM(BU30:BU35)</f>
        <v>110.19010416666666</v>
      </c>
    </row>
    <row r="37" spans="1:73" s="51" customFormat="1" x14ac:dyDescent="0.2">
      <c r="A37" s="48"/>
      <c r="B37" s="58" t="s">
        <v>30</v>
      </c>
      <c r="C37" s="50"/>
      <c r="D37" s="50"/>
      <c r="E37" s="50"/>
      <c r="F37" s="49"/>
      <c r="G37" s="50"/>
      <c r="H37" s="50"/>
      <c r="I37" s="50"/>
      <c r="J37" s="78">
        <f>J28+J36</f>
        <v>101</v>
      </c>
      <c r="K37" s="78"/>
      <c r="L37" s="78">
        <f t="shared" ref="L37:BU37" si="60">L28+L36</f>
        <v>84.044394841269849</v>
      </c>
      <c r="M37" s="78">
        <f t="shared" si="60"/>
        <v>18</v>
      </c>
      <c r="N37" s="78">
        <f t="shared" si="60"/>
        <v>6</v>
      </c>
      <c r="O37" s="78">
        <f t="shared" si="60"/>
        <v>420.31076388888891</v>
      </c>
      <c r="P37" s="78">
        <f t="shared" si="60"/>
        <v>252</v>
      </c>
      <c r="Q37" s="78"/>
      <c r="R37" s="78"/>
      <c r="S37" s="78"/>
      <c r="T37" s="78"/>
      <c r="U37" s="78">
        <f t="shared" ca="1" si="60"/>
        <v>0</v>
      </c>
      <c r="V37" s="78">
        <f t="shared" ca="1" si="60"/>
        <v>0</v>
      </c>
      <c r="W37" s="78">
        <f t="shared" ca="1" si="60"/>
        <v>0</v>
      </c>
      <c r="X37" s="78">
        <f t="shared" ca="1" si="60"/>
        <v>0</v>
      </c>
      <c r="Y37" s="78">
        <f t="shared" ca="1" si="60"/>
        <v>7211.0773698682224</v>
      </c>
      <c r="Z37" s="78">
        <f t="shared" ca="1" si="60"/>
        <v>1331.8275357323876</v>
      </c>
      <c r="AA37" s="78">
        <f t="shared" ca="1" si="60"/>
        <v>0</v>
      </c>
      <c r="AB37" s="78">
        <f t="shared" ca="1" si="60"/>
        <v>0</v>
      </c>
      <c r="AC37" s="78"/>
      <c r="AD37" s="78">
        <f t="shared" ca="1" si="60"/>
        <v>198304.62767137613</v>
      </c>
      <c r="AE37" s="78">
        <f t="shared" ca="1" si="60"/>
        <v>69920.945625950349</v>
      </c>
      <c r="AF37" s="78">
        <f t="shared" ca="1" si="60"/>
        <v>29631.725973883778</v>
      </c>
      <c r="AG37" s="78">
        <f t="shared" ca="1" si="60"/>
        <v>10447.957392383383</v>
      </c>
      <c r="AH37" s="78">
        <f t="shared" ca="1" si="60"/>
        <v>227936.35364525992</v>
      </c>
      <c r="AI37" s="78">
        <f t="shared" ca="1" si="60"/>
        <v>80368.903018333731</v>
      </c>
      <c r="AJ37" s="78">
        <f t="shared" ca="1" si="60"/>
        <v>68380.906093577971</v>
      </c>
      <c r="AK37" s="78">
        <f t="shared" ca="1" si="60"/>
        <v>24110.670905500116</v>
      </c>
      <c r="AL37" s="78">
        <f t="shared" ca="1" si="60"/>
        <v>296317.25973883783</v>
      </c>
      <c r="AM37" s="78">
        <f t="shared" ca="1" si="60"/>
        <v>104479.57392383383</v>
      </c>
      <c r="AN37" s="78"/>
      <c r="AO37" s="78"/>
      <c r="AP37" s="78">
        <f t="shared" si="60"/>
        <v>48.813851999999997</v>
      </c>
      <c r="AQ37" s="78"/>
      <c r="AR37" s="78"/>
      <c r="AS37" s="78" t="e">
        <f t="shared" si="60"/>
        <v>#REF!</v>
      </c>
      <c r="AT37" s="78"/>
      <c r="AU37" s="78">
        <f t="shared" si="60"/>
        <v>18</v>
      </c>
      <c r="AV37" s="78"/>
      <c r="AW37" s="78">
        <f t="shared" si="60"/>
        <v>360000</v>
      </c>
      <c r="AX37" s="78"/>
      <c r="AY37" s="78">
        <f t="shared" si="60"/>
        <v>50</v>
      </c>
      <c r="AZ37" s="78"/>
      <c r="BA37" s="78" t="e">
        <f t="shared" si="60"/>
        <v>#REF!</v>
      </c>
      <c r="BB37" s="78"/>
      <c r="BC37" s="78">
        <f>BC28+BC36</f>
        <v>7.8125</v>
      </c>
      <c r="BD37" s="78"/>
      <c r="BE37" s="78">
        <f>BE28+BE36</f>
        <v>62500</v>
      </c>
      <c r="BF37" s="78"/>
      <c r="BG37" s="78">
        <f t="shared" si="60"/>
        <v>8938.5544296234493</v>
      </c>
      <c r="BH37" s="78"/>
      <c r="BI37" s="78">
        <f t="shared" si="60"/>
        <v>6210.9544943111705</v>
      </c>
      <c r="BJ37" s="78"/>
      <c r="BK37" s="78">
        <f t="shared" si="60"/>
        <v>34482.39577380952</v>
      </c>
      <c r="BL37" s="78"/>
      <c r="BM37" s="78">
        <f t="shared" si="60"/>
        <v>4886.7034002976197</v>
      </c>
      <c r="BN37" s="78"/>
      <c r="BO37" s="78">
        <f t="shared" si="60"/>
        <v>2587.5867454250001</v>
      </c>
      <c r="BP37" s="78">
        <f t="shared" si="60"/>
        <v>471972.94025486114</v>
      </c>
      <c r="BQ37" s="78" t="e">
        <f t="shared" ca="1" si="60"/>
        <v>#REF!</v>
      </c>
      <c r="BR37" s="78"/>
      <c r="BS37" s="78"/>
      <c r="BT37" s="78"/>
      <c r="BU37" s="78">
        <f t="shared" si="60"/>
        <v>413.59248511904764</v>
      </c>
    </row>
  </sheetData>
  <mergeCells count="115">
    <mergeCell ref="B29:E29"/>
    <mergeCell ref="B15:E15"/>
    <mergeCell ref="B16:E16"/>
    <mergeCell ref="D21:E21"/>
    <mergeCell ref="D23:E23"/>
    <mergeCell ref="D24:E24"/>
    <mergeCell ref="D26:E26"/>
    <mergeCell ref="BJ13:BJ14"/>
    <mergeCell ref="BK13:BK14"/>
    <mergeCell ref="AP12:AP14"/>
    <mergeCell ref="AQ12:AQ14"/>
    <mergeCell ref="AR12:AR14"/>
    <mergeCell ref="AE12:AE14"/>
    <mergeCell ref="AF12:AG12"/>
    <mergeCell ref="AH12:AH14"/>
    <mergeCell ref="AI12:AI14"/>
    <mergeCell ref="AJ12:AK12"/>
    <mergeCell ref="AL12:AL14"/>
    <mergeCell ref="AF13:AF14"/>
    <mergeCell ref="AG13:AG14"/>
    <mergeCell ref="AJ13:AJ14"/>
    <mergeCell ref="AK13:AK14"/>
    <mergeCell ref="AA12:AB12"/>
    <mergeCell ref="AC12:AC14"/>
    <mergeCell ref="U12:U14"/>
    <mergeCell ref="V12:V14"/>
    <mergeCell ref="W12:X12"/>
    <mergeCell ref="BC12:BC14"/>
    <mergeCell ref="BD12:BD14"/>
    <mergeCell ref="AS12:AS14"/>
    <mergeCell ref="AT12:AT14"/>
    <mergeCell ref="AU12:AU14"/>
    <mergeCell ref="AV12:AV14"/>
    <mergeCell ref="AW12:AW14"/>
    <mergeCell ref="AX12:AX14"/>
    <mergeCell ref="AM12:AM14"/>
    <mergeCell ref="AN12:AN14"/>
    <mergeCell ref="AO12:AO14"/>
    <mergeCell ref="AD12:AD14"/>
    <mergeCell ref="Y13:Y14"/>
    <mergeCell ref="Z13:Z14"/>
    <mergeCell ref="AA13:AA14"/>
    <mergeCell ref="AB13:AB14"/>
    <mergeCell ref="AY12:AY14"/>
    <mergeCell ref="AZ12:AZ14"/>
    <mergeCell ref="BA12:BA14"/>
    <mergeCell ref="BB12:BB14"/>
    <mergeCell ref="W13:W14"/>
    <mergeCell ref="X13:X14"/>
    <mergeCell ref="BE12:BE14"/>
    <mergeCell ref="BF12:BG12"/>
    <mergeCell ref="BH12:BI12"/>
    <mergeCell ref="BJ12:BK12"/>
    <mergeCell ref="BL12:BM12"/>
    <mergeCell ref="BN12:BO12"/>
    <mergeCell ref="BF13:BF14"/>
    <mergeCell ref="BG13:BG14"/>
    <mergeCell ref="BH13:BH14"/>
    <mergeCell ref="BI13:BI14"/>
    <mergeCell ref="BF10:BI11"/>
    <mergeCell ref="BJ10:BP11"/>
    <mergeCell ref="BQ10:BR11"/>
    <mergeCell ref="BS10:BS14"/>
    <mergeCell ref="BP12:BP14"/>
    <mergeCell ref="BQ12:BQ14"/>
    <mergeCell ref="BR12:BR14"/>
    <mergeCell ref="BO13:BO14"/>
    <mergeCell ref="BT10:BU11"/>
    <mergeCell ref="BT12:BT14"/>
    <mergeCell ref="BU12:BU14"/>
    <mergeCell ref="BL13:BL14"/>
    <mergeCell ref="BM13:BM14"/>
    <mergeCell ref="BN13:BN14"/>
    <mergeCell ref="AX10:BA11"/>
    <mergeCell ref="BB10:BE11"/>
    <mergeCell ref="W10:X11"/>
    <mergeCell ref="Y10:Z11"/>
    <mergeCell ref="AA10:AB11"/>
    <mergeCell ref="AC10:AE11"/>
    <mergeCell ref="AF10:AG11"/>
    <mergeCell ref="AH10:AI11"/>
    <mergeCell ref="K10:K14"/>
    <mergeCell ref="L10:L14"/>
    <mergeCell ref="M10:N11"/>
    <mergeCell ref="O10:P11"/>
    <mergeCell ref="Q10:T11"/>
    <mergeCell ref="U10:V11"/>
    <mergeCell ref="N12:N14"/>
    <mergeCell ref="O12:P12"/>
    <mergeCell ref="Q12:R12"/>
    <mergeCell ref="S12:T12"/>
    <mergeCell ref="T13:T14"/>
    <mergeCell ref="M12:M14"/>
    <mergeCell ref="AJ10:AK11"/>
    <mergeCell ref="AL10:AM11"/>
    <mergeCell ref="AN10:AS11"/>
    <mergeCell ref="AT10:AW11"/>
    <mergeCell ref="A10:A14"/>
    <mergeCell ref="B10:E11"/>
    <mergeCell ref="F10:F14"/>
    <mergeCell ref="G10:G14"/>
    <mergeCell ref="H10:I11"/>
    <mergeCell ref="J10:J14"/>
    <mergeCell ref="Q13:Q14"/>
    <mergeCell ref="R13:R14"/>
    <mergeCell ref="S13:S14"/>
    <mergeCell ref="B12:B14"/>
    <mergeCell ref="C12:E12"/>
    <mergeCell ref="H12:H14"/>
    <mergeCell ref="I12:I14"/>
    <mergeCell ref="C13:C14"/>
    <mergeCell ref="D13:D14"/>
    <mergeCell ref="E13:E14"/>
    <mergeCell ref="O13:O14"/>
    <mergeCell ref="P13:P14"/>
  </mergeCells>
  <conditionalFormatting sqref="AP30:AP35 AS30:AS35 AN29:AS29 U17:AM27 BE27 AP17:AP27 AS17:AS27 AT16:BD27 H16:I37 Q16:Q27 K29 G28:G37 O29:P29 R29 S29:S35 Q29:Q35 L29:N35 K28:BE28 G16 J16:K16 O16:P16 R16 T16:AS16 S16:S27 U30:AE35 L16:N27 AT29:BE37 AF29:AM35 T29:AE29 J36:AS37 BF16:BU37 J17:J35">
    <cfRule type="cellIs" dxfId="182" priority="10" stopIfTrue="1" operator="greaterThan">
      <formula>0</formula>
    </cfRule>
  </conditionalFormatting>
  <conditionalFormatting sqref="AN30:AN35 AN17:AN27 K30:K35 K17:K27">
    <cfRule type="cellIs" dxfId="181" priority="9" stopIfTrue="1" operator="greaterThan">
      <formula>0</formula>
    </cfRule>
  </conditionalFormatting>
  <conditionalFormatting sqref="E30:E35 E22 E25 E17:E20">
    <cfRule type="cellIs" dxfId="180" priority="8" stopIfTrue="1" operator="equal">
      <formula>0</formula>
    </cfRule>
  </conditionalFormatting>
  <conditionalFormatting sqref="O17:P27 O30:P35">
    <cfRule type="cellIs" dxfId="179" priority="7" stopIfTrue="1" operator="greaterThan">
      <formula>0</formula>
    </cfRule>
  </conditionalFormatting>
  <conditionalFormatting sqref="H17:I27">
    <cfRule type="cellIs" dxfId="178" priority="6" stopIfTrue="1" operator="greaterThan">
      <formula>0</formula>
    </cfRule>
  </conditionalFormatting>
  <conditionalFormatting sqref="H30:I35">
    <cfRule type="cellIs" dxfId="177" priority="5" stopIfTrue="1" operator="greaterThan">
      <formula>0</formula>
    </cfRule>
  </conditionalFormatting>
  <conditionalFormatting sqref="G33">
    <cfRule type="cellIs" dxfId="176" priority="4" stopIfTrue="1" operator="greaterThan">
      <formula>0</formula>
    </cfRule>
  </conditionalFormatting>
  <conditionalFormatting sqref="AN30:AN35">
    <cfRule type="cellIs" dxfId="175" priority="3" stopIfTrue="1" operator="greaterThan">
      <formula>0</formula>
    </cfRule>
  </conditionalFormatting>
  <conditionalFormatting sqref="J17:J27">
    <cfRule type="cellIs" dxfId="174" priority="2" stopIfTrue="1" operator="greaterThan">
      <formula>0</formula>
    </cfRule>
  </conditionalFormatting>
  <conditionalFormatting sqref="J30:J35">
    <cfRule type="cellIs" dxfId="173" priority="1" stopIfTrue="1" operator="greaterThan">
      <formula>0</formula>
    </cfRule>
  </conditionalFormatting>
  <pageMargins left="0.19" right="0.17" top="0.36" bottom="0.16" header="0.5" footer="0.5"/>
  <pageSetup paperSize="9" scale="77" fitToWidth="3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BZ48"/>
  <sheetViews>
    <sheetView topLeftCell="A13" workbookViewId="0">
      <selection activeCell="A48" sqref="A48:I48"/>
    </sheetView>
  </sheetViews>
  <sheetFormatPr defaultColWidth="9.140625" defaultRowHeight="12.75" x14ac:dyDescent="0.2"/>
  <cols>
    <col min="1" max="1" width="50.42578125" style="96" bestFit="1" customWidth="1"/>
    <col min="2" max="3" width="12.140625" style="96" customWidth="1"/>
    <col min="4" max="4" width="10.85546875" style="96" bestFit="1" customWidth="1"/>
    <col min="5" max="5" width="9.28515625" style="96" bestFit="1" customWidth="1"/>
    <col min="6" max="16384" width="9.140625" style="96"/>
  </cols>
  <sheetData>
    <row r="1" spans="1:78" s="1" customFormat="1" x14ac:dyDescent="0.2">
      <c r="A1" s="46" t="s">
        <v>359</v>
      </c>
      <c r="B1" s="46"/>
      <c r="C1" s="46"/>
      <c r="D1" s="1" t="s">
        <v>506</v>
      </c>
      <c r="F1" s="2"/>
      <c r="H1" s="97"/>
      <c r="S1" s="3"/>
      <c r="AT1" s="4"/>
      <c r="AU1" s="98"/>
      <c r="AV1" s="98"/>
      <c r="AW1" s="4"/>
      <c r="AX1" s="4"/>
      <c r="AY1" s="4"/>
      <c r="AZ1" s="4"/>
      <c r="BA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5"/>
    </row>
    <row r="2" spans="1:78" s="1" customFormat="1" x14ac:dyDescent="0.2">
      <c r="A2" s="46" t="s">
        <v>58</v>
      </c>
      <c r="B2" s="46"/>
      <c r="C2" s="46"/>
      <c r="F2" s="2"/>
      <c r="H2" s="97"/>
      <c r="S2" s="3"/>
      <c r="AT2" s="4"/>
      <c r="AU2" s="4"/>
      <c r="AV2" s="4"/>
      <c r="AW2" s="4"/>
      <c r="AX2" s="4"/>
      <c r="AY2" s="4"/>
      <c r="AZ2" s="4"/>
      <c r="BA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5"/>
    </row>
    <row r="3" spans="1:78" s="1" customFormat="1" x14ac:dyDescent="0.2">
      <c r="A3" s="97"/>
      <c r="B3" s="97"/>
      <c r="C3" s="97"/>
      <c r="F3" s="2"/>
      <c r="H3" s="97"/>
      <c r="S3" s="3"/>
      <c r="AT3" s="4"/>
      <c r="AU3" s="4"/>
      <c r="AV3" s="4"/>
      <c r="AW3" s="4"/>
      <c r="AX3" s="4"/>
      <c r="AY3" s="4"/>
      <c r="AZ3" s="4"/>
      <c r="BA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5"/>
    </row>
    <row r="4" spans="1:78" s="1" customFormat="1" ht="12.75" customHeight="1" x14ac:dyDescent="0.2">
      <c r="A4" s="46" t="s">
        <v>72</v>
      </c>
      <c r="B4" s="46"/>
      <c r="C4" s="46"/>
      <c r="F4" s="2"/>
      <c r="H4" s="46"/>
      <c r="N4" s="46"/>
      <c r="S4" s="3"/>
      <c r="AT4" s="4"/>
      <c r="AU4" s="4"/>
      <c r="AV4" s="4"/>
      <c r="AW4" s="4"/>
      <c r="AX4" s="4"/>
      <c r="AY4" s="4"/>
      <c r="AZ4" s="4"/>
      <c r="BA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5"/>
    </row>
    <row r="5" spans="1:78" s="1" customFormat="1" ht="12.75" customHeight="1" x14ac:dyDescent="0.2">
      <c r="A5" s="46" t="s">
        <v>368</v>
      </c>
      <c r="B5" s="46"/>
      <c r="C5" s="46"/>
      <c r="F5" s="2"/>
      <c r="H5" s="46"/>
      <c r="N5" s="46"/>
      <c r="S5" s="3"/>
      <c r="AT5" s="4"/>
      <c r="AU5" s="4"/>
      <c r="AV5" s="4"/>
      <c r="AW5" s="4"/>
      <c r="AX5" s="4"/>
      <c r="AY5" s="4"/>
      <c r="AZ5" s="4"/>
      <c r="BA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5"/>
    </row>
    <row r="6" spans="1:78" s="1" customFormat="1" ht="12.75" customHeight="1" x14ac:dyDescent="0.2">
      <c r="A6" s="46" t="s">
        <v>366</v>
      </c>
      <c r="B6" s="3">
        <f>'сенаж бп омич'!D6</f>
        <v>100</v>
      </c>
      <c r="F6" s="4"/>
      <c r="M6" s="46"/>
      <c r="R6" s="3"/>
      <c r="AS6" s="4"/>
      <c r="AV6" s="4"/>
      <c r="AW6" s="4"/>
      <c r="AX6" s="4"/>
      <c r="AY6" s="4"/>
      <c r="AZ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5"/>
    </row>
    <row r="7" spans="1:78" s="1" customFormat="1" ht="12.75" customHeight="1" x14ac:dyDescent="0.2">
      <c r="A7" s="1" t="s">
        <v>357</v>
      </c>
      <c r="B7" s="3">
        <f>'сенаж бп омич'!I6</f>
        <v>50</v>
      </c>
      <c r="D7" s="2"/>
      <c r="M7" s="46"/>
      <c r="R7" s="3"/>
      <c r="AS7" s="4"/>
      <c r="AV7" s="4"/>
      <c r="AW7" s="4"/>
      <c r="AX7" s="4"/>
      <c r="AY7" s="4"/>
      <c r="AZ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5"/>
    </row>
    <row r="8" spans="1:78" s="1" customFormat="1" ht="12.75" customHeight="1" x14ac:dyDescent="0.2">
      <c r="A8" s="45" t="s">
        <v>369</v>
      </c>
      <c r="B8" s="77">
        <f>B6*B7</f>
        <v>5000</v>
      </c>
      <c r="D8" s="2"/>
      <c r="M8" s="46"/>
      <c r="R8" s="3"/>
      <c r="AS8" s="4"/>
      <c r="AV8" s="4"/>
      <c r="AW8" s="4"/>
      <c r="AX8" s="4"/>
      <c r="AY8" s="4"/>
      <c r="AZ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5"/>
    </row>
    <row r="9" spans="1:78" s="102" customFormat="1" ht="12.75" customHeight="1" x14ac:dyDescent="0.2">
      <c r="A9" s="45" t="s">
        <v>370</v>
      </c>
      <c r="B9" s="122">
        <f>B8*0.85</f>
        <v>4250</v>
      </c>
      <c r="C9" s="99"/>
      <c r="F9" s="101"/>
      <c r="G9" s="1"/>
      <c r="H9" s="100"/>
      <c r="M9" s="1"/>
      <c r="N9" s="1"/>
      <c r="P9" s="1"/>
      <c r="S9" s="103"/>
      <c r="AT9" s="104"/>
      <c r="AU9" s="104"/>
      <c r="AV9" s="104"/>
      <c r="AW9" s="104"/>
      <c r="AX9" s="104"/>
      <c r="AY9" s="104"/>
      <c r="AZ9" s="104"/>
      <c r="BA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5"/>
    </row>
    <row r="10" spans="1:78" s="102" customFormat="1" ht="12.75" customHeight="1" x14ac:dyDescent="0.2">
      <c r="A10" s="45"/>
      <c r="B10" s="99"/>
      <c r="C10" s="99"/>
      <c r="F10" s="101"/>
      <c r="G10" s="1"/>
      <c r="H10" s="100"/>
      <c r="M10" s="1"/>
      <c r="N10" s="1"/>
      <c r="P10" s="1"/>
      <c r="S10" s="103"/>
      <c r="AT10" s="104"/>
      <c r="AU10" s="104"/>
      <c r="AV10" s="104"/>
      <c r="AW10" s="104"/>
      <c r="AX10" s="104"/>
      <c r="AY10" s="104"/>
      <c r="AZ10" s="104"/>
      <c r="BA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5"/>
    </row>
    <row r="11" spans="1:78" s="88" customFormat="1" ht="33.75" customHeight="1" x14ac:dyDescent="0.2">
      <c r="A11" s="106"/>
      <c r="B11" s="86" t="s">
        <v>30</v>
      </c>
      <c r="C11" s="87" t="s">
        <v>339</v>
      </c>
      <c r="D11" s="87" t="s">
        <v>343</v>
      </c>
    </row>
    <row r="12" spans="1:78" s="92" customFormat="1" x14ac:dyDescent="0.2">
      <c r="A12" s="89" t="s">
        <v>356</v>
      </c>
      <c r="B12" s="90">
        <f ca="1">'сенаж бп омич'!AL37+'сенаж бп омич'!AM37</f>
        <v>400796.83366267168</v>
      </c>
      <c r="C12" s="91">
        <f t="shared" ref="C12:C30" ca="1" si="0">B12/$B$6</f>
        <v>4007.9683366267168</v>
      </c>
      <c r="D12" s="110" t="e">
        <f t="shared" ref="D12:D29" ca="1" si="1">B12/$B$30%</f>
        <v>#REF!</v>
      </c>
    </row>
    <row r="13" spans="1:78" s="92" customFormat="1" x14ac:dyDescent="0.2">
      <c r="A13" s="93" t="s">
        <v>353</v>
      </c>
      <c r="B13" s="91">
        <f>'сенаж бп омич'!AW37</f>
        <v>360000</v>
      </c>
      <c r="C13" s="91">
        <f t="shared" si="0"/>
        <v>3600</v>
      </c>
      <c r="D13" s="110" t="e">
        <f t="shared" ca="1" si="1"/>
        <v>#REF!</v>
      </c>
    </row>
    <row r="14" spans="1:78" s="92" customFormat="1" x14ac:dyDescent="0.2">
      <c r="A14" s="93" t="s">
        <v>354</v>
      </c>
      <c r="B14" s="91" t="e">
        <f>'сенаж бп омич'!BA37</f>
        <v>#REF!</v>
      </c>
      <c r="C14" s="91" t="e">
        <f t="shared" si="0"/>
        <v>#REF!</v>
      </c>
      <c r="D14" s="110" t="e">
        <f t="shared" ca="1" si="1"/>
        <v>#REF!</v>
      </c>
    </row>
    <row r="15" spans="1:78" s="92" customFormat="1" x14ac:dyDescent="0.2">
      <c r="A15" s="93" t="s">
        <v>405</v>
      </c>
      <c r="B15" s="91">
        <f>'сенаж бп омич'!BE37</f>
        <v>62500</v>
      </c>
      <c r="C15" s="91">
        <f t="shared" si="0"/>
        <v>625</v>
      </c>
      <c r="D15" s="110" t="e">
        <f ca="1">B15/$B$30%</f>
        <v>#REF!</v>
      </c>
    </row>
    <row r="16" spans="1:78" s="92" customFormat="1" x14ac:dyDescent="0.2">
      <c r="A16" s="93" t="s">
        <v>355</v>
      </c>
      <c r="B16" s="91" t="e">
        <f>B17+B20+B23</f>
        <v>#REF!</v>
      </c>
      <c r="C16" s="91" t="e">
        <f t="shared" si="0"/>
        <v>#REF!</v>
      </c>
      <c r="D16" s="110" t="e">
        <f t="shared" ca="1" si="1"/>
        <v>#REF!</v>
      </c>
    </row>
    <row r="17" spans="1:4" x14ac:dyDescent="0.2">
      <c r="A17" s="94" t="s">
        <v>337</v>
      </c>
      <c r="B17" s="95">
        <f>SUM(B18:B19)</f>
        <v>15149.50892393462</v>
      </c>
      <c r="C17" s="95">
        <f t="shared" si="0"/>
        <v>151.49508923934619</v>
      </c>
      <c r="D17" s="111" t="e">
        <f t="shared" ca="1" si="1"/>
        <v>#REF!</v>
      </c>
    </row>
    <row r="18" spans="1:4" x14ac:dyDescent="0.2">
      <c r="A18" s="107" t="s">
        <v>344</v>
      </c>
      <c r="B18" s="95">
        <f>'сенаж бп омич'!BG37</f>
        <v>8938.5544296234493</v>
      </c>
      <c r="C18" s="95">
        <f t="shared" si="0"/>
        <v>89.385544296234499</v>
      </c>
      <c r="D18" s="111" t="e">
        <f t="shared" ca="1" si="1"/>
        <v>#REF!</v>
      </c>
    </row>
    <row r="19" spans="1:4" x14ac:dyDescent="0.2">
      <c r="A19" s="107" t="s">
        <v>345</v>
      </c>
      <c r="B19" s="95">
        <f>'сенаж бп омич'!BI37</f>
        <v>6210.9544943111705</v>
      </c>
      <c r="C19" s="95">
        <f t="shared" si="0"/>
        <v>62.109544943111707</v>
      </c>
      <c r="D19" s="111" t="e">
        <f t="shared" ca="1" si="1"/>
        <v>#REF!</v>
      </c>
    </row>
    <row r="20" spans="1:4" x14ac:dyDescent="0.2">
      <c r="A20" s="94" t="s">
        <v>338</v>
      </c>
      <c r="B20" s="95">
        <f>SUM(B21:B22)</f>
        <v>513929.62617439328</v>
      </c>
      <c r="C20" s="95">
        <f t="shared" si="0"/>
        <v>5139.2962617439325</v>
      </c>
      <c r="D20" s="111" t="e">
        <f t="shared" ca="1" si="1"/>
        <v>#REF!</v>
      </c>
    </row>
    <row r="21" spans="1:4" x14ac:dyDescent="0.2">
      <c r="A21" s="107" t="s">
        <v>344</v>
      </c>
      <c r="B21" s="95">
        <f>'сенаж бп омич'!BK37+'сенаж бп омич'!BM37+'сенаж бп омич'!BO37</f>
        <v>41956.685919532145</v>
      </c>
      <c r="C21" s="95">
        <f t="shared" si="0"/>
        <v>419.56685919532146</v>
      </c>
      <c r="D21" s="111" t="e">
        <f t="shared" ca="1" si="1"/>
        <v>#REF!</v>
      </c>
    </row>
    <row r="22" spans="1:4" x14ac:dyDescent="0.2">
      <c r="A22" s="107" t="s">
        <v>345</v>
      </c>
      <c r="B22" s="95">
        <f>'сенаж бп омич'!BP37</f>
        <v>471972.94025486114</v>
      </c>
      <c r="C22" s="95">
        <f t="shared" si="0"/>
        <v>4719.7294025486117</v>
      </c>
      <c r="D22" s="111" t="e">
        <f t="shared" ca="1" si="1"/>
        <v>#REF!</v>
      </c>
    </row>
    <row r="23" spans="1:4" x14ac:dyDescent="0.2">
      <c r="A23" s="94" t="s">
        <v>336</v>
      </c>
      <c r="B23" s="112" t="e">
        <f>'сенаж бп омич'!AS37</f>
        <v>#REF!</v>
      </c>
      <c r="C23" s="95" t="e">
        <f t="shared" si="0"/>
        <v>#REF!</v>
      </c>
      <c r="D23" s="111" t="e">
        <f t="shared" ca="1" si="1"/>
        <v>#REF!</v>
      </c>
    </row>
    <row r="24" spans="1:4" s="92" customFormat="1" x14ac:dyDescent="0.2">
      <c r="A24" s="93" t="s">
        <v>346</v>
      </c>
      <c r="B24" s="91">
        <f>SUM(B25:B27)</f>
        <v>69387.391904761898</v>
      </c>
      <c r="C24" s="91">
        <f t="shared" si="0"/>
        <v>693.87391904761898</v>
      </c>
      <c r="D24" s="110" t="e">
        <f t="shared" ca="1" si="1"/>
        <v>#REF!</v>
      </c>
    </row>
    <row r="25" spans="1:4" x14ac:dyDescent="0.2">
      <c r="A25" s="107" t="s">
        <v>360</v>
      </c>
      <c r="B25" s="95">
        <f>B6*15.12</f>
        <v>1512</v>
      </c>
      <c r="C25" s="95">
        <f t="shared" si="0"/>
        <v>15.12</v>
      </c>
      <c r="D25" s="111" t="e">
        <f t="shared" ca="1" si="1"/>
        <v>#REF!</v>
      </c>
    </row>
    <row r="26" spans="1:4" x14ac:dyDescent="0.2">
      <c r="A26" s="107" t="s">
        <v>363</v>
      </c>
      <c r="B26" s="95">
        <f>14*130/250*('сенаж бп омич'!L17+'сенаж бп омич'!L18+'сенаж бп омич'!L19)+12*80/250*('сенаж бп омич'!L20+'сенаж бп омич'!L22+'сенаж бп омич'!L25+'сенаж бп омич'!L27+'сенаж бп омич'!L30+'сенаж бп омич'!L31+'сенаж бп омич'!L32+'сенаж бп омич'!L33+'сенаж бп омич'!L34+'сенаж бп омич'!L35)</f>
        <v>287.39190476190481</v>
      </c>
      <c r="C26" s="95">
        <f t="shared" si="0"/>
        <v>2.8739190476190482</v>
      </c>
      <c r="D26" s="111" t="e">
        <f t="shared" ca="1" si="1"/>
        <v>#REF!</v>
      </c>
    </row>
    <row r="27" spans="1:4" x14ac:dyDescent="0.2">
      <c r="A27" s="107" t="s">
        <v>365</v>
      </c>
      <c r="B27" s="95">
        <f>(120*33794/15)*25%</f>
        <v>67588</v>
      </c>
      <c r="C27" s="95">
        <f t="shared" si="0"/>
        <v>675.88</v>
      </c>
      <c r="D27" s="111" t="e">
        <f t="shared" ca="1" si="1"/>
        <v>#REF!</v>
      </c>
    </row>
    <row r="28" spans="1:4" s="92" customFormat="1" x14ac:dyDescent="0.2">
      <c r="A28" s="93" t="s">
        <v>347</v>
      </c>
      <c r="B28" s="91" t="e">
        <f ca="1">B12+B13+B14+B16+B24+B15</f>
        <v>#REF!</v>
      </c>
      <c r="C28" s="91" t="e">
        <f t="shared" ca="1" si="0"/>
        <v>#REF!</v>
      </c>
      <c r="D28" s="110" t="e">
        <f t="shared" ca="1" si="1"/>
        <v>#REF!</v>
      </c>
    </row>
    <row r="29" spans="1:4" s="92" customFormat="1" x14ac:dyDescent="0.2">
      <c r="A29" s="93" t="s">
        <v>348</v>
      </c>
      <c r="B29" s="91">
        <f ca="1">B12/0.59</f>
        <v>679316.66722486727</v>
      </c>
      <c r="C29" s="91">
        <f t="shared" ca="1" si="0"/>
        <v>6793.1666722486725</v>
      </c>
      <c r="D29" s="110" t="e">
        <f t="shared" ca="1" si="1"/>
        <v>#REF!</v>
      </c>
    </row>
    <row r="30" spans="1:4" s="92" customFormat="1" x14ac:dyDescent="0.2">
      <c r="A30" s="93" t="s">
        <v>349</v>
      </c>
      <c r="B30" s="91" t="e">
        <f ca="1">B28+B29</f>
        <v>#REF!</v>
      </c>
      <c r="C30" s="91" t="e">
        <f t="shared" ca="1" si="0"/>
        <v>#REF!</v>
      </c>
      <c r="D30" s="110" t="e">
        <f ca="1">D28+D29</f>
        <v>#REF!</v>
      </c>
    </row>
    <row r="31" spans="1:4" x14ac:dyDescent="0.2">
      <c r="A31" s="94" t="s">
        <v>350</v>
      </c>
      <c r="B31" s="95" t="e">
        <f ca="1">B30/B6</f>
        <v>#REF!</v>
      </c>
      <c r="C31" s="95"/>
      <c r="D31" s="95"/>
    </row>
    <row r="32" spans="1:4" x14ac:dyDescent="0.2">
      <c r="A32" s="94" t="s">
        <v>371</v>
      </c>
      <c r="B32" s="95" t="e">
        <f ca="1">B30/(B8)</f>
        <v>#REF!</v>
      </c>
      <c r="C32" s="95"/>
      <c r="D32" s="95"/>
    </row>
    <row r="33" spans="1:9" s="142" customFormat="1" x14ac:dyDescent="0.2">
      <c r="A33" s="141" t="s">
        <v>372</v>
      </c>
      <c r="B33" s="139" t="e">
        <f ca="1">B30/(B9)</f>
        <v>#REF!</v>
      </c>
      <c r="C33" s="139"/>
      <c r="D33" s="139"/>
    </row>
    <row r="34" spans="1:9" x14ac:dyDescent="0.2">
      <c r="A34" s="94" t="s">
        <v>351</v>
      </c>
      <c r="B34" s="95">
        <f>'сенаж бп омич'!O37+'сенаж бп омич'!P37</f>
        <v>672.31076388888891</v>
      </c>
      <c r="C34" s="95"/>
      <c r="D34" s="95"/>
    </row>
    <row r="35" spans="1:9" x14ac:dyDescent="0.2">
      <c r="A35" s="107" t="s">
        <v>339</v>
      </c>
      <c r="B35" s="95">
        <f>B34/B6</f>
        <v>6.7231076388888891</v>
      </c>
      <c r="C35" s="95"/>
      <c r="D35" s="95"/>
    </row>
    <row r="36" spans="1:9" x14ac:dyDescent="0.2">
      <c r="A36" s="107" t="s">
        <v>340</v>
      </c>
      <c r="B36" s="111">
        <f>B34/B8</f>
        <v>0.13446215277777779</v>
      </c>
      <c r="C36" s="95"/>
      <c r="D36" s="95"/>
    </row>
    <row r="37" spans="1:9" x14ac:dyDescent="0.2">
      <c r="A37" s="94" t="s">
        <v>358</v>
      </c>
      <c r="B37" s="95">
        <f ca="1">('сенаж бп омич'!AH37+'сенаж бп омич'!AI37)/B34</f>
        <v>458.57551778621598</v>
      </c>
      <c r="C37" s="95"/>
      <c r="D37" s="95"/>
    </row>
    <row r="38" spans="1:9" x14ac:dyDescent="0.2">
      <c r="A38" s="108" t="s">
        <v>341</v>
      </c>
      <c r="B38" s="95">
        <f ca="1">'сенаж бп омич'!AH37/'сенаж бп омич'!O37</f>
        <v>542.30434532843879</v>
      </c>
      <c r="C38" s="95"/>
      <c r="D38" s="95"/>
    </row>
    <row r="39" spans="1:9" x14ac:dyDescent="0.2">
      <c r="A39" s="109" t="s">
        <v>342</v>
      </c>
      <c r="B39" s="95">
        <f ca="1">'сенаж бп омич'!AI37/'сенаж бп омич'!P37</f>
        <v>318.92421832672113</v>
      </c>
      <c r="C39" s="95"/>
      <c r="D39" s="95"/>
    </row>
    <row r="40" spans="1:9" x14ac:dyDescent="0.2">
      <c r="A40" s="94" t="s">
        <v>352</v>
      </c>
      <c r="B40" s="95">
        <f ca="1">B37*167</f>
        <v>76582.11147029807</v>
      </c>
      <c r="C40" s="95"/>
      <c r="D40" s="95"/>
    </row>
    <row r="41" spans="1:9" x14ac:dyDescent="0.2">
      <c r="A41" s="108" t="s">
        <v>341</v>
      </c>
      <c r="B41" s="112">
        <f ca="1">B38*167</f>
        <v>90564.825669849277</v>
      </c>
      <c r="C41" s="94"/>
      <c r="D41" s="94"/>
    </row>
    <row r="42" spans="1:9" ht="12.75" customHeight="1" x14ac:dyDescent="0.2">
      <c r="A42" s="109" t="s">
        <v>342</v>
      </c>
      <c r="B42" s="112">
        <f ca="1">B39*167</f>
        <v>53260.344460562432</v>
      </c>
      <c r="C42" s="94"/>
      <c r="D42" s="94"/>
    </row>
    <row r="44" spans="1:9" x14ac:dyDescent="0.2">
      <c r="A44" t="s">
        <v>507</v>
      </c>
      <c r="B44"/>
      <c r="C44"/>
      <c r="D44"/>
      <c r="E44"/>
      <c r="F44"/>
      <c r="G44"/>
      <c r="I44" t="s">
        <v>508</v>
      </c>
    </row>
    <row r="45" spans="1:9" x14ac:dyDescent="0.2">
      <c r="A45"/>
      <c r="B45"/>
      <c r="C45"/>
      <c r="D45"/>
      <c r="E45"/>
      <c r="F45"/>
      <c r="G45"/>
      <c r="I45"/>
    </row>
    <row r="46" spans="1:9" x14ac:dyDescent="0.2">
      <c r="A46" t="s">
        <v>509</v>
      </c>
      <c r="B46"/>
      <c r="C46"/>
      <c r="D46"/>
      <c r="E46"/>
      <c r="F46"/>
      <c r="G46"/>
      <c r="I46" t="s">
        <v>510</v>
      </c>
    </row>
    <row r="47" spans="1:9" x14ac:dyDescent="0.2">
      <c r="A47"/>
      <c r="B47"/>
      <c r="C47"/>
      <c r="D47"/>
      <c r="E47"/>
      <c r="F47"/>
      <c r="G47"/>
      <c r="I47"/>
    </row>
    <row r="48" spans="1:9" x14ac:dyDescent="0.2">
      <c r="A48" t="s">
        <v>512</v>
      </c>
      <c r="B48"/>
      <c r="C48"/>
      <c r="D48"/>
      <c r="E48"/>
      <c r="F48"/>
      <c r="G48"/>
      <c r="I48" t="s">
        <v>511</v>
      </c>
    </row>
  </sheetData>
  <pageMargins left="0.75" right="0.75" top="1" bottom="1" header="0.5" footer="0.5"/>
  <pageSetup paperSize="9" scale="62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BY43"/>
  <sheetViews>
    <sheetView view="pageBreakPreview" zoomScale="90" zoomScaleNormal="100" zoomScaleSheetLayoutView="90" workbookViewId="0">
      <pane xSplit="5" ySplit="21" topLeftCell="F34" activePane="bottomRight" state="frozen"/>
      <selection pane="topRight" activeCell="F1" sqref="F1"/>
      <selection pane="bottomLeft" activeCell="A22" sqref="A22"/>
      <selection pane="bottomRight" activeCell="G1" sqref="G1"/>
    </sheetView>
  </sheetViews>
  <sheetFormatPr defaultColWidth="9.140625" defaultRowHeight="11.25" x14ac:dyDescent="0.2"/>
  <cols>
    <col min="1" max="1" width="3.85546875" style="294" customWidth="1"/>
    <col min="2" max="2" width="25.28515625" style="296" customWidth="1"/>
    <col min="3" max="3" width="5.140625" style="296" bestFit="1" customWidth="1"/>
    <col min="4" max="4" width="8.140625" style="296" customWidth="1"/>
    <col min="5" max="5" width="9.7109375" style="296" customWidth="1"/>
    <col min="6" max="6" width="6.85546875" style="294" customWidth="1"/>
    <col min="7" max="7" width="6.140625" style="296" customWidth="1"/>
    <col min="8" max="8" width="7.85546875" style="296" customWidth="1"/>
    <col min="9" max="9" width="6.140625" style="296" customWidth="1"/>
    <col min="10" max="10" width="5.42578125" style="296" customWidth="1"/>
    <col min="11" max="11" width="6.140625" style="296" customWidth="1"/>
    <col min="12" max="12" width="7.42578125" style="296" customWidth="1"/>
    <col min="13" max="16" width="6.140625" style="296" customWidth="1"/>
    <col min="17" max="17" width="6.140625" style="356" customWidth="1"/>
    <col min="18" max="29" width="6.140625" style="296" customWidth="1"/>
    <col min="30" max="30" width="7.28515625" style="296" customWidth="1"/>
    <col min="31" max="31" width="7" style="296" customWidth="1"/>
    <col min="32" max="32" width="6.7109375" style="296" customWidth="1"/>
    <col min="33" max="33" width="6.140625" style="296" customWidth="1"/>
    <col min="34" max="35" width="8.28515625" style="296" customWidth="1"/>
    <col min="36" max="37" width="6.140625" style="296" customWidth="1"/>
    <col min="38" max="38" width="7.140625" style="296" customWidth="1"/>
    <col min="39" max="39" width="8.28515625" style="296" customWidth="1"/>
    <col min="40" max="41" width="5.28515625" style="296" customWidth="1"/>
    <col min="42" max="42" width="6.28515625" style="300" customWidth="1"/>
    <col min="43" max="43" width="4.42578125" style="357" customWidth="1"/>
    <col min="44" max="44" width="6" style="357" customWidth="1"/>
    <col min="45" max="45" width="6.85546875" style="300" customWidth="1"/>
    <col min="46" max="46" width="5" style="296" customWidth="1"/>
    <col min="47" max="47" width="4.85546875" style="300" customWidth="1"/>
    <col min="48" max="48" width="4.7109375" style="300" customWidth="1"/>
    <col min="49" max="49" width="7" style="300" customWidth="1"/>
    <col min="50" max="50" width="3.7109375" style="300" customWidth="1"/>
    <col min="51" max="51" width="4.28515625" style="300" customWidth="1"/>
    <col min="52" max="52" width="4.42578125" style="300" customWidth="1"/>
    <col min="53" max="53" width="7.42578125" style="300" customWidth="1"/>
    <col min="54" max="54" width="4.28515625" style="300" customWidth="1"/>
    <col min="55" max="55" width="4.7109375" style="300" customWidth="1"/>
    <col min="56" max="56" width="6.140625" style="300" customWidth="1"/>
    <col min="57" max="57" width="7.140625" style="300" customWidth="1"/>
    <col min="58" max="58" width="4.7109375" style="300" customWidth="1"/>
    <col min="59" max="59" width="4.5703125" style="300" customWidth="1"/>
    <col min="60" max="60" width="6.28515625" style="300" customWidth="1"/>
    <col min="61" max="64" width="7.42578125" style="300" customWidth="1"/>
    <col min="65" max="65" width="4.42578125" style="300" customWidth="1"/>
    <col min="66" max="66" width="5.85546875" style="300" customWidth="1"/>
    <col min="67" max="68" width="6.42578125" style="300" customWidth="1"/>
    <col min="69" max="69" width="6.5703125" style="300" customWidth="1"/>
    <col min="70" max="70" width="5.140625" style="300" customWidth="1"/>
    <col min="71" max="71" width="5.42578125" style="300" customWidth="1"/>
    <col min="72" max="72" width="7.42578125" style="300" customWidth="1"/>
    <col min="73" max="73" width="8.28515625" style="300" customWidth="1"/>
    <col min="74" max="74" width="5.85546875" style="300" customWidth="1"/>
    <col min="75" max="75" width="4.85546875" style="300" customWidth="1"/>
    <col min="76" max="76" width="6.5703125" style="301" customWidth="1"/>
    <col min="77" max="77" width="6" style="296" customWidth="1"/>
    <col min="78" max="16384" width="9.140625" style="296"/>
  </cols>
  <sheetData>
    <row r="1" spans="1:77" s="270" customFormat="1" ht="14.25" x14ac:dyDescent="0.2">
      <c r="B1" s="271" t="s">
        <v>636</v>
      </c>
      <c r="E1" s="272"/>
      <c r="G1" s="273"/>
      <c r="Q1" s="274"/>
      <c r="AP1" s="275"/>
      <c r="AQ1" s="276"/>
      <c r="AR1" s="276"/>
      <c r="AS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  <c r="BS1" s="275"/>
      <c r="BT1" s="275"/>
      <c r="BU1" s="275"/>
      <c r="BV1" s="275"/>
      <c r="BW1" s="275"/>
      <c r="BX1" s="277"/>
    </row>
    <row r="2" spans="1:77" s="270" customFormat="1" ht="14.25" x14ac:dyDescent="0.2">
      <c r="B2" s="271" t="s">
        <v>58</v>
      </c>
      <c r="E2" s="272"/>
      <c r="G2" s="273"/>
      <c r="Q2" s="274"/>
      <c r="AP2" s="275"/>
      <c r="AQ2" s="275"/>
      <c r="AR2" s="275"/>
      <c r="AS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7"/>
    </row>
    <row r="3" spans="1:77" s="278" customFormat="1" ht="10.5" x14ac:dyDescent="0.2">
      <c r="B3" s="279"/>
      <c r="E3" s="280"/>
      <c r="G3" s="279"/>
      <c r="Q3" s="281"/>
      <c r="AP3" s="282"/>
      <c r="AQ3" s="282"/>
      <c r="AR3" s="282"/>
      <c r="AS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3"/>
    </row>
    <row r="4" spans="1:77" s="284" customFormat="1" ht="12.75" customHeight="1" x14ac:dyDescent="0.2">
      <c r="B4" s="285" t="s">
        <v>76</v>
      </c>
      <c r="E4" s="286"/>
      <c r="G4" s="285"/>
      <c r="L4" s="285"/>
      <c r="Q4" s="287"/>
      <c r="AP4" s="288"/>
      <c r="AQ4" s="288"/>
      <c r="AR4" s="288"/>
      <c r="AS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9"/>
    </row>
    <row r="5" spans="1:77" s="284" customFormat="1" ht="12.75" customHeight="1" x14ac:dyDescent="0.2">
      <c r="B5" s="285" t="s">
        <v>368</v>
      </c>
      <c r="E5" s="286"/>
      <c r="G5" s="285"/>
      <c r="L5" s="285"/>
      <c r="Q5" s="287"/>
      <c r="AP5" s="288"/>
      <c r="AQ5" s="288"/>
      <c r="AR5" s="288"/>
      <c r="AS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9"/>
    </row>
    <row r="6" spans="1:77" s="284" customFormat="1" ht="12.75" customHeight="1" x14ac:dyDescent="0.2">
      <c r="B6" s="285" t="s">
        <v>366</v>
      </c>
      <c r="D6" s="284">
        <v>100</v>
      </c>
      <c r="E6" s="286"/>
      <c r="F6" s="284" t="s">
        <v>362</v>
      </c>
      <c r="G6" s="285"/>
      <c r="I6" s="290">
        <f>Нормы!B23</f>
        <v>80</v>
      </c>
      <c r="L6" s="285"/>
      <c r="Q6" s="287"/>
      <c r="AP6" s="288"/>
      <c r="AQ6" s="288"/>
      <c r="AR6" s="288"/>
      <c r="AS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9"/>
    </row>
    <row r="7" spans="1:77" s="284" customFormat="1" ht="12.75" customHeight="1" x14ac:dyDescent="0.2">
      <c r="B7" s="285" t="s">
        <v>386</v>
      </c>
      <c r="E7" s="286"/>
      <c r="G7" s="285"/>
      <c r="L7" s="285"/>
      <c r="Q7" s="287"/>
      <c r="AP7" s="288"/>
      <c r="AQ7" s="288"/>
      <c r="AR7" s="288"/>
      <c r="AS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9"/>
    </row>
    <row r="8" spans="1:77" s="284" customFormat="1" ht="12.75" customHeight="1" x14ac:dyDescent="0.2">
      <c r="B8" s="291" t="s">
        <v>387</v>
      </c>
      <c r="D8" s="292">
        <v>3</v>
      </c>
      <c r="E8" s="286"/>
      <c r="G8" s="285"/>
      <c r="L8" s="285"/>
      <c r="Q8" s="287"/>
      <c r="AP8" s="288"/>
      <c r="AQ8" s="288"/>
      <c r="AR8" s="288"/>
      <c r="AS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9"/>
    </row>
    <row r="9" spans="1:77" s="284" customFormat="1" ht="12.75" customHeight="1" x14ac:dyDescent="0.2">
      <c r="B9" s="291" t="s">
        <v>388</v>
      </c>
      <c r="D9" s="292">
        <v>10</v>
      </c>
      <c r="E9" s="286"/>
      <c r="G9" s="285"/>
      <c r="L9" s="285"/>
      <c r="Q9" s="287"/>
      <c r="AP9" s="288"/>
      <c r="AQ9" s="288"/>
      <c r="AR9" s="288"/>
      <c r="AS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8"/>
      <c r="BG9" s="288"/>
      <c r="BH9" s="288"/>
      <c r="BI9" s="288"/>
      <c r="BJ9" s="288"/>
      <c r="BK9" s="288"/>
      <c r="BL9" s="288"/>
      <c r="BM9" s="288"/>
      <c r="BN9" s="288"/>
      <c r="BO9" s="288"/>
      <c r="BP9" s="288"/>
      <c r="BQ9" s="288"/>
      <c r="BR9" s="288"/>
      <c r="BS9" s="288"/>
      <c r="BT9" s="288"/>
      <c r="BU9" s="288"/>
      <c r="BV9" s="288"/>
      <c r="BW9" s="288"/>
      <c r="BX9" s="289"/>
    </row>
    <row r="10" spans="1:77" s="284" customFormat="1" ht="12.75" customHeight="1" x14ac:dyDescent="0.2">
      <c r="B10" s="291" t="s">
        <v>389</v>
      </c>
      <c r="D10" s="292">
        <v>20</v>
      </c>
      <c r="E10" s="286"/>
      <c r="G10" s="285"/>
      <c r="L10" s="285"/>
      <c r="Q10" s="287"/>
      <c r="AP10" s="288"/>
      <c r="AQ10" s="288"/>
      <c r="AR10" s="288"/>
      <c r="AS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9"/>
    </row>
    <row r="11" spans="1:77" s="284" customFormat="1" ht="12.75" customHeight="1" x14ac:dyDescent="0.2">
      <c r="B11" s="291" t="s">
        <v>390</v>
      </c>
      <c r="D11" s="293">
        <f>D8*D9*D10</f>
        <v>600</v>
      </c>
      <c r="E11" s="286"/>
      <c r="G11" s="285"/>
      <c r="L11" s="285"/>
      <c r="Q11" s="287"/>
      <c r="AP11" s="288"/>
      <c r="AQ11" s="288"/>
      <c r="AR11" s="288"/>
      <c r="AS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9"/>
    </row>
    <row r="12" spans="1:77" ht="12.75" customHeight="1" x14ac:dyDescent="0.2">
      <c r="B12" s="295" t="s">
        <v>373</v>
      </c>
      <c r="D12" s="293">
        <f>D6*I6</f>
        <v>8000</v>
      </c>
      <c r="E12" s="297"/>
      <c r="F12" s="278"/>
      <c r="G12" s="298"/>
      <c r="H12" s="299"/>
      <c r="I12" s="299"/>
      <c r="K12" s="278"/>
      <c r="L12" s="278"/>
      <c r="N12" s="278"/>
      <c r="Q12" s="294"/>
      <c r="AQ12" s="300"/>
      <c r="AR12" s="300"/>
    </row>
    <row r="13" spans="1:77" ht="12.75" customHeight="1" x14ac:dyDescent="0.2">
      <c r="B13" s="295" t="s">
        <v>374</v>
      </c>
      <c r="C13" s="299"/>
      <c r="D13" s="293">
        <f>D12*Нормы!B19</f>
        <v>6800</v>
      </c>
      <c r="E13" s="302"/>
      <c r="F13" s="284"/>
      <c r="G13" s="298"/>
      <c r="H13" s="299"/>
      <c r="I13" s="299"/>
      <c r="K13" s="278"/>
      <c r="L13" s="278"/>
      <c r="N13" s="278"/>
      <c r="Q13" s="294"/>
      <c r="AQ13" s="300"/>
      <c r="AR13" s="300"/>
    </row>
    <row r="14" spans="1:77" ht="12.75" customHeight="1" x14ac:dyDescent="0.2">
      <c r="A14" s="295"/>
      <c r="B14" s="299"/>
      <c r="D14" s="302"/>
      <c r="E14" s="284"/>
      <c r="F14" s="298"/>
      <c r="G14" s="299"/>
      <c r="H14" s="299"/>
      <c r="K14" s="278"/>
      <c r="L14" s="278"/>
      <c r="N14" s="278"/>
      <c r="Q14" s="294"/>
      <c r="AQ14" s="300"/>
      <c r="AR14" s="300"/>
    </row>
    <row r="15" spans="1:77" s="279" customFormat="1" ht="39.75" customHeight="1" x14ac:dyDescent="0.2">
      <c r="A15" s="496" t="s">
        <v>56</v>
      </c>
      <c r="B15" s="497" t="s">
        <v>52</v>
      </c>
      <c r="C15" s="497"/>
      <c r="D15" s="497"/>
      <c r="E15" s="497"/>
      <c r="F15" s="496" t="s">
        <v>16</v>
      </c>
      <c r="G15" s="496" t="s">
        <v>35</v>
      </c>
      <c r="H15" s="497" t="s">
        <v>31</v>
      </c>
      <c r="I15" s="497"/>
      <c r="J15" s="496" t="s">
        <v>34</v>
      </c>
      <c r="K15" s="496" t="s">
        <v>40</v>
      </c>
      <c r="L15" s="496" t="s">
        <v>39</v>
      </c>
      <c r="M15" s="497" t="s">
        <v>36</v>
      </c>
      <c r="N15" s="497"/>
      <c r="O15" s="497" t="s">
        <v>320</v>
      </c>
      <c r="P15" s="497"/>
      <c r="Q15" s="497" t="s">
        <v>319</v>
      </c>
      <c r="R15" s="497"/>
      <c r="S15" s="497"/>
      <c r="T15" s="497"/>
      <c r="U15" s="497" t="s">
        <v>321</v>
      </c>
      <c r="V15" s="497"/>
      <c r="W15" s="497" t="s">
        <v>322</v>
      </c>
      <c r="X15" s="497"/>
      <c r="Y15" s="497" t="s">
        <v>323</v>
      </c>
      <c r="Z15" s="497"/>
      <c r="AA15" s="497" t="s">
        <v>324</v>
      </c>
      <c r="AB15" s="497"/>
      <c r="AC15" s="507" t="s">
        <v>435</v>
      </c>
      <c r="AD15" s="508"/>
      <c r="AE15" s="509"/>
      <c r="AF15" s="497" t="s">
        <v>166</v>
      </c>
      <c r="AG15" s="497"/>
      <c r="AH15" s="497" t="s">
        <v>325</v>
      </c>
      <c r="AI15" s="497"/>
      <c r="AJ15" s="497" t="s">
        <v>326</v>
      </c>
      <c r="AK15" s="497"/>
      <c r="AL15" s="497" t="s">
        <v>327</v>
      </c>
      <c r="AM15" s="497"/>
      <c r="AN15" s="497" t="s">
        <v>14</v>
      </c>
      <c r="AO15" s="497"/>
      <c r="AP15" s="497"/>
      <c r="AQ15" s="497"/>
      <c r="AR15" s="497"/>
      <c r="AS15" s="497"/>
      <c r="AT15" s="497" t="s">
        <v>189</v>
      </c>
      <c r="AU15" s="497"/>
      <c r="AV15" s="497"/>
      <c r="AW15" s="497"/>
      <c r="AX15" s="497" t="s">
        <v>334</v>
      </c>
      <c r="AY15" s="497"/>
      <c r="AZ15" s="497"/>
      <c r="BA15" s="497"/>
      <c r="BB15" s="497" t="s">
        <v>376</v>
      </c>
      <c r="BC15" s="497"/>
      <c r="BD15" s="497"/>
      <c r="BE15" s="497"/>
      <c r="BF15" s="497" t="s">
        <v>391</v>
      </c>
      <c r="BG15" s="497"/>
      <c r="BH15" s="497"/>
      <c r="BI15" s="507" t="s">
        <v>406</v>
      </c>
      <c r="BJ15" s="508"/>
      <c r="BK15" s="508"/>
      <c r="BL15" s="508"/>
      <c r="BM15" s="509"/>
      <c r="BN15" s="497" t="s">
        <v>317</v>
      </c>
      <c r="BO15" s="497"/>
      <c r="BP15" s="497"/>
      <c r="BQ15" s="497"/>
      <c r="BR15" s="497"/>
      <c r="BS15" s="497"/>
      <c r="BT15" s="497"/>
      <c r="BU15" s="497" t="s">
        <v>49</v>
      </c>
      <c r="BV15" s="497"/>
      <c r="BW15" s="498" t="s">
        <v>331</v>
      </c>
      <c r="BX15" s="505" t="s">
        <v>59</v>
      </c>
      <c r="BY15" s="505"/>
    </row>
    <row r="16" spans="1:77" s="279" customFormat="1" ht="54.75" customHeight="1" x14ac:dyDescent="0.2">
      <c r="A16" s="496"/>
      <c r="B16" s="497"/>
      <c r="C16" s="497"/>
      <c r="D16" s="497"/>
      <c r="E16" s="497"/>
      <c r="F16" s="496"/>
      <c r="G16" s="496"/>
      <c r="H16" s="497"/>
      <c r="I16" s="497"/>
      <c r="J16" s="496"/>
      <c r="K16" s="496"/>
      <c r="L16" s="496"/>
      <c r="M16" s="497"/>
      <c r="N16" s="497"/>
      <c r="O16" s="497"/>
      <c r="P16" s="497"/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  <c r="AB16" s="497"/>
      <c r="AC16" s="510"/>
      <c r="AD16" s="511"/>
      <c r="AE16" s="512"/>
      <c r="AF16" s="497"/>
      <c r="AG16" s="497"/>
      <c r="AH16" s="497"/>
      <c r="AI16" s="497"/>
      <c r="AJ16" s="497"/>
      <c r="AK16" s="497"/>
      <c r="AL16" s="497"/>
      <c r="AM16" s="497"/>
      <c r="AN16" s="497"/>
      <c r="AO16" s="497"/>
      <c r="AP16" s="497"/>
      <c r="AQ16" s="497"/>
      <c r="AR16" s="497"/>
      <c r="AS16" s="497"/>
      <c r="AT16" s="497"/>
      <c r="AU16" s="497"/>
      <c r="AV16" s="497"/>
      <c r="AW16" s="497"/>
      <c r="AX16" s="497"/>
      <c r="AY16" s="497"/>
      <c r="AZ16" s="497"/>
      <c r="BA16" s="497"/>
      <c r="BB16" s="497"/>
      <c r="BC16" s="497"/>
      <c r="BD16" s="497"/>
      <c r="BE16" s="497"/>
      <c r="BF16" s="497"/>
      <c r="BG16" s="497"/>
      <c r="BH16" s="497"/>
      <c r="BI16" s="510"/>
      <c r="BJ16" s="511"/>
      <c r="BK16" s="511"/>
      <c r="BL16" s="511"/>
      <c r="BM16" s="512"/>
      <c r="BN16" s="497"/>
      <c r="BO16" s="497"/>
      <c r="BP16" s="497"/>
      <c r="BQ16" s="497"/>
      <c r="BR16" s="497"/>
      <c r="BS16" s="497"/>
      <c r="BT16" s="497"/>
      <c r="BU16" s="497"/>
      <c r="BV16" s="497"/>
      <c r="BW16" s="499"/>
      <c r="BX16" s="505"/>
      <c r="BY16" s="505"/>
    </row>
    <row r="17" spans="1:77" s="279" customFormat="1" ht="42.75" customHeight="1" x14ac:dyDescent="0.2">
      <c r="A17" s="496"/>
      <c r="B17" s="497" t="s">
        <v>13</v>
      </c>
      <c r="C17" s="497" t="s">
        <v>41</v>
      </c>
      <c r="D17" s="497"/>
      <c r="E17" s="497"/>
      <c r="F17" s="496"/>
      <c r="G17" s="496"/>
      <c r="H17" s="496" t="s">
        <v>32</v>
      </c>
      <c r="I17" s="496" t="s">
        <v>33</v>
      </c>
      <c r="J17" s="496"/>
      <c r="K17" s="496"/>
      <c r="L17" s="496"/>
      <c r="M17" s="496" t="s">
        <v>37</v>
      </c>
      <c r="N17" s="496" t="s">
        <v>38</v>
      </c>
      <c r="O17" s="502">
        <f>'Исходные данные'!B10</f>
        <v>7.9878542510121457</v>
      </c>
      <c r="P17" s="503"/>
      <c r="Q17" s="497" t="s">
        <v>37</v>
      </c>
      <c r="R17" s="497"/>
      <c r="S17" s="497" t="s">
        <v>38</v>
      </c>
      <c r="T17" s="497"/>
      <c r="U17" s="496" t="s">
        <v>17</v>
      </c>
      <c r="V17" s="496" t="s">
        <v>18</v>
      </c>
      <c r="W17" s="504"/>
      <c r="X17" s="504"/>
      <c r="Y17" s="303">
        <v>0.1</v>
      </c>
      <c r="Z17" s="303">
        <v>0.05</v>
      </c>
      <c r="AA17" s="519"/>
      <c r="AB17" s="519"/>
      <c r="AC17" s="498" t="s">
        <v>19</v>
      </c>
      <c r="AD17" s="498" t="s">
        <v>17</v>
      </c>
      <c r="AE17" s="498" t="s">
        <v>18</v>
      </c>
      <c r="AF17" s="520">
        <f ca="1">(((((AD43/O43)*'Исходные данные'!B6)/29.25*(52/12)))/((AD43/O43)*'Исходные данные'!B6))</f>
        <v>0.14814814814814814</v>
      </c>
      <c r="AG17" s="520"/>
      <c r="AH17" s="496" t="s">
        <v>17</v>
      </c>
      <c r="AI17" s="496" t="s">
        <v>18</v>
      </c>
      <c r="AJ17" s="519">
        <v>0.307</v>
      </c>
      <c r="AK17" s="519"/>
      <c r="AL17" s="496" t="s">
        <v>17</v>
      </c>
      <c r="AM17" s="496" t="s">
        <v>18</v>
      </c>
      <c r="AN17" s="513" t="s">
        <v>333</v>
      </c>
      <c r="AO17" s="496" t="s">
        <v>43</v>
      </c>
      <c r="AP17" s="506" t="s">
        <v>50</v>
      </c>
      <c r="AQ17" s="506" t="s">
        <v>44</v>
      </c>
      <c r="AR17" s="506" t="s">
        <v>328</v>
      </c>
      <c r="AS17" s="506" t="s">
        <v>329</v>
      </c>
      <c r="AT17" s="513" t="s">
        <v>217</v>
      </c>
      <c r="AU17" s="506" t="s">
        <v>190</v>
      </c>
      <c r="AV17" s="506" t="s">
        <v>330</v>
      </c>
      <c r="AW17" s="506" t="s">
        <v>329</v>
      </c>
      <c r="AX17" s="513" t="s">
        <v>217</v>
      </c>
      <c r="AY17" s="506" t="s">
        <v>190</v>
      </c>
      <c r="AZ17" s="506" t="s">
        <v>330</v>
      </c>
      <c r="BA17" s="506" t="s">
        <v>329</v>
      </c>
      <c r="BB17" s="513" t="s">
        <v>377</v>
      </c>
      <c r="BC17" s="506" t="s">
        <v>190</v>
      </c>
      <c r="BD17" s="506" t="s">
        <v>330</v>
      </c>
      <c r="BE17" s="506" t="s">
        <v>329</v>
      </c>
      <c r="BF17" s="506" t="s">
        <v>392</v>
      </c>
      <c r="BG17" s="506" t="s">
        <v>393</v>
      </c>
      <c r="BH17" s="506" t="s">
        <v>329</v>
      </c>
      <c r="BI17" s="505" t="s">
        <v>46</v>
      </c>
      <c r="BJ17" s="505"/>
      <c r="BK17" s="505" t="s">
        <v>47</v>
      </c>
      <c r="BL17" s="505"/>
      <c r="BM17" s="514" t="s">
        <v>408</v>
      </c>
      <c r="BN17" s="505" t="s">
        <v>312</v>
      </c>
      <c r="BO17" s="505"/>
      <c r="BP17" s="505" t="s">
        <v>313</v>
      </c>
      <c r="BQ17" s="505"/>
      <c r="BR17" s="505" t="s">
        <v>314</v>
      </c>
      <c r="BS17" s="505"/>
      <c r="BT17" s="496" t="s">
        <v>315</v>
      </c>
      <c r="BU17" s="506" t="s">
        <v>316</v>
      </c>
      <c r="BV17" s="506" t="s">
        <v>332</v>
      </c>
      <c r="BW17" s="499"/>
      <c r="BX17" s="506" t="s">
        <v>51</v>
      </c>
      <c r="BY17" s="506" t="s">
        <v>15</v>
      </c>
    </row>
    <row r="18" spans="1:77" s="279" customFormat="1" ht="48" customHeight="1" x14ac:dyDescent="0.2">
      <c r="A18" s="496"/>
      <c r="B18" s="497"/>
      <c r="C18" s="496" t="s">
        <v>42</v>
      </c>
      <c r="D18" s="496" t="s">
        <v>54</v>
      </c>
      <c r="E18" s="496" t="s">
        <v>53</v>
      </c>
      <c r="F18" s="496"/>
      <c r="G18" s="496"/>
      <c r="H18" s="496"/>
      <c r="I18" s="496"/>
      <c r="J18" s="496"/>
      <c r="K18" s="496"/>
      <c r="L18" s="496"/>
      <c r="M18" s="496"/>
      <c r="N18" s="496"/>
      <c r="O18" s="496" t="s">
        <v>37</v>
      </c>
      <c r="P18" s="496" t="s">
        <v>38</v>
      </c>
      <c r="Q18" s="501" t="s">
        <v>20</v>
      </c>
      <c r="R18" s="496" t="s">
        <v>21</v>
      </c>
      <c r="S18" s="501" t="s">
        <v>20</v>
      </c>
      <c r="T18" s="496" t="s">
        <v>21</v>
      </c>
      <c r="U18" s="496"/>
      <c r="V18" s="496"/>
      <c r="W18" s="496" t="s">
        <v>17</v>
      </c>
      <c r="X18" s="496" t="s">
        <v>18</v>
      </c>
      <c r="Y18" s="496" t="s">
        <v>175</v>
      </c>
      <c r="Z18" s="496" t="s">
        <v>176</v>
      </c>
      <c r="AA18" s="496" t="s">
        <v>17</v>
      </c>
      <c r="AB18" s="496" t="s">
        <v>18</v>
      </c>
      <c r="AC18" s="499"/>
      <c r="AD18" s="499"/>
      <c r="AE18" s="499"/>
      <c r="AF18" s="496" t="s">
        <v>17</v>
      </c>
      <c r="AG18" s="496" t="s">
        <v>18</v>
      </c>
      <c r="AH18" s="496"/>
      <c r="AI18" s="496"/>
      <c r="AJ18" s="496" t="s">
        <v>17</v>
      </c>
      <c r="AK18" s="496" t="s">
        <v>18</v>
      </c>
      <c r="AL18" s="496"/>
      <c r="AM18" s="496"/>
      <c r="AN18" s="513"/>
      <c r="AO18" s="496"/>
      <c r="AP18" s="506"/>
      <c r="AQ18" s="506"/>
      <c r="AR18" s="506"/>
      <c r="AS18" s="506"/>
      <c r="AT18" s="513"/>
      <c r="AU18" s="506"/>
      <c r="AV18" s="506"/>
      <c r="AW18" s="506"/>
      <c r="AX18" s="513"/>
      <c r="AY18" s="506"/>
      <c r="AZ18" s="506"/>
      <c r="BA18" s="506"/>
      <c r="BB18" s="513"/>
      <c r="BC18" s="506"/>
      <c r="BD18" s="506"/>
      <c r="BE18" s="506"/>
      <c r="BF18" s="506"/>
      <c r="BG18" s="506"/>
      <c r="BH18" s="506"/>
      <c r="BI18" s="517" t="s">
        <v>556</v>
      </c>
      <c r="BJ18" s="517" t="s">
        <v>318</v>
      </c>
      <c r="BK18" s="517" t="s">
        <v>556</v>
      </c>
      <c r="BL18" s="517" t="s">
        <v>318</v>
      </c>
      <c r="BM18" s="515"/>
      <c r="BN18" s="506" t="s">
        <v>311</v>
      </c>
      <c r="BO18" s="506" t="s">
        <v>318</v>
      </c>
      <c r="BP18" s="506" t="s">
        <v>311</v>
      </c>
      <c r="BQ18" s="506" t="s">
        <v>318</v>
      </c>
      <c r="BR18" s="506" t="s">
        <v>311</v>
      </c>
      <c r="BS18" s="506" t="s">
        <v>318</v>
      </c>
      <c r="BT18" s="496"/>
      <c r="BU18" s="506"/>
      <c r="BV18" s="506"/>
      <c r="BW18" s="499"/>
      <c r="BX18" s="506"/>
      <c r="BY18" s="506"/>
    </row>
    <row r="19" spans="1:77" s="279" customFormat="1" ht="76.5" customHeight="1" x14ac:dyDescent="0.2">
      <c r="A19" s="496"/>
      <c r="B19" s="497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501"/>
      <c r="R19" s="496"/>
      <c r="S19" s="501"/>
      <c r="T19" s="496"/>
      <c r="U19" s="496"/>
      <c r="V19" s="496"/>
      <c r="W19" s="496"/>
      <c r="X19" s="496"/>
      <c r="Y19" s="496"/>
      <c r="Z19" s="496"/>
      <c r="AA19" s="496"/>
      <c r="AB19" s="496"/>
      <c r="AC19" s="500"/>
      <c r="AD19" s="500"/>
      <c r="AE19" s="500"/>
      <c r="AF19" s="496"/>
      <c r="AG19" s="496"/>
      <c r="AH19" s="496"/>
      <c r="AI19" s="496"/>
      <c r="AJ19" s="496"/>
      <c r="AK19" s="496"/>
      <c r="AL19" s="496"/>
      <c r="AM19" s="496"/>
      <c r="AN19" s="513"/>
      <c r="AO19" s="496"/>
      <c r="AP19" s="506"/>
      <c r="AQ19" s="506"/>
      <c r="AR19" s="506"/>
      <c r="AS19" s="506"/>
      <c r="AT19" s="513"/>
      <c r="AU19" s="506"/>
      <c r="AV19" s="506"/>
      <c r="AW19" s="506"/>
      <c r="AX19" s="513"/>
      <c r="AY19" s="506"/>
      <c r="AZ19" s="506"/>
      <c r="BA19" s="506"/>
      <c r="BB19" s="513"/>
      <c r="BC19" s="506"/>
      <c r="BD19" s="506"/>
      <c r="BE19" s="506"/>
      <c r="BF19" s="506"/>
      <c r="BG19" s="506"/>
      <c r="BH19" s="506"/>
      <c r="BI19" s="518"/>
      <c r="BJ19" s="518"/>
      <c r="BK19" s="518"/>
      <c r="BL19" s="518"/>
      <c r="BM19" s="516"/>
      <c r="BN19" s="506"/>
      <c r="BO19" s="506"/>
      <c r="BP19" s="506"/>
      <c r="BQ19" s="506"/>
      <c r="BR19" s="506"/>
      <c r="BS19" s="506"/>
      <c r="BT19" s="496"/>
      <c r="BU19" s="506"/>
      <c r="BV19" s="506"/>
      <c r="BW19" s="500"/>
      <c r="BX19" s="506"/>
      <c r="BY19" s="506"/>
    </row>
    <row r="20" spans="1:77" x14ac:dyDescent="0.2">
      <c r="A20" s="304">
        <f>COLUMN(A20)</f>
        <v>1</v>
      </c>
      <c r="B20" s="526">
        <f>COLUMN(B20)</f>
        <v>2</v>
      </c>
      <c r="C20" s="526"/>
      <c r="D20" s="526"/>
      <c r="E20" s="526"/>
      <c r="F20" s="304">
        <v>3</v>
      </c>
      <c r="G20" s="304">
        <f t="shared" ref="G20:BU20" si="0">F20+1</f>
        <v>4</v>
      </c>
      <c r="H20" s="304">
        <f t="shared" si="0"/>
        <v>5</v>
      </c>
      <c r="I20" s="304">
        <f t="shared" si="0"/>
        <v>6</v>
      </c>
      <c r="J20" s="304">
        <f t="shared" si="0"/>
        <v>7</v>
      </c>
      <c r="K20" s="304">
        <f t="shared" si="0"/>
        <v>8</v>
      </c>
      <c r="L20" s="304">
        <f t="shared" si="0"/>
        <v>9</v>
      </c>
      <c r="M20" s="304">
        <f t="shared" si="0"/>
        <v>10</v>
      </c>
      <c r="N20" s="304">
        <f t="shared" si="0"/>
        <v>11</v>
      </c>
      <c r="O20" s="304">
        <f t="shared" si="0"/>
        <v>12</v>
      </c>
      <c r="P20" s="304">
        <f t="shared" si="0"/>
        <v>13</v>
      </c>
      <c r="Q20" s="304">
        <f t="shared" si="0"/>
        <v>14</v>
      </c>
      <c r="R20" s="304">
        <f t="shared" si="0"/>
        <v>15</v>
      </c>
      <c r="S20" s="304">
        <f t="shared" si="0"/>
        <v>16</v>
      </c>
      <c r="T20" s="304">
        <f t="shared" si="0"/>
        <v>17</v>
      </c>
      <c r="U20" s="304">
        <f t="shared" si="0"/>
        <v>18</v>
      </c>
      <c r="V20" s="304">
        <f t="shared" si="0"/>
        <v>19</v>
      </c>
      <c r="W20" s="304">
        <f t="shared" si="0"/>
        <v>20</v>
      </c>
      <c r="X20" s="304">
        <f t="shared" si="0"/>
        <v>21</v>
      </c>
      <c r="Y20" s="304">
        <f t="shared" si="0"/>
        <v>22</v>
      </c>
      <c r="Z20" s="304">
        <f t="shared" si="0"/>
        <v>23</v>
      </c>
      <c r="AA20" s="304">
        <f t="shared" si="0"/>
        <v>24</v>
      </c>
      <c r="AB20" s="304">
        <f t="shared" si="0"/>
        <v>25</v>
      </c>
      <c r="AC20" s="304">
        <f t="shared" si="0"/>
        <v>26</v>
      </c>
      <c r="AD20" s="304">
        <f t="shared" si="0"/>
        <v>27</v>
      </c>
      <c r="AE20" s="304">
        <f t="shared" si="0"/>
        <v>28</v>
      </c>
      <c r="AF20" s="304">
        <f t="shared" si="0"/>
        <v>29</v>
      </c>
      <c r="AG20" s="304">
        <f t="shared" si="0"/>
        <v>30</v>
      </c>
      <c r="AH20" s="304">
        <f t="shared" si="0"/>
        <v>31</v>
      </c>
      <c r="AI20" s="304">
        <f t="shared" si="0"/>
        <v>32</v>
      </c>
      <c r="AJ20" s="304">
        <f t="shared" si="0"/>
        <v>33</v>
      </c>
      <c r="AK20" s="304">
        <f t="shared" si="0"/>
        <v>34</v>
      </c>
      <c r="AL20" s="304">
        <f t="shared" si="0"/>
        <v>35</v>
      </c>
      <c r="AM20" s="304">
        <f t="shared" si="0"/>
        <v>36</v>
      </c>
      <c r="AN20" s="304">
        <f t="shared" si="0"/>
        <v>37</v>
      </c>
      <c r="AO20" s="304">
        <f t="shared" si="0"/>
        <v>38</v>
      </c>
      <c r="AP20" s="304">
        <f t="shared" si="0"/>
        <v>39</v>
      </c>
      <c r="AQ20" s="304">
        <f t="shared" si="0"/>
        <v>40</v>
      </c>
      <c r="AR20" s="304">
        <f t="shared" si="0"/>
        <v>41</v>
      </c>
      <c r="AS20" s="304">
        <f t="shared" si="0"/>
        <v>42</v>
      </c>
      <c r="AT20" s="304">
        <f t="shared" si="0"/>
        <v>43</v>
      </c>
      <c r="AU20" s="304">
        <f t="shared" si="0"/>
        <v>44</v>
      </c>
      <c r="AV20" s="304">
        <f t="shared" si="0"/>
        <v>45</v>
      </c>
      <c r="AW20" s="304">
        <f t="shared" si="0"/>
        <v>46</v>
      </c>
      <c r="AX20" s="304">
        <f t="shared" si="0"/>
        <v>47</v>
      </c>
      <c r="AY20" s="304">
        <f t="shared" si="0"/>
        <v>48</v>
      </c>
      <c r="AZ20" s="304">
        <f t="shared" si="0"/>
        <v>49</v>
      </c>
      <c r="BA20" s="304">
        <f t="shared" si="0"/>
        <v>50</v>
      </c>
      <c r="BB20" s="304">
        <f t="shared" si="0"/>
        <v>51</v>
      </c>
      <c r="BC20" s="304">
        <f t="shared" si="0"/>
        <v>52</v>
      </c>
      <c r="BD20" s="304">
        <f t="shared" si="0"/>
        <v>53</v>
      </c>
      <c r="BE20" s="304">
        <f t="shared" si="0"/>
        <v>54</v>
      </c>
      <c r="BF20" s="304">
        <f t="shared" si="0"/>
        <v>55</v>
      </c>
      <c r="BG20" s="304">
        <f t="shared" si="0"/>
        <v>56</v>
      </c>
      <c r="BH20" s="304">
        <f t="shared" si="0"/>
        <v>57</v>
      </c>
      <c r="BI20" s="304">
        <f t="shared" si="0"/>
        <v>58</v>
      </c>
      <c r="BJ20" s="304">
        <f t="shared" si="0"/>
        <v>59</v>
      </c>
      <c r="BK20" s="304">
        <f t="shared" si="0"/>
        <v>60</v>
      </c>
      <c r="BL20" s="304">
        <f t="shared" si="0"/>
        <v>61</v>
      </c>
      <c r="BM20" s="304">
        <f t="shared" si="0"/>
        <v>62</v>
      </c>
      <c r="BN20" s="304">
        <f t="shared" si="0"/>
        <v>63</v>
      </c>
      <c r="BO20" s="304">
        <f t="shared" si="0"/>
        <v>64</v>
      </c>
      <c r="BP20" s="304">
        <f t="shared" si="0"/>
        <v>65</v>
      </c>
      <c r="BQ20" s="304">
        <f t="shared" si="0"/>
        <v>66</v>
      </c>
      <c r="BR20" s="304">
        <f t="shared" si="0"/>
        <v>67</v>
      </c>
      <c r="BS20" s="304">
        <f t="shared" si="0"/>
        <v>68</v>
      </c>
      <c r="BT20" s="304">
        <f t="shared" si="0"/>
        <v>69</v>
      </c>
      <c r="BU20" s="304">
        <f t="shared" si="0"/>
        <v>70</v>
      </c>
      <c r="BV20" s="304">
        <f>BU20+1</f>
        <v>71</v>
      </c>
      <c r="BW20" s="304">
        <f>BV20+1</f>
        <v>72</v>
      </c>
      <c r="BX20" s="304">
        <f>BW20+1</f>
        <v>73</v>
      </c>
      <c r="BY20" s="304">
        <f>BX20+1</f>
        <v>74</v>
      </c>
    </row>
    <row r="21" spans="1:77" s="278" customFormat="1" ht="12.75" customHeight="1" x14ac:dyDescent="0.2">
      <c r="A21" s="305"/>
      <c r="B21" s="525" t="s">
        <v>57</v>
      </c>
      <c r="C21" s="525"/>
      <c r="D21" s="525"/>
      <c r="E21" s="525"/>
      <c r="F21" s="306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8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9"/>
      <c r="AQ21" s="310"/>
      <c r="AR21" s="310"/>
      <c r="AS21" s="309"/>
      <c r="AT21" s="307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  <c r="BS21" s="309"/>
      <c r="BT21" s="309"/>
      <c r="BU21" s="309"/>
      <c r="BV21" s="309"/>
      <c r="BW21" s="309"/>
      <c r="BX21" s="309"/>
      <c r="BY21" s="307"/>
    </row>
    <row r="22" spans="1:77" x14ac:dyDescent="0.2">
      <c r="A22" s="304">
        <v>1</v>
      </c>
      <c r="B22" s="311" t="s">
        <v>420</v>
      </c>
      <c r="C22" s="312">
        <v>1</v>
      </c>
      <c r="D22" s="313" t="s">
        <v>186</v>
      </c>
      <c r="E22" s="314" t="s">
        <v>115</v>
      </c>
      <c r="F22" s="315" t="s">
        <v>108</v>
      </c>
      <c r="G22" s="312">
        <f>D6</f>
        <v>100</v>
      </c>
      <c r="H22" s="316">
        <v>40436</v>
      </c>
      <c r="I22" s="316">
        <v>40451</v>
      </c>
      <c r="J22" s="317">
        <f>I22-H22</f>
        <v>15</v>
      </c>
      <c r="K22" s="318">
        <v>10.08</v>
      </c>
      <c r="L22" s="319">
        <f t="shared" ref="L22:L32" si="1">G22/K22</f>
        <v>9.9206349206349209</v>
      </c>
      <c r="M22" s="320">
        <f>L22/J22</f>
        <v>0.66137566137566139</v>
      </c>
      <c r="N22" s="320"/>
      <c r="O22" s="321">
        <f>IF(M22=0,0,L22*$O$17)</f>
        <v>79.2445858235332</v>
      </c>
      <c r="P22" s="321">
        <f t="shared" ref="P22:P27" si="2">IF(N22=0,0,L22*$O$17)</f>
        <v>0</v>
      </c>
      <c r="Q22" s="320">
        <v>6</v>
      </c>
      <c r="R22" s="317">
        <f ca="1">IF(AND(O22&gt;0,Q22&gt;0),SUMIF('Исходные данные'!$C$13:H24,Q22,'Исходные данные'!$C$25:$H$25),IF(O22=0,0,IF(Q22=0,"РОТ")))</f>
        <v>254.86686264571719</v>
      </c>
      <c r="S22" s="320"/>
      <c r="T22" s="319"/>
      <c r="U22" s="322">
        <f ca="1">O22*R22*'Исходные данные'!$C$37%</f>
        <v>0</v>
      </c>
      <c r="V22" s="322">
        <f>P22*T22*'Исходные данные'!$C$38%</f>
        <v>0</v>
      </c>
      <c r="W22" s="322">
        <f ca="1">O22*R22*$W$17</f>
        <v>0</v>
      </c>
      <c r="X22" s="323">
        <f>P22*T22*$W$17</f>
        <v>0</v>
      </c>
      <c r="Y22" s="322">
        <f ca="1">(O22*R22+U22+W22)*$Y$17</f>
        <v>2019.6818970503184</v>
      </c>
      <c r="Z22" s="323">
        <f>(P22*T22+V22+X22)*$Z$17</f>
        <v>0</v>
      </c>
      <c r="AA22" s="322">
        <f ca="1">(O22*R22+U22)*$AA$17</f>
        <v>0</v>
      </c>
      <c r="AB22" s="323">
        <f>(P22*T22+V22)*$AA$17</f>
        <v>0</v>
      </c>
      <c r="AC22" s="324">
        <v>2.8</v>
      </c>
      <c r="AD22" s="322">
        <f ca="1">(O22*R22+U22+W22+Y22+AA22)*AC22</f>
        <v>62206.202429149802</v>
      </c>
      <c r="AE22" s="322">
        <f>(P22*T22+V22+X22+Z22+AB22)*AC22</f>
        <v>0</v>
      </c>
      <c r="AF22" s="321">
        <f t="shared" ref="AF22:AF32" ca="1" si="3">AD22*$AF$17</f>
        <v>9215.7336932073777</v>
      </c>
      <c r="AG22" s="325"/>
      <c r="AH22" s="321">
        <f t="shared" ref="AH22:AH32" ca="1" si="4">AD22+AF22</f>
        <v>71421.936122357176</v>
      </c>
      <c r="AI22" s="321">
        <f t="shared" ref="AI22:AI32" si="5">AE22+AG22</f>
        <v>0</v>
      </c>
      <c r="AJ22" s="321">
        <f t="shared" ref="AJ22:AJ32" ca="1" si="6">AH22*$AJ$17</f>
        <v>21926.534389563654</v>
      </c>
      <c r="AK22" s="326">
        <f t="shared" ref="AK22:AK32" si="7">AI22*$AJ$17</f>
        <v>0</v>
      </c>
      <c r="AL22" s="321">
        <f t="shared" ref="AL22:AL32" ca="1" si="8">AH22+AJ22</f>
        <v>93348.470511920837</v>
      </c>
      <c r="AM22" s="326">
        <f t="shared" ref="AM22:AM32" si="9">AK22+AI22</f>
        <v>0</v>
      </c>
      <c r="AN22" s="318">
        <v>9.52</v>
      </c>
      <c r="AO22" s="319">
        <f>'Исходные данные'!$C$53</f>
        <v>0.84</v>
      </c>
      <c r="AP22" s="327">
        <f>(G22*AN22)*AO22/100</f>
        <v>7.9967999999999995</v>
      </c>
      <c r="AQ22" s="319" t="s">
        <v>156</v>
      </c>
      <c r="AR22" s="317">
        <f>'Исходные данные'!$E$77</f>
        <v>9695.221463414633</v>
      </c>
      <c r="AS22" s="328">
        <f>AP22*AR22</f>
        <v>77530.746998634131</v>
      </c>
      <c r="AT22" s="31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>
        <f>аморт!$G$11</f>
        <v>181.91312849162011</v>
      </c>
      <c r="BJ22" s="328">
        <f>BI22*L22*$O$17</f>
        <v>14415.630523181613</v>
      </c>
      <c r="BK22" s="328">
        <f>аморт!G72</f>
        <v>16.941761627906978</v>
      </c>
      <c r="BL22" s="328">
        <f>BK22*L22*$O$17</f>
        <v>1342.542883324516</v>
      </c>
      <c r="BM22" s="328"/>
      <c r="BN22" s="329">
        <f>'Исходные данные'!$B$82</f>
        <v>99.992314269119987</v>
      </c>
      <c r="BO22" s="328">
        <f>BN22*BY22</f>
        <v>14879.808670999999</v>
      </c>
      <c r="BP22" s="329">
        <f>'Исходные данные'!$B$87</f>
        <v>8.0425991068799991</v>
      </c>
      <c r="BQ22" s="328">
        <f t="shared" ref="BQ22:BQ32" si="10">BP22*BY22</f>
        <v>1196.8153432857143</v>
      </c>
      <c r="BR22" s="329">
        <f>'Исходные данные'!$B$92</f>
        <v>11.043568922879997</v>
      </c>
      <c r="BS22" s="328">
        <f t="shared" ref="BS22:BS32" si="11">BR22*BY22</f>
        <v>1643.3882325714283</v>
      </c>
      <c r="BT22" s="328">
        <f>аморт!$C$72*10%/аморт!$F$72*L22*O17</f>
        <v>1074.0343066596126</v>
      </c>
      <c r="BU22" s="328">
        <f t="shared" ref="BU22:BU31" ca="1" si="12">AL22+AM22+AS22+AW22+BA22+BE22+BH22+BJ22+BL22+BM22+BO22+BQ22+BS22+BT22</f>
        <v>205431.43747057786</v>
      </c>
      <c r="BV22" s="328">
        <f t="shared" ref="BV22:BV32" ca="1" si="13">BU22/$D$6</f>
        <v>2054.3143747057784</v>
      </c>
      <c r="BW22" s="329">
        <f>(O22+P22)/$D$6</f>
        <v>0.79244585823533198</v>
      </c>
      <c r="BX22" s="329">
        <f>'Исходные данные'!$B$108</f>
        <v>15</v>
      </c>
      <c r="BY22" s="330">
        <f>BX22*L22</f>
        <v>148.80952380952382</v>
      </c>
    </row>
    <row r="23" spans="1:77" x14ac:dyDescent="0.2">
      <c r="A23" s="304">
        <f t="shared" ref="A23:A30" si="14">A22+1</f>
        <v>2</v>
      </c>
      <c r="B23" s="311" t="s">
        <v>428</v>
      </c>
      <c r="C23" s="312">
        <v>1</v>
      </c>
      <c r="D23" s="313" t="s">
        <v>186</v>
      </c>
      <c r="E23" s="314" t="s">
        <v>432</v>
      </c>
      <c r="F23" s="315" t="s">
        <v>108</v>
      </c>
      <c r="G23" s="312">
        <f>G22</f>
        <v>100</v>
      </c>
      <c r="H23" s="316">
        <v>40262</v>
      </c>
      <c r="I23" s="316">
        <v>40269</v>
      </c>
      <c r="J23" s="317">
        <f t="shared" ref="J23:J32" si="15">I23-H23</f>
        <v>7</v>
      </c>
      <c r="K23" s="318">
        <v>28.8</v>
      </c>
      <c r="L23" s="319">
        <f t="shared" si="1"/>
        <v>3.4722222222222223</v>
      </c>
      <c r="M23" s="320">
        <f t="shared" ref="M23:M27" si="16">L23/J23</f>
        <v>0.49603174603174605</v>
      </c>
      <c r="N23" s="320"/>
      <c r="O23" s="321">
        <f t="shared" ref="O23:O32" si="17">IF(M23=0,0,L23*$O$17)</f>
        <v>27.735605038236617</v>
      </c>
      <c r="P23" s="321">
        <f t="shared" si="2"/>
        <v>0</v>
      </c>
      <c r="Q23" s="320">
        <v>5</v>
      </c>
      <c r="R23" s="317">
        <f ca="1">IF(AND(O23&gt;0,Q23&gt;0),SUMIF('Исходные данные'!$C$13:H25,Q23,'Исходные данные'!$C$25:$H$25),IF(O23=0,0,IF(Q23=0,"РОТ")))</f>
        <v>219.30404460212878</v>
      </c>
      <c r="S23" s="320"/>
      <c r="T23" s="319"/>
      <c r="U23" s="322">
        <f ca="1">O23*R23*'Исходные данные'!$C$37%</f>
        <v>0</v>
      </c>
      <c r="V23" s="322">
        <f>P23*T23*'Исходные данные'!$C$38%</f>
        <v>0</v>
      </c>
      <c r="W23" s="322">
        <f t="shared" ref="W23:W32" ca="1" si="18">O23*R23*$W$17</f>
        <v>0</v>
      </c>
      <c r="X23" s="323">
        <f t="shared" ref="X23:X32" si="19">P23*T23*$W$17</f>
        <v>0</v>
      </c>
      <c r="Y23" s="322">
        <f t="shared" ref="Y23:Y32" ca="1" si="20">(O23*R23+U23+W23)*$Y$17</f>
        <v>608.25303643724715</v>
      </c>
      <c r="Z23" s="323">
        <f t="shared" ref="Z23:Z32" si="21">(P23*T23+V23+X23)*$Z$17</f>
        <v>0</v>
      </c>
      <c r="AA23" s="322">
        <f t="shared" ref="AA23:AA32" ca="1" si="22">(O23*R23+U23)*$AA$17</f>
        <v>0</v>
      </c>
      <c r="AB23" s="323">
        <f t="shared" ref="AB23:AB32" si="23">(P23*T23+V23)*$AA$17</f>
        <v>0</v>
      </c>
      <c r="AC23" s="324">
        <v>2.8</v>
      </c>
      <c r="AD23" s="322">
        <f t="shared" ref="AD23:AD32" ca="1" si="24">(O23*R23+U23+W23+Y23+AA23)*AC23</f>
        <v>18734.193522267207</v>
      </c>
      <c r="AE23" s="322">
        <f t="shared" ref="AE23:AE32" si="25">(P23*T23+V23+X23+Z23+AB23)*AC23</f>
        <v>0</v>
      </c>
      <c r="AF23" s="321">
        <f t="shared" ca="1" si="3"/>
        <v>2775.4360773729195</v>
      </c>
      <c r="AG23" s="325"/>
      <c r="AH23" s="321">
        <f t="shared" ca="1" si="4"/>
        <v>21509.629599640128</v>
      </c>
      <c r="AI23" s="321">
        <f t="shared" si="5"/>
        <v>0</v>
      </c>
      <c r="AJ23" s="321">
        <f t="shared" ca="1" si="6"/>
        <v>6603.4562870895188</v>
      </c>
      <c r="AK23" s="326">
        <f t="shared" si="7"/>
        <v>0</v>
      </c>
      <c r="AL23" s="321">
        <f t="shared" ca="1" si="8"/>
        <v>28113.085886729648</v>
      </c>
      <c r="AM23" s="326">
        <f t="shared" si="9"/>
        <v>0</v>
      </c>
      <c r="AN23" s="318">
        <v>9.52</v>
      </c>
      <c r="AO23" s="319">
        <f>'Исходные данные'!$C$53</f>
        <v>0.84</v>
      </c>
      <c r="AP23" s="327">
        <f>(G23*AN23)*AO23/100</f>
        <v>7.9967999999999995</v>
      </c>
      <c r="AQ23" s="319" t="s">
        <v>156</v>
      </c>
      <c r="AR23" s="317">
        <f>'Исходные данные'!$E$77</f>
        <v>9695.221463414633</v>
      </c>
      <c r="AS23" s="328">
        <f>AP23*AR23</f>
        <v>77530.746998634131</v>
      </c>
      <c r="AT23" s="31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>
        <f>аморт!$G$11</f>
        <v>181.91312849162011</v>
      </c>
      <c r="BJ23" s="328">
        <f t="shared" ref="BJ23:BJ27" si="26">BI23*L23*$O$17</f>
        <v>5045.4706831135636</v>
      </c>
      <c r="BK23" s="328">
        <f>аморт!G35</f>
        <v>631.57894736842104</v>
      </c>
      <c r="BL23" s="328">
        <f t="shared" ref="BL23:BL27" si="27">BK23*L23*$O$17</f>
        <v>17517.224234675756</v>
      </c>
      <c r="BM23" s="328"/>
      <c r="BN23" s="329">
        <f>'Исходные данные'!$B$82</f>
        <v>99.992314269119987</v>
      </c>
      <c r="BO23" s="328">
        <f t="shared" ref="BO23:BO32" si="28">BN23*BY23</f>
        <v>5207.9330348499998</v>
      </c>
      <c r="BP23" s="329">
        <f>'Исходные данные'!$B$87</f>
        <v>8.0425991068799991</v>
      </c>
      <c r="BQ23" s="328">
        <f t="shared" si="10"/>
        <v>418.88537014999997</v>
      </c>
      <c r="BR23" s="329">
        <f>'Исходные данные'!$B$92</f>
        <v>11.043568922879997</v>
      </c>
      <c r="BS23" s="328">
        <f t="shared" si="11"/>
        <v>575.18588139999986</v>
      </c>
      <c r="BT23" s="328">
        <f>аморт!$C$35*10%/аморт!$F$35*L23*O17</f>
        <v>8758.6121173378779</v>
      </c>
      <c r="BU23" s="328">
        <f t="shared" ca="1" si="12"/>
        <v>143167.14420689098</v>
      </c>
      <c r="BV23" s="328">
        <f t="shared" ca="1" si="13"/>
        <v>1431.6714420689098</v>
      </c>
      <c r="BW23" s="329">
        <f t="shared" ref="BW23:BW32" si="29">(O23+P23)/$D$6</f>
        <v>0.27735605038236616</v>
      </c>
      <c r="BX23" s="329">
        <f>'Исходные данные'!$B$108</f>
        <v>15</v>
      </c>
      <c r="BY23" s="330">
        <f>BX23*L23</f>
        <v>52.083333333333336</v>
      </c>
    </row>
    <row r="24" spans="1:77" x14ac:dyDescent="0.2">
      <c r="A24" s="304">
        <f t="shared" si="14"/>
        <v>3</v>
      </c>
      <c r="B24" s="311" t="s">
        <v>429</v>
      </c>
      <c r="C24" s="312">
        <v>1</v>
      </c>
      <c r="D24" s="313" t="s">
        <v>186</v>
      </c>
      <c r="E24" s="314" t="s">
        <v>425</v>
      </c>
      <c r="F24" s="315" t="s">
        <v>108</v>
      </c>
      <c r="G24" s="312">
        <f>D6</f>
        <v>100</v>
      </c>
      <c r="H24" s="316">
        <v>40308</v>
      </c>
      <c r="I24" s="316">
        <v>40313</v>
      </c>
      <c r="J24" s="317">
        <f t="shared" si="15"/>
        <v>5</v>
      </c>
      <c r="K24" s="318">
        <v>32</v>
      </c>
      <c r="L24" s="319">
        <f t="shared" si="1"/>
        <v>3.125</v>
      </c>
      <c r="M24" s="320">
        <f t="shared" si="16"/>
        <v>0.625</v>
      </c>
      <c r="N24" s="320"/>
      <c r="O24" s="321">
        <f t="shared" si="17"/>
        <v>24.962044534412957</v>
      </c>
      <c r="P24" s="321">
        <f t="shared" si="2"/>
        <v>0</v>
      </c>
      <c r="Q24" s="320">
        <v>6</v>
      </c>
      <c r="R24" s="317">
        <f ca="1">IF(AND(O24&gt;0,Q24&gt;0),SUMIF('Исходные данные'!$C$13:H26,Q24,'Исходные данные'!$C$25:$H$25),IF(O24=0,0,IF(Q24=0,"РОТ")))</f>
        <v>254.86686264571719</v>
      </c>
      <c r="S24" s="320"/>
      <c r="T24" s="319"/>
      <c r="U24" s="322">
        <f ca="1">O24*R24*'Исходные данные'!$C$37%</f>
        <v>0</v>
      </c>
      <c r="V24" s="322">
        <f>P24*T24*'Исходные данные'!$C$38%</f>
        <v>0</v>
      </c>
      <c r="W24" s="322">
        <f t="shared" ca="1" si="18"/>
        <v>0</v>
      </c>
      <c r="X24" s="323">
        <f t="shared" si="19"/>
        <v>0</v>
      </c>
      <c r="Y24" s="322">
        <f t="shared" ca="1" si="20"/>
        <v>636.19979757085036</v>
      </c>
      <c r="Z24" s="323">
        <f t="shared" si="21"/>
        <v>0</v>
      </c>
      <c r="AA24" s="322">
        <f t="shared" ca="1" si="22"/>
        <v>0</v>
      </c>
      <c r="AB24" s="323">
        <f t="shared" si="23"/>
        <v>0</v>
      </c>
      <c r="AC24" s="324">
        <v>2.8</v>
      </c>
      <c r="AD24" s="322">
        <f t="shared" ca="1" si="24"/>
        <v>19594.953765182188</v>
      </c>
      <c r="AE24" s="322">
        <f t="shared" si="25"/>
        <v>0</v>
      </c>
      <c r="AF24" s="321">
        <f t="shared" ca="1" si="3"/>
        <v>2902.9561133603243</v>
      </c>
      <c r="AG24" s="325"/>
      <c r="AH24" s="321">
        <f t="shared" ca="1" si="4"/>
        <v>22497.909878542512</v>
      </c>
      <c r="AI24" s="321">
        <f t="shared" si="5"/>
        <v>0</v>
      </c>
      <c r="AJ24" s="321">
        <f t="shared" ca="1" si="6"/>
        <v>6906.8583327125507</v>
      </c>
      <c r="AK24" s="326">
        <f t="shared" si="7"/>
        <v>0</v>
      </c>
      <c r="AL24" s="321">
        <f t="shared" ca="1" si="8"/>
        <v>29404.768211255061</v>
      </c>
      <c r="AM24" s="326">
        <f t="shared" si="9"/>
        <v>0</v>
      </c>
      <c r="AN24" s="318">
        <v>9.52</v>
      </c>
      <c r="AO24" s="319">
        <f>'Исходные данные'!$C$53</f>
        <v>0.84</v>
      </c>
      <c r="AP24" s="327">
        <f>(G24*AN24)*AO24/100</f>
        <v>7.9967999999999995</v>
      </c>
      <c r="AQ24" s="319" t="s">
        <v>155</v>
      </c>
      <c r="AR24" s="317">
        <f>'Исходные данные'!$E$78</f>
        <v>9477.4514285714286</v>
      </c>
      <c r="AS24" s="328">
        <f>AP24*AR24</f>
        <v>75789.28358399999</v>
      </c>
      <c r="AT24" s="31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>
        <f>аморт!$G$11</f>
        <v>181.91312849162011</v>
      </c>
      <c r="BJ24" s="328">
        <f t="shared" si="26"/>
        <v>4540.9236148022073</v>
      </c>
      <c r="BK24" s="328">
        <f>аморт!G55</f>
        <v>1153.8461538461538</v>
      </c>
      <c r="BL24" s="328">
        <f t="shared" si="27"/>
        <v>28802.359078168793</v>
      </c>
      <c r="BM24" s="328"/>
      <c r="BN24" s="329">
        <f>'Исходные данные'!$B$82</f>
        <v>99.992314269119987</v>
      </c>
      <c r="BO24" s="328">
        <f t="shared" si="28"/>
        <v>4687.1397313649995</v>
      </c>
      <c r="BP24" s="329">
        <f>'Исходные данные'!$B$87</f>
        <v>8.0425991068799991</v>
      </c>
      <c r="BQ24" s="328">
        <f t="shared" si="10"/>
        <v>376.99683313499997</v>
      </c>
      <c r="BR24" s="329">
        <f>'Исходные данные'!$B$92</f>
        <v>11.043568922879997</v>
      </c>
      <c r="BS24" s="328">
        <f t="shared" si="11"/>
        <v>517.66729325999984</v>
      </c>
      <c r="BT24" s="328">
        <f>аморт!$C$55*10%/аморт!$F$55*L24*O17</f>
        <v>23041.887262535038</v>
      </c>
      <c r="BU24" s="328">
        <f t="shared" ca="1" si="12"/>
        <v>167161.02560852107</v>
      </c>
      <c r="BV24" s="328">
        <f t="shared" ca="1" si="13"/>
        <v>1671.6102560852107</v>
      </c>
      <c r="BW24" s="329">
        <f t="shared" si="29"/>
        <v>0.24962044534412958</v>
      </c>
      <c r="BX24" s="329">
        <f>'Исходные данные'!$B$108</f>
        <v>15</v>
      </c>
      <c r="BY24" s="330">
        <f>BX24*L24</f>
        <v>46.875</v>
      </c>
    </row>
    <row r="25" spans="1:77" x14ac:dyDescent="0.2">
      <c r="A25" s="304">
        <f t="shared" si="14"/>
        <v>4</v>
      </c>
      <c r="B25" s="311" t="s">
        <v>430</v>
      </c>
      <c r="C25" s="312">
        <v>1</v>
      </c>
      <c r="D25" s="331" t="s">
        <v>107</v>
      </c>
      <c r="E25" s="332" t="s">
        <v>492</v>
      </c>
      <c r="F25" s="315" t="s">
        <v>108</v>
      </c>
      <c r="G25" s="312">
        <f>D6</f>
        <v>100</v>
      </c>
      <c r="H25" s="316">
        <v>40310</v>
      </c>
      <c r="I25" s="316">
        <v>40318</v>
      </c>
      <c r="J25" s="317">
        <f t="shared" si="15"/>
        <v>8</v>
      </c>
      <c r="K25" s="318">
        <v>33.6</v>
      </c>
      <c r="L25" s="319">
        <f t="shared" si="1"/>
        <v>2.9761904761904763</v>
      </c>
      <c r="M25" s="320">
        <f t="shared" si="16"/>
        <v>0.37202380952380953</v>
      </c>
      <c r="N25" s="320"/>
      <c r="O25" s="321">
        <f t="shared" si="17"/>
        <v>23.773375747059958</v>
      </c>
      <c r="P25" s="321">
        <f t="shared" si="2"/>
        <v>0</v>
      </c>
      <c r="Q25" s="320">
        <v>3</v>
      </c>
      <c r="R25" s="317">
        <f ca="1">IF(AND(O25&gt;0,Q25&gt;0),SUMIF('Исходные данные'!$C$13:H26,Q25,'Исходные данные'!$C$17:$H$17),IF(O25=0,0,IF(Q25=0,"РОТ")))</f>
        <v>138.29984794728838</v>
      </c>
      <c r="S25" s="320"/>
      <c r="T25" s="319"/>
      <c r="U25" s="322">
        <f ca="1">O25*R25*'Исходные данные'!$C$37%</f>
        <v>0</v>
      </c>
      <c r="V25" s="322">
        <f>P25*T25*'Исходные данные'!$C$38%</f>
        <v>0</v>
      </c>
      <c r="W25" s="322">
        <f t="shared" ca="1" si="18"/>
        <v>0</v>
      </c>
      <c r="X25" s="323">
        <f t="shared" si="19"/>
        <v>0</v>
      </c>
      <c r="Y25" s="322">
        <f t="shared" ca="1" si="20"/>
        <v>328.78542510121457</v>
      </c>
      <c r="Z25" s="323">
        <f t="shared" si="21"/>
        <v>0</v>
      </c>
      <c r="AA25" s="322">
        <f t="shared" ca="1" si="22"/>
        <v>0</v>
      </c>
      <c r="AB25" s="323">
        <f t="shared" si="23"/>
        <v>0</v>
      </c>
      <c r="AC25" s="324">
        <v>2.8</v>
      </c>
      <c r="AD25" s="322">
        <f t="shared" ca="1" si="24"/>
        <v>10126.591093117408</v>
      </c>
      <c r="AE25" s="322">
        <f t="shared" si="25"/>
        <v>0</v>
      </c>
      <c r="AF25" s="321">
        <f t="shared" ca="1" si="3"/>
        <v>1500.2357174988751</v>
      </c>
      <c r="AG25" s="325"/>
      <c r="AH25" s="321">
        <f t="shared" ca="1" si="4"/>
        <v>11626.826810616283</v>
      </c>
      <c r="AI25" s="321">
        <f t="shared" si="5"/>
        <v>0</v>
      </c>
      <c r="AJ25" s="321">
        <f t="shared" ca="1" si="6"/>
        <v>3569.4358308591991</v>
      </c>
      <c r="AK25" s="326">
        <f t="shared" si="7"/>
        <v>0</v>
      </c>
      <c r="AL25" s="321">
        <f t="shared" ca="1" si="8"/>
        <v>15196.262641475481</v>
      </c>
      <c r="AM25" s="326">
        <f t="shared" si="9"/>
        <v>0</v>
      </c>
      <c r="AN25" s="318">
        <v>2.2999999999999998</v>
      </c>
      <c r="AO25" s="319">
        <f>'Исходные данные'!$C$53</f>
        <v>0.84</v>
      </c>
      <c r="AP25" s="327">
        <f>(G25*AN25)*AO25/100</f>
        <v>1.9319999999999995</v>
      </c>
      <c r="AQ25" s="319" t="s">
        <v>155</v>
      </c>
      <c r="AR25" s="317">
        <f>'Исходные данные'!$G$78</f>
        <v>9559.3714285714286</v>
      </c>
      <c r="AS25" s="328">
        <f>AP25*AR25</f>
        <v>18468.705599999994</v>
      </c>
      <c r="AT25" s="31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>
        <f>аморт!$G$10</f>
        <v>69.696969696969703</v>
      </c>
      <c r="BJ25" s="328">
        <f t="shared" si="26"/>
        <v>1656.9322490375125</v>
      </c>
      <c r="BK25" s="328">
        <f>аморт!G34</f>
        <v>97.41305263157895</v>
      </c>
      <c r="BL25" s="328">
        <f t="shared" si="27"/>
        <v>2315.8371028786542</v>
      </c>
      <c r="BM25" s="328"/>
      <c r="BN25" s="329">
        <f>'Исходные данные'!$E$82</f>
        <v>98.911965135359992</v>
      </c>
      <c r="BO25" s="328">
        <f>BN25*BY25</f>
        <v>1501.3423279474284</v>
      </c>
      <c r="BP25" s="329">
        <f>'Исходные данные'!$E$87</f>
        <v>16.685392176959997</v>
      </c>
      <c r="BQ25" s="328">
        <f t="shared" si="10"/>
        <v>253.26041697171425</v>
      </c>
      <c r="BR25" s="329">
        <f>'Исходные данные'!$E$92</f>
        <v>5.7618620467199984</v>
      </c>
      <c r="BS25" s="328">
        <f t="shared" si="11"/>
        <v>87.456834637714266</v>
      </c>
      <c r="BT25" s="328">
        <f>аморт!C34*10%/аморт!F34*L25*O17</f>
        <v>1157.9185514393271</v>
      </c>
      <c r="BU25" s="328">
        <f t="shared" ca="1" si="12"/>
        <v>40637.715724387832</v>
      </c>
      <c r="BV25" s="328">
        <f t="shared" ca="1" si="13"/>
        <v>406.37715724387834</v>
      </c>
      <c r="BW25" s="329">
        <f t="shared" si="29"/>
        <v>0.23773375747059958</v>
      </c>
      <c r="BX25" s="329">
        <f>'Исходные данные'!$B$102</f>
        <v>5.0999999999999996</v>
      </c>
      <c r="BY25" s="330">
        <f>BX25*L25</f>
        <v>15.178571428571429</v>
      </c>
    </row>
    <row r="26" spans="1:77" x14ac:dyDescent="0.2">
      <c r="A26" s="304">
        <f t="shared" si="14"/>
        <v>5</v>
      </c>
      <c r="B26" s="311" t="s">
        <v>23</v>
      </c>
      <c r="C26" s="312">
        <v>1</v>
      </c>
      <c r="D26" s="521" t="s">
        <v>120</v>
      </c>
      <c r="E26" s="522"/>
      <c r="F26" s="315" t="s">
        <v>111</v>
      </c>
      <c r="G26" s="328">
        <f>AU32</f>
        <v>15</v>
      </c>
      <c r="H26" s="316">
        <v>40318</v>
      </c>
      <c r="I26" s="316">
        <v>40319</v>
      </c>
      <c r="J26" s="317">
        <f t="shared" si="15"/>
        <v>1</v>
      </c>
      <c r="K26" s="318">
        <v>3.33</v>
      </c>
      <c r="L26" s="319">
        <f t="shared" si="1"/>
        <v>4.5045045045045047</v>
      </c>
      <c r="M26" s="320">
        <v>0</v>
      </c>
      <c r="N26" s="320">
        <f>L26/J26</f>
        <v>4.5045045045045047</v>
      </c>
      <c r="O26" s="321">
        <f t="shared" si="17"/>
        <v>0</v>
      </c>
      <c r="P26" s="321">
        <f t="shared" si="2"/>
        <v>35.981325455009667</v>
      </c>
      <c r="Q26" s="320"/>
      <c r="R26" s="317">
        <f>IF(AND(O26&gt;0,Q26&gt;0),SUMIF('Исходные данные'!$C$13:H28,Q26,'Исходные данные'!$C$17:$H$17),IF(O26=0,0,IF(Q26=0,"РОТ")))</f>
        <v>0</v>
      </c>
      <c r="S26" s="320">
        <v>4</v>
      </c>
      <c r="T26" s="317">
        <f ca="1">IF(AND(N26&gt;0,P26&gt;0),SUMIF('Исходные данные'!$C$13:$J$29,S26,'Исходные данные'!$C$33:$J$33),IF(N26=0,0,IF(S26=0,"РОТ")))</f>
        <v>123.48200709579322</v>
      </c>
      <c r="U26" s="322">
        <f>O26*R26*'Исходные данные'!$C$37%</f>
        <v>0</v>
      </c>
      <c r="V26" s="322">
        <f ca="1">P26*T26*'Исходные данные'!$C$38%</f>
        <v>0</v>
      </c>
      <c r="W26" s="322">
        <f t="shared" si="18"/>
        <v>0</v>
      </c>
      <c r="X26" s="323">
        <f t="shared" ca="1" si="19"/>
        <v>0</v>
      </c>
      <c r="Y26" s="322">
        <f t="shared" si="20"/>
        <v>0</v>
      </c>
      <c r="Z26" s="323">
        <f t="shared" ca="1" si="21"/>
        <v>222.15231425757747</v>
      </c>
      <c r="AA26" s="322">
        <f t="shared" si="22"/>
        <v>0</v>
      </c>
      <c r="AB26" s="323">
        <f t="shared" ca="1" si="23"/>
        <v>0</v>
      </c>
      <c r="AC26" s="324">
        <v>2.8</v>
      </c>
      <c r="AD26" s="322">
        <f t="shared" si="24"/>
        <v>0</v>
      </c>
      <c r="AE26" s="322">
        <f t="shared" ca="1" si="25"/>
        <v>13062.556078345553</v>
      </c>
      <c r="AF26" s="321">
        <f t="shared" ca="1" si="3"/>
        <v>0</v>
      </c>
      <c r="AG26" s="326">
        <f t="shared" ref="AG26:AG32" ca="1" si="30">AE26*$AF$17</f>
        <v>1935.1934930882301</v>
      </c>
      <c r="AH26" s="321">
        <f t="shared" ca="1" si="4"/>
        <v>0</v>
      </c>
      <c r="AI26" s="321">
        <f t="shared" ca="1" si="5"/>
        <v>14997.749571433784</v>
      </c>
      <c r="AJ26" s="321">
        <f t="shared" ca="1" si="6"/>
        <v>0</v>
      </c>
      <c r="AK26" s="326">
        <f t="shared" ca="1" si="7"/>
        <v>4604.3091184301711</v>
      </c>
      <c r="AL26" s="321">
        <f t="shared" ca="1" si="8"/>
        <v>0</v>
      </c>
      <c r="AM26" s="326">
        <f t="shared" ca="1" si="9"/>
        <v>19602.058689863956</v>
      </c>
      <c r="AN26" s="318"/>
      <c r="AO26" s="319">
        <f>'Исходные данные'!$C$53</f>
        <v>0.84</v>
      </c>
      <c r="AP26" s="327"/>
      <c r="AQ26" s="333"/>
      <c r="AR26" s="318"/>
      <c r="AS26" s="328"/>
      <c r="AT26" s="31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>
        <f t="shared" si="26"/>
        <v>0</v>
      </c>
      <c r="BK26" s="334"/>
      <c r="BL26" s="328">
        <f t="shared" si="27"/>
        <v>0</v>
      </c>
      <c r="BM26" s="328"/>
      <c r="BN26" s="329"/>
      <c r="BO26" s="328"/>
      <c r="BP26" s="329"/>
      <c r="BQ26" s="328"/>
      <c r="BR26" s="329"/>
      <c r="BS26" s="328"/>
      <c r="BT26" s="328"/>
      <c r="BU26" s="328">
        <f t="shared" ca="1" si="12"/>
        <v>19602.058689863956</v>
      </c>
      <c r="BV26" s="328">
        <f t="shared" ca="1" si="13"/>
        <v>196.02058689863955</v>
      </c>
      <c r="BW26" s="329">
        <f t="shared" si="29"/>
        <v>0.35981325455009666</v>
      </c>
      <c r="BX26" s="329"/>
      <c r="BY26" s="330"/>
    </row>
    <row r="27" spans="1:77" ht="22.5" x14ac:dyDescent="0.2">
      <c r="A27" s="304">
        <f t="shared" si="14"/>
        <v>6</v>
      </c>
      <c r="B27" s="311" t="s">
        <v>24</v>
      </c>
      <c r="C27" s="312">
        <v>1</v>
      </c>
      <c r="D27" s="313" t="s">
        <v>107</v>
      </c>
      <c r="E27" s="314" t="s">
        <v>117</v>
      </c>
      <c r="F27" s="315" t="s">
        <v>111</v>
      </c>
      <c r="G27" s="328">
        <f>G26</f>
        <v>15</v>
      </c>
      <c r="H27" s="316">
        <v>40318</v>
      </c>
      <c r="I27" s="316">
        <v>40319</v>
      </c>
      <c r="J27" s="317">
        <f t="shared" si="15"/>
        <v>1</v>
      </c>
      <c r="K27" s="318">
        <v>3.33</v>
      </c>
      <c r="L27" s="319">
        <f t="shared" si="1"/>
        <v>4.5045045045045047</v>
      </c>
      <c r="M27" s="320">
        <f t="shared" si="16"/>
        <v>4.5045045045045047</v>
      </c>
      <c r="N27" s="320">
        <v>0</v>
      </c>
      <c r="O27" s="321">
        <f t="shared" si="17"/>
        <v>35.981325455009667</v>
      </c>
      <c r="P27" s="321">
        <f t="shared" si="2"/>
        <v>0</v>
      </c>
      <c r="Q27" s="320">
        <v>2</v>
      </c>
      <c r="R27" s="317">
        <f ca="1">IF(AND(O27&gt;0,Q27&gt;0),SUMIF('Исходные данные'!$C$13:H29,Q27,'Исходные данные'!$C$17:$H$17),IF(O27=0,0,IF(Q27=0,"РОТ")))</f>
        <v>128.66557526609228</v>
      </c>
      <c r="S27" s="320"/>
      <c r="T27" s="317">
        <f>IF(AND(N27&gt;0,P27&gt;0),SUMIF('Исходные данные'!$C$13:$J$29,S27,'Исходные данные'!$C$33:$J$33),IF(N27=0,0,IF(S27=0,"РОТ")))</f>
        <v>0</v>
      </c>
      <c r="U27" s="322">
        <f ca="1">O27*R27*'Исходные данные'!$C$37%</f>
        <v>0</v>
      </c>
      <c r="V27" s="322">
        <f>P27*T27*'Исходные данные'!$C$38%</f>
        <v>0</v>
      </c>
      <c r="W27" s="322">
        <f t="shared" ca="1" si="18"/>
        <v>0</v>
      </c>
      <c r="X27" s="323">
        <f t="shared" si="19"/>
        <v>0</v>
      </c>
      <c r="Y27" s="322">
        <f t="shared" ca="1" si="20"/>
        <v>462.95579385053082</v>
      </c>
      <c r="Z27" s="323">
        <f t="shared" si="21"/>
        <v>0</v>
      </c>
      <c r="AA27" s="322">
        <f t="shared" ca="1" si="22"/>
        <v>0</v>
      </c>
      <c r="AB27" s="323">
        <f t="shared" si="23"/>
        <v>0</v>
      </c>
      <c r="AC27" s="324">
        <v>2.8</v>
      </c>
      <c r="AD27" s="322">
        <f t="shared" ca="1" si="24"/>
        <v>14259.038450596347</v>
      </c>
      <c r="AE27" s="322">
        <f t="shared" si="25"/>
        <v>0</v>
      </c>
      <c r="AF27" s="321">
        <f t="shared" ca="1" si="3"/>
        <v>2112.4501408290885</v>
      </c>
      <c r="AG27" s="326">
        <f t="shared" ca="1" si="30"/>
        <v>0</v>
      </c>
      <c r="AH27" s="321">
        <f t="shared" ca="1" si="4"/>
        <v>16371.488591425436</v>
      </c>
      <c r="AI27" s="321">
        <f t="shared" ca="1" si="5"/>
        <v>0</v>
      </c>
      <c r="AJ27" s="321">
        <f t="shared" ca="1" si="6"/>
        <v>5026.0469975676087</v>
      </c>
      <c r="AK27" s="326">
        <f t="shared" ca="1" si="7"/>
        <v>0</v>
      </c>
      <c r="AL27" s="321">
        <f t="shared" ca="1" si="8"/>
        <v>21397.535588993043</v>
      </c>
      <c r="AM27" s="326">
        <f t="shared" ca="1" si="9"/>
        <v>0</v>
      </c>
      <c r="AN27" s="318">
        <v>0.96</v>
      </c>
      <c r="AO27" s="319">
        <f>'Исходные данные'!$C$53</f>
        <v>0.84</v>
      </c>
      <c r="AP27" s="327">
        <f>(G27*AN27)*AO27/100</f>
        <v>0.12095999999999998</v>
      </c>
      <c r="AQ27" s="319" t="s">
        <v>155</v>
      </c>
      <c r="AR27" s="317">
        <f>'Исходные данные'!$G$78</f>
        <v>9559.3714285714286</v>
      </c>
      <c r="AS27" s="328">
        <f>AP27*AR27</f>
        <v>1156.3015679999999</v>
      </c>
      <c r="AT27" s="31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>
        <f>аморт!$G$10</f>
        <v>69.696969696969703</v>
      </c>
      <c r="BJ27" s="328">
        <f t="shared" si="26"/>
        <v>2507.7893498946137</v>
      </c>
      <c r="BK27" s="328">
        <f>аморт!$G$25</f>
        <v>12.519247457627118</v>
      </c>
      <c r="BL27" s="328">
        <f t="shared" si="27"/>
        <v>450.45911722468367</v>
      </c>
      <c r="BM27" s="328"/>
      <c r="BN27" s="329">
        <f>'Исходные данные'!$E$82</f>
        <v>98.911965135359992</v>
      </c>
      <c r="BO27" s="328">
        <f t="shared" si="28"/>
        <v>2272.3019017582701</v>
      </c>
      <c r="BP27" s="329">
        <f>'Исходные данные'!$E$87</f>
        <v>16.685392176959997</v>
      </c>
      <c r="BQ27" s="328">
        <f t="shared" si="10"/>
        <v>383.31306352475667</v>
      </c>
      <c r="BR27" s="329">
        <f>'Исходные данные'!$E$92</f>
        <v>5.7618620467199984</v>
      </c>
      <c r="BS27" s="328">
        <f t="shared" si="11"/>
        <v>132.36710107329725</v>
      </c>
      <c r="BT27" s="328">
        <f>аморт!$C$25*10%/аморт!$F$25*L27*O17</f>
        <v>450.45911722468367</v>
      </c>
      <c r="BU27" s="328">
        <f t="shared" ca="1" si="12"/>
        <v>28750.52680769335</v>
      </c>
      <c r="BV27" s="328">
        <f ca="1">BU27/$D$6</f>
        <v>287.50526807693348</v>
      </c>
      <c r="BW27" s="329">
        <f t="shared" si="29"/>
        <v>0.35981325455009666</v>
      </c>
      <c r="BX27" s="329">
        <f>'Исходные данные'!$B$102</f>
        <v>5.0999999999999996</v>
      </c>
      <c r="BY27" s="330">
        <f>BX27*L27</f>
        <v>22.972972972972972</v>
      </c>
    </row>
    <row r="28" spans="1:77" x14ac:dyDescent="0.2">
      <c r="A28" s="304">
        <f t="shared" si="14"/>
        <v>7</v>
      </c>
      <c r="B28" s="311" t="s">
        <v>25</v>
      </c>
      <c r="C28" s="312">
        <v>1</v>
      </c>
      <c r="D28" s="521" t="s">
        <v>120</v>
      </c>
      <c r="E28" s="522"/>
      <c r="F28" s="315" t="s">
        <v>111</v>
      </c>
      <c r="G28" s="328">
        <f>G27</f>
        <v>15</v>
      </c>
      <c r="H28" s="316">
        <v>40318</v>
      </c>
      <c r="I28" s="316">
        <v>40319</v>
      </c>
      <c r="J28" s="317">
        <f t="shared" si="15"/>
        <v>1</v>
      </c>
      <c r="K28" s="318">
        <v>3.33</v>
      </c>
      <c r="L28" s="319">
        <f t="shared" si="1"/>
        <v>4.5045045045045047</v>
      </c>
      <c r="M28" s="320">
        <v>0</v>
      </c>
      <c r="N28" s="320">
        <f t="shared" ref="N28:N31" si="31">L28/J28</f>
        <v>4.5045045045045047</v>
      </c>
      <c r="O28" s="321">
        <f>IF(M28=0,0,L28*$O$17)</f>
        <v>0</v>
      </c>
      <c r="P28" s="321">
        <f>IF(N28=0,0,L28*$O$17)</f>
        <v>35.981325455009667</v>
      </c>
      <c r="Q28" s="320"/>
      <c r="R28" s="317">
        <f>IF(AND(O28&gt;0,Q28&gt;0),SUMIF('Исходные данные'!$C$13:H29,Q28,'Исходные данные'!$C$17:$H$17),IF(O28=0,0,IF(Q28=0,"РОТ")))</f>
        <v>0</v>
      </c>
      <c r="S28" s="320">
        <v>4</v>
      </c>
      <c r="T28" s="317">
        <f ca="1">IF(AND(N28&gt;0,P28&gt;0),SUMIF('Исходные данные'!$C$13:$J$29,S28,'Исходные данные'!$C$33:$J$33),IF(N28=0,0,IF(S28=0,"РОТ")))</f>
        <v>123.48200709579322</v>
      </c>
      <c r="U28" s="322">
        <f>O28*R28*'Исходные данные'!$C$37%</f>
        <v>0</v>
      </c>
      <c r="V28" s="322">
        <f ca="1">P28*T28*'Исходные данные'!$C$38%</f>
        <v>0</v>
      </c>
      <c r="W28" s="322">
        <f t="shared" si="18"/>
        <v>0</v>
      </c>
      <c r="X28" s="323">
        <f t="shared" ca="1" si="19"/>
        <v>0</v>
      </c>
      <c r="Y28" s="322">
        <f t="shared" si="20"/>
        <v>0</v>
      </c>
      <c r="Z28" s="323">
        <f t="shared" ca="1" si="21"/>
        <v>222.15231425757747</v>
      </c>
      <c r="AA28" s="322">
        <f t="shared" si="22"/>
        <v>0</v>
      </c>
      <c r="AB28" s="323">
        <f t="shared" ca="1" si="23"/>
        <v>0</v>
      </c>
      <c r="AC28" s="324">
        <v>2.8</v>
      </c>
      <c r="AD28" s="322">
        <f t="shared" si="24"/>
        <v>0</v>
      </c>
      <c r="AE28" s="322">
        <f t="shared" ca="1" si="25"/>
        <v>13062.556078345553</v>
      </c>
      <c r="AF28" s="321">
        <f t="shared" ca="1" si="3"/>
        <v>0</v>
      </c>
      <c r="AG28" s="326">
        <f t="shared" ca="1" si="30"/>
        <v>1935.1934930882301</v>
      </c>
      <c r="AH28" s="321">
        <f t="shared" ca="1" si="4"/>
        <v>0</v>
      </c>
      <c r="AI28" s="321">
        <f t="shared" ca="1" si="5"/>
        <v>14997.749571433784</v>
      </c>
      <c r="AJ28" s="321">
        <f t="shared" ca="1" si="6"/>
        <v>0</v>
      </c>
      <c r="AK28" s="326">
        <f t="shared" ca="1" si="7"/>
        <v>4604.3091184301711</v>
      </c>
      <c r="AL28" s="321">
        <f t="shared" ca="1" si="8"/>
        <v>0</v>
      </c>
      <c r="AM28" s="326">
        <f t="shared" ca="1" si="9"/>
        <v>19602.058689863956</v>
      </c>
      <c r="AN28" s="318"/>
      <c r="AO28" s="318"/>
      <c r="AP28" s="327"/>
      <c r="AQ28" s="333"/>
      <c r="AR28" s="318"/>
      <c r="AS28" s="328"/>
      <c r="AT28" s="31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9"/>
      <c r="BO28" s="328"/>
      <c r="BP28" s="329"/>
      <c r="BQ28" s="328"/>
      <c r="BR28" s="329"/>
      <c r="BS28" s="328"/>
      <c r="BT28" s="328"/>
      <c r="BU28" s="328">
        <f t="shared" ca="1" si="12"/>
        <v>19602.058689863956</v>
      </c>
      <c r="BV28" s="328">
        <f t="shared" ca="1" si="13"/>
        <v>196.02058689863955</v>
      </c>
      <c r="BW28" s="329">
        <f t="shared" si="29"/>
        <v>0.35981325455009666</v>
      </c>
      <c r="BX28" s="329"/>
      <c r="BY28" s="330"/>
    </row>
    <row r="29" spans="1:77" s="377" customFormat="1" ht="22.5" x14ac:dyDescent="0.2">
      <c r="A29" s="358">
        <f t="shared" si="14"/>
        <v>8</v>
      </c>
      <c r="B29" s="359" t="s">
        <v>26</v>
      </c>
      <c r="C29" s="360">
        <v>1</v>
      </c>
      <c r="D29" s="523" t="s">
        <v>120</v>
      </c>
      <c r="E29" s="524"/>
      <c r="F29" s="361" t="s">
        <v>111</v>
      </c>
      <c r="G29" s="362">
        <f>AY32</f>
        <v>10</v>
      </c>
      <c r="H29" s="363">
        <v>40320</v>
      </c>
      <c r="I29" s="363">
        <v>40323</v>
      </c>
      <c r="J29" s="317">
        <f t="shared" si="15"/>
        <v>3</v>
      </c>
      <c r="K29" s="318">
        <v>2.5</v>
      </c>
      <c r="L29" s="366">
        <f>G29/K29</f>
        <v>4</v>
      </c>
      <c r="M29" s="367">
        <v>0</v>
      </c>
      <c r="N29" s="320">
        <f t="shared" si="31"/>
        <v>1.3333333333333333</v>
      </c>
      <c r="O29" s="368">
        <f t="shared" si="17"/>
        <v>0</v>
      </c>
      <c r="P29" s="368">
        <f>IF(N29=0,0,L29*$O$17)</f>
        <v>31.951417004048583</v>
      </c>
      <c r="Q29" s="367"/>
      <c r="R29" s="364">
        <f>IF(AND(O29&gt;0,Q29&gt;0),SUMIF('Исходные данные'!$C$13:H29,Q29,'Исходные данные'!$C$17:$H$17),IF(O29=0,0,IF(Q29=0,"РОТ")))</f>
        <v>0</v>
      </c>
      <c r="S29" s="367">
        <v>4</v>
      </c>
      <c r="T29" s="364">
        <f ca="1">IF(AND(N29&gt;0,P29&gt;0),SUMIF('Исходные данные'!$C$13:$J$29,S29,'Исходные данные'!$C$33:$J$33),IF(N29=0,0,IF(S29=0,"РОТ")))</f>
        <v>123.48200709579322</v>
      </c>
      <c r="U29" s="369">
        <f>O29*R29*'Исходные данные'!$C$37%</f>
        <v>0</v>
      </c>
      <c r="V29" s="369">
        <f ca="1">P29*T29*'Исходные данные'!$C$38%</f>
        <v>0</v>
      </c>
      <c r="W29" s="369">
        <f t="shared" si="18"/>
        <v>0</v>
      </c>
      <c r="X29" s="370">
        <f t="shared" ca="1" si="19"/>
        <v>0</v>
      </c>
      <c r="Y29" s="369">
        <f t="shared" si="20"/>
        <v>0</v>
      </c>
      <c r="Z29" s="370">
        <f t="shared" ca="1" si="21"/>
        <v>197.27125506072878</v>
      </c>
      <c r="AA29" s="369">
        <f t="shared" si="22"/>
        <v>0</v>
      </c>
      <c r="AB29" s="370">
        <f t="shared" ca="1" si="23"/>
        <v>0</v>
      </c>
      <c r="AC29" s="371">
        <v>2.8</v>
      </c>
      <c r="AD29" s="369">
        <f t="shared" si="24"/>
        <v>0</v>
      </c>
      <c r="AE29" s="369">
        <f t="shared" ca="1" si="25"/>
        <v>11599.549797570851</v>
      </c>
      <c r="AF29" s="368">
        <f t="shared" ca="1" si="3"/>
        <v>0</v>
      </c>
      <c r="AG29" s="372">
        <f t="shared" ca="1" si="30"/>
        <v>1718.4518218623482</v>
      </c>
      <c r="AH29" s="368">
        <f t="shared" ca="1" si="4"/>
        <v>0</v>
      </c>
      <c r="AI29" s="368">
        <f t="shared" ca="1" si="5"/>
        <v>13318.0016194332</v>
      </c>
      <c r="AJ29" s="368">
        <f t="shared" ca="1" si="6"/>
        <v>0</v>
      </c>
      <c r="AK29" s="372">
        <f t="shared" ca="1" si="7"/>
        <v>4088.6264971659925</v>
      </c>
      <c r="AL29" s="368">
        <f t="shared" ca="1" si="8"/>
        <v>0</v>
      </c>
      <c r="AM29" s="372">
        <f t="shared" ca="1" si="9"/>
        <v>17406.628116599193</v>
      </c>
      <c r="AN29" s="365"/>
      <c r="AO29" s="365"/>
      <c r="AP29" s="373"/>
      <c r="AQ29" s="374"/>
      <c r="AR29" s="365"/>
      <c r="AS29" s="362"/>
      <c r="AT29" s="365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75"/>
      <c r="BO29" s="362"/>
      <c r="BP29" s="375"/>
      <c r="BQ29" s="362"/>
      <c r="BR29" s="375"/>
      <c r="BS29" s="362"/>
      <c r="BT29" s="362"/>
      <c r="BU29" s="362">
        <f t="shared" ca="1" si="12"/>
        <v>17406.628116599193</v>
      </c>
      <c r="BV29" s="362">
        <f t="shared" ca="1" si="13"/>
        <v>174.06628116599194</v>
      </c>
      <c r="BW29" s="375">
        <f>(O29+P29)/$D$6</f>
        <v>0.31951417004048582</v>
      </c>
      <c r="BX29" s="375"/>
      <c r="BY29" s="376"/>
    </row>
    <row r="30" spans="1:77" s="377" customFormat="1" ht="22.5" x14ac:dyDescent="0.2">
      <c r="A30" s="358">
        <f t="shared" si="14"/>
        <v>9</v>
      </c>
      <c r="B30" s="359" t="s">
        <v>77</v>
      </c>
      <c r="C30" s="360">
        <v>1</v>
      </c>
      <c r="D30" s="378" t="s">
        <v>107</v>
      </c>
      <c r="E30" s="379" t="s">
        <v>117</v>
      </c>
      <c r="F30" s="361" t="s">
        <v>111</v>
      </c>
      <c r="G30" s="362">
        <f>G29</f>
        <v>10</v>
      </c>
      <c r="H30" s="363">
        <v>40320</v>
      </c>
      <c r="I30" s="363">
        <v>40323</v>
      </c>
      <c r="J30" s="317">
        <f t="shared" si="15"/>
        <v>3</v>
      </c>
      <c r="K30" s="365">
        <v>3.33</v>
      </c>
      <c r="L30" s="366">
        <f t="shared" si="1"/>
        <v>3.0030030030030028</v>
      </c>
      <c r="M30" s="320">
        <f t="shared" ref="M30" si="32">L30/J30</f>
        <v>1.0010010010010009</v>
      </c>
      <c r="N30" s="320">
        <f t="shared" si="31"/>
        <v>1.0010010010010009</v>
      </c>
      <c r="O30" s="368">
        <f t="shared" si="17"/>
        <v>23.987550303339777</v>
      </c>
      <c r="P30" s="368">
        <f>IF(N30=0,0,L30*$O$17)</f>
        <v>23.987550303339777</v>
      </c>
      <c r="Q30" s="367">
        <v>2</v>
      </c>
      <c r="R30" s="364">
        <f ca="1">IF(AND(O30&gt;0,Q30&gt;0),SUMIF('Исходные данные'!$C$13:H30,Q30,'Исходные данные'!$C$17:$H$17),IF(O30=0,0,IF(Q30=0,"РОТ")))</f>
        <v>128.66557526609228</v>
      </c>
      <c r="S30" s="367">
        <v>2</v>
      </c>
      <c r="T30" s="364">
        <f ca="1">IF(AND(N30&gt;0,P30&gt;0),SUMIF('Исходные данные'!$C$13:$J$29,S30,'Исходные данные'!$C$33:$J$33),IF(N30=0,0,IF(S30=0,"РОТ")))</f>
        <v>105.700598073999</v>
      </c>
      <c r="U30" s="369">
        <f ca="1">O30*R30*'Исходные данные'!$C$37%</f>
        <v>0</v>
      </c>
      <c r="V30" s="369">
        <f ca="1">P30*T30*'Исходные данные'!$C$38%</f>
        <v>0</v>
      </c>
      <c r="W30" s="369">
        <f t="shared" ca="1" si="18"/>
        <v>0</v>
      </c>
      <c r="X30" s="370">
        <f t="shared" ca="1" si="19"/>
        <v>0</v>
      </c>
      <c r="Y30" s="369">
        <f t="shared" ca="1" si="20"/>
        <v>308.6371959003539</v>
      </c>
      <c r="Z30" s="370">
        <f t="shared" ca="1" si="21"/>
        <v>126.77492066965755</v>
      </c>
      <c r="AA30" s="369">
        <f t="shared" ca="1" si="22"/>
        <v>0</v>
      </c>
      <c r="AB30" s="370">
        <f t="shared" ca="1" si="23"/>
        <v>0</v>
      </c>
      <c r="AC30" s="371">
        <v>2.8</v>
      </c>
      <c r="AD30" s="369">
        <f t="shared" ca="1" si="24"/>
        <v>9506.0256337309002</v>
      </c>
      <c r="AE30" s="369">
        <f t="shared" ca="1" si="25"/>
        <v>7454.3653353758627</v>
      </c>
      <c r="AF30" s="368">
        <f t="shared" ca="1" si="3"/>
        <v>1408.3000938860591</v>
      </c>
      <c r="AG30" s="372">
        <f t="shared" ca="1" si="30"/>
        <v>1104.3504200556833</v>
      </c>
      <c r="AH30" s="368">
        <f t="shared" ca="1" si="4"/>
        <v>10914.325727616959</v>
      </c>
      <c r="AI30" s="368">
        <f t="shared" ca="1" si="5"/>
        <v>8558.7157554315454</v>
      </c>
      <c r="AJ30" s="368">
        <f t="shared" ca="1" si="6"/>
        <v>3350.6979983784063</v>
      </c>
      <c r="AK30" s="372">
        <f t="shared" ca="1" si="7"/>
        <v>2627.5257369174842</v>
      </c>
      <c r="AL30" s="368">
        <f t="shared" ca="1" si="8"/>
        <v>14265.023725995365</v>
      </c>
      <c r="AM30" s="372">
        <f t="shared" ca="1" si="9"/>
        <v>11186.241492349029</v>
      </c>
      <c r="AN30" s="365">
        <v>0.96</v>
      </c>
      <c r="AO30" s="366">
        <f>'Исходные данные'!$C$53</f>
        <v>0.84</v>
      </c>
      <c r="AP30" s="373">
        <f>(G30*AN30)*AO30/100</f>
        <v>8.0640000000000003E-2</v>
      </c>
      <c r="AQ30" s="366" t="s">
        <v>155</v>
      </c>
      <c r="AR30" s="317">
        <f>'Исходные данные'!$G$78</f>
        <v>9559.3714285714286</v>
      </c>
      <c r="AS30" s="362">
        <f>AP30*AR30</f>
        <v>770.86771199999998</v>
      </c>
      <c r="AT30" s="365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>
        <f>аморт!$G$10</f>
        <v>69.696969696969703</v>
      </c>
      <c r="BJ30" s="328">
        <f t="shared" ref="BJ30" si="33">BI30*L30*$O$17</f>
        <v>1671.8595665964087</v>
      </c>
      <c r="BK30" s="362">
        <f>аморт!$G$25</f>
        <v>12.519247457627118</v>
      </c>
      <c r="BL30" s="328">
        <f t="shared" ref="BL30" si="34">BK30*L30*$O$17</f>
        <v>300.30607814978907</v>
      </c>
      <c r="BM30" s="362"/>
      <c r="BN30" s="329">
        <f>'Исходные данные'!$E$82</f>
        <v>98.911965135359992</v>
      </c>
      <c r="BO30" s="362">
        <f t="shared" si="28"/>
        <v>1514.8679345055132</v>
      </c>
      <c r="BP30" s="329">
        <f>'Исходные данные'!$E$87</f>
        <v>16.685392176959997</v>
      </c>
      <c r="BQ30" s="362">
        <f t="shared" si="10"/>
        <v>255.54204234983777</v>
      </c>
      <c r="BR30" s="329">
        <f>'Исходные данные'!$E$92</f>
        <v>5.7618620467199984</v>
      </c>
      <c r="BS30" s="362">
        <f t="shared" si="11"/>
        <v>88.244734048864828</v>
      </c>
      <c r="BT30" s="362">
        <f>аморт!$C$25*10%/аморт!$F$25*L30*O17</f>
        <v>300.30607814978907</v>
      </c>
      <c r="BU30" s="362">
        <f t="shared" ca="1" si="12"/>
        <v>30353.259364144593</v>
      </c>
      <c r="BV30" s="362">
        <f t="shared" ca="1" si="13"/>
        <v>303.53259364144594</v>
      </c>
      <c r="BW30" s="375">
        <f t="shared" si="29"/>
        <v>0.47975100606679555</v>
      </c>
      <c r="BX30" s="329">
        <f>'Исходные данные'!$B$102</f>
        <v>5.0999999999999996</v>
      </c>
      <c r="BY30" s="376">
        <f>BX30*L30</f>
        <v>15.315315315315313</v>
      </c>
    </row>
    <row r="31" spans="1:77" s="377" customFormat="1" ht="22.5" x14ac:dyDescent="0.2">
      <c r="A31" s="358">
        <v>10</v>
      </c>
      <c r="B31" s="359" t="s">
        <v>27</v>
      </c>
      <c r="C31" s="360">
        <v>1</v>
      </c>
      <c r="D31" s="523" t="s">
        <v>120</v>
      </c>
      <c r="E31" s="524"/>
      <c r="F31" s="361" t="s">
        <v>111</v>
      </c>
      <c r="G31" s="362">
        <f>G30</f>
        <v>10</v>
      </c>
      <c r="H31" s="363">
        <v>40320</v>
      </c>
      <c r="I31" s="363">
        <v>40323</v>
      </c>
      <c r="J31" s="317">
        <f t="shared" si="15"/>
        <v>3</v>
      </c>
      <c r="K31" s="318">
        <v>8.33</v>
      </c>
      <c r="L31" s="366">
        <f t="shared" si="1"/>
        <v>1.2004801920768307</v>
      </c>
      <c r="M31" s="367">
        <v>0</v>
      </c>
      <c r="N31" s="320">
        <f t="shared" si="31"/>
        <v>0.40016006402561022</v>
      </c>
      <c r="O31" s="368">
        <f t="shared" si="17"/>
        <v>0</v>
      </c>
      <c r="P31" s="368">
        <f>IF(N31=0,0,L31*$O$17)</f>
        <v>9.5892608055367887</v>
      </c>
      <c r="Q31" s="367"/>
      <c r="R31" s="364">
        <f>IF(AND(O31&gt;0,Q31&gt;0),SUMIF('Исходные данные'!$C$13:H31,Q31,'Исходные данные'!$C$17:$H$17),IF(O31=0,0,IF(Q31=0,"РОТ")))</f>
        <v>0</v>
      </c>
      <c r="S31" s="367">
        <v>4</v>
      </c>
      <c r="T31" s="364">
        <f ca="1">IF(AND(N31&gt;0,P31&gt;0),SUMIF('Исходные данные'!$C$13:$J$29,S31,'Исходные данные'!$C$33:$J$33),IF(N31=0,0,IF(S31=0,"РОТ")))</f>
        <v>123.48200709579322</v>
      </c>
      <c r="U31" s="369">
        <f>O31*R31*'Исходные данные'!$C$37%</f>
        <v>0</v>
      </c>
      <c r="V31" s="369">
        <f ca="1">P31*T31*'Исходные данные'!$C$38%</f>
        <v>0</v>
      </c>
      <c r="W31" s="369">
        <f t="shared" si="18"/>
        <v>0</v>
      </c>
      <c r="X31" s="370">
        <f t="shared" ca="1" si="19"/>
        <v>0</v>
      </c>
      <c r="Y31" s="369">
        <f t="shared" si="20"/>
        <v>0</v>
      </c>
      <c r="Z31" s="370">
        <f t="shared" ca="1" si="21"/>
        <v>59.205058541635282</v>
      </c>
      <c r="AA31" s="369">
        <f t="shared" si="22"/>
        <v>0</v>
      </c>
      <c r="AB31" s="370">
        <f t="shared" ca="1" si="23"/>
        <v>0</v>
      </c>
      <c r="AC31" s="371">
        <v>2.8</v>
      </c>
      <c r="AD31" s="369">
        <f t="shared" si="24"/>
        <v>0</v>
      </c>
      <c r="AE31" s="369">
        <f t="shared" ca="1" si="25"/>
        <v>3481.2574422481539</v>
      </c>
      <c r="AF31" s="368">
        <f t="shared" ca="1" si="3"/>
        <v>0</v>
      </c>
      <c r="AG31" s="372">
        <f t="shared" ca="1" si="30"/>
        <v>515.74184329602281</v>
      </c>
      <c r="AH31" s="368">
        <f t="shared" ca="1" si="4"/>
        <v>0</v>
      </c>
      <c r="AI31" s="368">
        <f t="shared" ca="1" si="5"/>
        <v>3996.9992855441769</v>
      </c>
      <c r="AJ31" s="368">
        <f t="shared" ca="1" si="6"/>
        <v>0</v>
      </c>
      <c r="AK31" s="372">
        <f t="shared" ca="1" si="7"/>
        <v>1227.0787806620624</v>
      </c>
      <c r="AL31" s="368">
        <f t="shared" ca="1" si="8"/>
        <v>0</v>
      </c>
      <c r="AM31" s="372">
        <f t="shared" ca="1" si="9"/>
        <v>5224.0780662062389</v>
      </c>
      <c r="AN31" s="365"/>
      <c r="AO31" s="365"/>
      <c r="AP31" s="373"/>
      <c r="AQ31" s="374"/>
      <c r="AR31" s="365"/>
      <c r="AS31" s="362"/>
      <c r="AT31" s="365"/>
      <c r="AU31" s="362"/>
      <c r="AV31" s="362"/>
      <c r="AW31" s="362"/>
      <c r="AX31" s="362"/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80"/>
      <c r="BL31" s="362"/>
      <c r="BM31" s="362"/>
      <c r="BN31" s="375"/>
      <c r="BO31" s="362"/>
      <c r="BP31" s="375"/>
      <c r="BQ31" s="362"/>
      <c r="BR31" s="375"/>
      <c r="BS31" s="362"/>
      <c r="BT31" s="362"/>
      <c r="BU31" s="362">
        <f t="shared" ca="1" si="12"/>
        <v>5224.0780662062389</v>
      </c>
      <c r="BV31" s="362">
        <f ca="1">BU31/$D$6</f>
        <v>52.240780662062392</v>
      </c>
      <c r="BW31" s="375">
        <f t="shared" si="29"/>
        <v>9.5892608055367881E-2</v>
      </c>
      <c r="BX31" s="375"/>
      <c r="BY31" s="376"/>
    </row>
    <row r="32" spans="1:77" ht="45" x14ac:dyDescent="0.2">
      <c r="A32" s="304">
        <v>11</v>
      </c>
      <c r="B32" s="311" t="s">
        <v>431</v>
      </c>
      <c r="C32" s="312">
        <v>2</v>
      </c>
      <c r="D32" s="331" t="s">
        <v>186</v>
      </c>
      <c r="E32" s="332" t="s">
        <v>493</v>
      </c>
      <c r="F32" s="315" t="s">
        <v>108</v>
      </c>
      <c r="G32" s="312">
        <f>D6</f>
        <v>100</v>
      </c>
      <c r="H32" s="316">
        <v>40330</v>
      </c>
      <c r="I32" s="316">
        <v>40336</v>
      </c>
      <c r="J32" s="317">
        <f t="shared" si="15"/>
        <v>6</v>
      </c>
      <c r="K32" s="318">
        <v>14.4</v>
      </c>
      <c r="L32" s="319">
        <f t="shared" si="1"/>
        <v>6.9444444444444446</v>
      </c>
      <c r="M32" s="320">
        <f t="shared" ref="M32" si="35">L32/J32</f>
        <v>1.1574074074074074</v>
      </c>
      <c r="N32" s="320">
        <v>0</v>
      </c>
      <c r="O32" s="321">
        <f t="shared" si="17"/>
        <v>55.471210076473234</v>
      </c>
      <c r="P32" s="321">
        <f>IF(N32=0,0,L32*$O$17)</f>
        <v>0</v>
      </c>
      <c r="Q32" s="320">
        <v>5</v>
      </c>
      <c r="R32" s="317">
        <f ca="1">IF(AND(O32&gt;0,Q32&gt;0),SUMIF('Исходные данные'!$C$13:H32,Q32,'Исходные данные'!$C$25:$H$25),IF(O32=0,0,IF(Q32=0,"РОТ")))</f>
        <v>219.30404460212878</v>
      </c>
      <c r="S32" s="320">
        <v>0</v>
      </c>
      <c r="T32" s="317">
        <f>IF(AND(N32&gt;0,P32&gt;0),SUMIF('Исходные данные'!$C$13:$J$29,S32,'Исходные данные'!$C$33:$J$33),IF(N32=0,0,IF(S32=0,"РОТ")))</f>
        <v>0</v>
      </c>
      <c r="U32" s="322">
        <f ca="1">O32*R32*'Исходные данные'!$C$37%</f>
        <v>0</v>
      </c>
      <c r="V32" s="322">
        <f>P32*T32*'Исходные данные'!$C$38%</f>
        <v>0</v>
      </c>
      <c r="W32" s="322">
        <f t="shared" ca="1" si="18"/>
        <v>0</v>
      </c>
      <c r="X32" s="323">
        <f t="shared" si="19"/>
        <v>0</v>
      </c>
      <c r="Y32" s="322">
        <f t="shared" ca="1" si="20"/>
        <v>1216.5060728744943</v>
      </c>
      <c r="Z32" s="323">
        <f t="shared" si="21"/>
        <v>0</v>
      </c>
      <c r="AA32" s="322">
        <f t="shared" ca="1" si="22"/>
        <v>0</v>
      </c>
      <c r="AB32" s="323">
        <f t="shared" si="23"/>
        <v>0</v>
      </c>
      <c r="AC32" s="324">
        <v>2.8</v>
      </c>
      <c r="AD32" s="322">
        <f t="shared" ca="1" si="24"/>
        <v>37468.387044534415</v>
      </c>
      <c r="AE32" s="322">
        <f t="shared" si="25"/>
        <v>0</v>
      </c>
      <c r="AF32" s="321">
        <f t="shared" ca="1" si="3"/>
        <v>5550.872154745839</v>
      </c>
      <c r="AG32" s="326">
        <f t="shared" ca="1" si="30"/>
        <v>0</v>
      </c>
      <c r="AH32" s="321">
        <f t="shared" ca="1" si="4"/>
        <v>43019.259199280255</v>
      </c>
      <c r="AI32" s="321">
        <f t="shared" ca="1" si="5"/>
        <v>0</v>
      </c>
      <c r="AJ32" s="321">
        <f t="shared" ca="1" si="6"/>
        <v>13206.912574179038</v>
      </c>
      <c r="AK32" s="326">
        <f t="shared" ca="1" si="7"/>
        <v>0</v>
      </c>
      <c r="AL32" s="321">
        <f t="shared" ca="1" si="8"/>
        <v>56226.171773459297</v>
      </c>
      <c r="AM32" s="326">
        <f t="shared" ca="1" si="9"/>
        <v>0</v>
      </c>
      <c r="AN32" s="318">
        <v>9</v>
      </c>
      <c r="AO32" s="319">
        <f>'Исходные данные'!$C$53</f>
        <v>0.84</v>
      </c>
      <c r="AP32" s="327">
        <f>(G32*AN32)*AO32/100</f>
        <v>7.56</v>
      </c>
      <c r="AQ32" s="319" t="s">
        <v>155</v>
      </c>
      <c r="AR32" s="317">
        <f>'Исходные данные'!$E$78</f>
        <v>9477.4514285714286</v>
      </c>
      <c r="AS32" s="328">
        <f>AP32*AR32</f>
        <v>71649.532800000001</v>
      </c>
      <c r="AT32" s="319">
        <f>Нормы!B16</f>
        <v>1.5</v>
      </c>
      <c r="AU32" s="328">
        <f>AT32*G32/10</f>
        <v>15</v>
      </c>
      <c r="AV32" s="328">
        <f>Нормы!D16/1000</f>
        <v>28</v>
      </c>
      <c r="AW32" s="328">
        <f>AU32*AV32*1000</f>
        <v>420000</v>
      </c>
      <c r="AX32" s="328">
        <f>Нормы!B17</f>
        <v>1</v>
      </c>
      <c r="AY32" s="328">
        <f>AX32*D6/10</f>
        <v>10</v>
      </c>
      <c r="AZ32" s="329">
        <f>Нормы!D17/1000</f>
        <v>33.700000000000003</v>
      </c>
      <c r="BA32" s="328">
        <f>AY32*AZ32*1000</f>
        <v>337000</v>
      </c>
      <c r="BB32" s="328"/>
      <c r="BC32" s="328"/>
      <c r="BD32" s="328"/>
      <c r="BE32" s="328"/>
      <c r="BF32" s="328"/>
      <c r="BG32" s="328"/>
      <c r="BH32" s="328"/>
      <c r="BI32" s="328">
        <f>аморт!$G$10</f>
        <v>69.696969696969703</v>
      </c>
      <c r="BJ32" s="328">
        <f t="shared" ref="BJ32" si="36">BI32*L32*$O$17</f>
        <v>3866.1752477541954</v>
      </c>
      <c r="BK32" s="328">
        <f>аморт!$G$98</f>
        <v>221.25</v>
      </c>
      <c r="BL32" s="328">
        <f t="shared" ref="BL32" si="37">BK32*L32*$O$17</f>
        <v>12273.005229419705</v>
      </c>
      <c r="BM32" s="328"/>
      <c r="BN32" s="329">
        <f>'Исходные данные'!$B$82</f>
        <v>99.992314269119987</v>
      </c>
      <c r="BO32" s="328">
        <f t="shared" si="28"/>
        <v>10415.8660697</v>
      </c>
      <c r="BP32" s="329">
        <f>'Исходные данные'!$B$87</f>
        <v>8.0425991068799991</v>
      </c>
      <c r="BQ32" s="328">
        <f t="shared" si="10"/>
        <v>837.77074029999994</v>
      </c>
      <c r="BR32" s="329">
        <f>'Исходные данные'!$B$92</f>
        <v>11.043568922879997</v>
      </c>
      <c r="BS32" s="328">
        <f t="shared" si="11"/>
        <v>1150.3717627999997</v>
      </c>
      <c r="BT32" s="328">
        <f>аморт!$C$98*10%/аморт!$F$98*L32*O17</f>
        <v>12273.005229419705</v>
      </c>
      <c r="BU32" s="328">
        <f ca="1">AL32+AM32+AS32+AW32+BA32+BE32+BH32+BJ32+BL32+BM32+BO32+BQ32+BS32+BT32</f>
        <v>925691.89885285287</v>
      </c>
      <c r="BV32" s="328">
        <f t="shared" ca="1" si="13"/>
        <v>9256.9189885285286</v>
      </c>
      <c r="BW32" s="329">
        <f t="shared" si="29"/>
        <v>0.55471210076473232</v>
      </c>
      <c r="BX32" s="329">
        <f>'Исходные данные'!$B$108</f>
        <v>15</v>
      </c>
      <c r="BY32" s="330">
        <f>BX32*L32</f>
        <v>104.16666666666667</v>
      </c>
    </row>
    <row r="33" spans="1:77" x14ac:dyDescent="0.2">
      <c r="A33" s="304"/>
      <c r="B33" s="311"/>
      <c r="C33" s="312"/>
      <c r="D33" s="313"/>
      <c r="E33" s="314"/>
      <c r="F33" s="315"/>
      <c r="G33" s="312"/>
      <c r="H33" s="316"/>
      <c r="I33" s="316"/>
      <c r="J33" s="317"/>
      <c r="K33" s="318"/>
      <c r="L33" s="319"/>
      <c r="M33" s="320"/>
      <c r="N33" s="320"/>
      <c r="O33" s="321"/>
      <c r="P33" s="321"/>
      <c r="Q33" s="320"/>
      <c r="R33" s="317"/>
      <c r="S33" s="320"/>
      <c r="T33" s="319"/>
      <c r="U33" s="322"/>
      <c r="V33" s="322"/>
      <c r="W33" s="322"/>
      <c r="X33" s="335"/>
      <c r="Y33" s="322"/>
      <c r="Z33" s="335"/>
      <c r="AA33" s="322"/>
      <c r="AB33" s="335"/>
      <c r="AC33" s="324"/>
      <c r="AD33" s="322"/>
      <c r="AE33" s="322"/>
      <c r="AF33" s="321"/>
      <c r="AG33" s="325"/>
      <c r="AH33" s="321"/>
      <c r="AI33" s="321"/>
      <c r="AJ33" s="321"/>
      <c r="AK33" s="325"/>
      <c r="AL33" s="321"/>
      <c r="AM33" s="325"/>
      <c r="AN33" s="318"/>
      <c r="AO33" s="319"/>
      <c r="AP33" s="327"/>
      <c r="AQ33" s="319"/>
      <c r="AR33" s="317"/>
      <c r="AS33" s="328"/>
      <c r="AT33" s="31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9"/>
      <c r="BO33" s="328"/>
      <c r="BP33" s="329"/>
      <c r="BQ33" s="328"/>
      <c r="BR33" s="329"/>
      <c r="BS33" s="328"/>
      <c r="BT33" s="328"/>
      <c r="BU33" s="328"/>
      <c r="BV33" s="328"/>
      <c r="BW33" s="329"/>
      <c r="BX33" s="329"/>
      <c r="BY33" s="336"/>
    </row>
    <row r="34" spans="1:77" s="343" customFormat="1" ht="10.5" x14ac:dyDescent="0.2">
      <c r="A34" s="337"/>
      <c r="B34" s="338" t="s">
        <v>22</v>
      </c>
      <c r="C34" s="338"/>
      <c r="D34" s="338"/>
      <c r="E34" s="338"/>
      <c r="F34" s="339"/>
      <c r="G34" s="340"/>
      <c r="H34" s="340"/>
      <c r="I34" s="340"/>
      <c r="J34" s="341">
        <f>SUM(J22:J33)</f>
        <v>53</v>
      </c>
      <c r="K34" s="342"/>
      <c r="L34" s="341">
        <f>SUM(L22:L33)</f>
        <v>48.155488772085405</v>
      </c>
      <c r="M34" s="341">
        <f>SUM(M22:M33)</f>
        <v>8.8173441298441304</v>
      </c>
      <c r="N34" s="341">
        <f>SUM(N22:N33)</f>
        <v>11.743503407368955</v>
      </c>
      <c r="O34" s="341">
        <f>SUM(O22:O33)</f>
        <v>271.15569697806546</v>
      </c>
      <c r="P34" s="341">
        <f>SUM(P22:P33)</f>
        <v>137.49087902294448</v>
      </c>
      <c r="Q34" s="342"/>
      <c r="R34" s="342"/>
      <c r="S34" s="342"/>
      <c r="T34" s="342"/>
      <c r="U34" s="341">
        <f t="shared" ref="U34:AM34" ca="1" si="38">SUM(U22:U33)</f>
        <v>0</v>
      </c>
      <c r="V34" s="341">
        <f t="shared" ca="1" si="38"/>
        <v>0</v>
      </c>
      <c r="W34" s="341">
        <f t="shared" ca="1" si="38"/>
        <v>0</v>
      </c>
      <c r="X34" s="341">
        <f t="shared" ca="1" si="38"/>
        <v>0</v>
      </c>
      <c r="Y34" s="341">
        <f t="shared" ca="1" si="38"/>
        <v>5581.0192187850098</v>
      </c>
      <c r="Z34" s="341">
        <f t="shared" ca="1" si="38"/>
        <v>827.55586278717647</v>
      </c>
      <c r="AA34" s="341">
        <f t="shared" ca="1" si="38"/>
        <v>0</v>
      </c>
      <c r="AB34" s="341">
        <f t="shared" ca="1" si="38"/>
        <v>0</v>
      </c>
      <c r="AC34" s="342"/>
      <c r="AD34" s="341">
        <f t="shared" ca="1" si="38"/>
        <v>171895.39193857828</v>
      </c>
      <c r="AE34" s="341">
        <f t="shared" ca="1" si="38"/>
        <v>48660.284731885979</v>
      </c>
      <c r="AF34" s="341">
        <f t="shared" ca="1" si="38"/>
        <v>25465.983990900488</v>
      </c>
      <c r="AG34" s="341">
        <f t="shared" ca="1" si="38"/>
        <v>7208.9310713905152</v>
      </c>
      <c r="AH34" s="341">
        <f t="shared" ca="1" si="38"/>
        <v>197361.37592947876</v>
      </c>
      <c r="AI34" s="341">
        <f t="shared" ca="1" si="38"/>
        <v>55869.215803276493</v>
      </c>
      <c r="AJ34" s="341">
        <f t="shared" ca="1" si="38"/>
        <v>60589.942410349977</v>
      </c>
      <c r="AK34" s="341">
        <f t="shared" ca="1" si="38"/>
        <v>17151.84925160588</v>
      </c>
      <c r="AL34" s="341">
        <f t="shared" ca="1" si="38"/>
        <v>257951.31833982872</v>
      </c>
      <c r="AM34" s="341">
        <f t="shared" ca="1" si="38"/>
        <v>73021.065054882376</v>
      </c>
      <c r="AN34" s="342"/>
      <c r="AO34" s="342"/>
      <c r="AP34" s="341">
        <f>SUM(AP22:AP33)</f>
        <v>33.683999999999997</v>
      </c>
      <c r="AQ34" s="342"/>
      <c r="AR34" s="342"/>
      <c r="AS34" s="341">
        <f>SUM(AS22:AS33)</f>
        <v>322896.18526126823</v>
      </c>
      <c r="AT34" s="341"/>
      <c r="AU34" s="341">
        <f>SUM(AU22:AU33)</f>
        <v>15</v>
      </c>
      <c r="AV34" s="341"/>
      <c r="AW34" s="341">
        <f>SUM(AW22:AW33)</f>
        <v>420000</v>
      </c>
      <c r="AX34" s="341"/>
      <c r="AY34" s="341">
        <f>SUM(AY22:AY33)</f>
        <v>10</v>
      </c>
      <c r="AZ34" s="341"/>
      <c r="BA34" s="341">
        <f>SUM(BA22:BA33)</f>
        <v>337000</v>
      </c>
      <c r="BB34" s="342"/>
      <c r="BC34" s="342"/>
      <c r="BD34" s="342"/>
      <c r="BE34" s="342"/>
      <c r="BF34" s="342"/>
      <c r="BG34" s="342"/>
      <c r="BH34" s="342"/>
      <c r="BI34" s="342"/>
      <c r="BJ34" s="341">
        <f>SUM(BJ22:BJ33)</f>
        <v>33704.781234380112</v>
      </c>
      <c r="BK34" s="341"/>
      <c r="BL34" s="341">
        <f>SUM(BL22:BL33)</f>
        <v>63001.733723841899</v>
      </c>
      <c r="BM34" s="341"/>
      <c r="BN34" s="341"/>
      <c r="BO34" s="341">
        <f>SUM(BO22:BO33)</f>
        <v>40479.259671126216</v>
      </c>
      <c r="BP34" s="341"/>
      <c r="BQ34" s="341">
        <f>SUM(BQ22:BQ33)</f>
        <v>3722.5838097170226</v>
      </c>
      <c r="BR34" s="341"/>
      <c r="BS34" s="341">
        <f>SUM(BS22:BS33)</f>
        <v>4194.6818397913039</v>
      </c>
      <c r="BT34" s="341">
        <f>SUM(BT22:BT33)</f>
        <v>47056.222662766027</v>
      </c>
      <c r="BU34" s="341">
        <f ca="1">SUM(BU22:BU33)</f>
        <v>1603027.831597602</v>
      </c>
      <c r="BV34" s="341"/>
      <c r="BW34" s="341"/>
      <c r="BX34" s="341"/>
      <c r="BY34" s="341">
        <f>SUM(BY22:BY33)</f>
        <v>405.4013835263836</v>
      </c>
    </row>
    <row r="35" spans="1:77" s="278" customFormat="1" ht="12.75" customHeight="1" x14ac:dyDescent="0.2">
      <c r="A35" s="305"/>
      <c r="B35" s="525" t="s">
        <v>84</v>
      </c>
      <c r="C35" s="525"/>
      <c r="D35" s="525"/>
      <c r="E35" s="525"/>
      <c r="F35" s="306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8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9"/>
      <c r="AQ35" s="310"/>
      <c r="AR35" s="310"/>
      <c r="AS35" s="309"/>
      <c r="AT35" s="307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09"/>
      <c r="BF35" s="309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309"/>
      <c r="BW35" s="309"/>
      <c r="BX35" s="309"/>
      <c r="BY35" s="307"/>
    </row>
    <row r="36" spans="1:77" ht="22.5" x14ac:dyDescent="0.2">
      <c r="A36" s="344">
        <v>1</v>
      </c>
      <c r="B36" s="311" t="s">
        <v>433</v>
      </c>
      <c r="C36" s="312">
        <v>2</v>
      </c>
      <c r="D36" s="313" t="s">
        <v>107</v>
      </c>
      <c r="E36" s="314" t="s">
        <v>535</v>
      </c>
      <c r="F36" s="315" t="s">
        <v>108</v>
      </c>
      <c r="G36" s="312">
        <f>D6</f>
        <v>100</v>
      </c>
      <c r="H36" s="345">
        <v>40391</v>
      </c>
      <c r="I36" s="345">
        <v>40395</v>
      </c>
      <c r="J36" s="317">
        <f t="shared" ref="J36:J41" si="39">I36-H36</f>
        <v>4</v>
      </c>
      <c r="K36" s="318">
        <v>9.6</v>
      </c>
      <c r="L36" s="319">
        <f t="shared" ref="L36:L41" si="40">G36/K36</f>
        <v>10.416666666666668</v>
      </c>
      <c r="M36" s="320">
        <f t="shared" ref="M36:M38" si="41">L36/J36</f>
        <v>2.604166666666667</v>
      </c>
      <c r="N36" s="320"/>
      <c r="O36" s="321">
        <f t="shared" ref="O36:O41" si="42">IF(M36=0,0,L36*$O$17)</f>
        <v>83.206815114709855</v>
      </c>
      <c r="P36" s="321">
        <f t="shared" ref="P36:P41" si="43">IF(N36=0,0,L36*$O$17)</f>
        <v>0</v>
      </c>
      <c r="Q36" s="319">
        <v>4</v>
      </c>
      <c r="R36" s="317">
        <f ca="1">IF(AND(O36&gt;0,Q36&gt;0),SUMIF('Исходные данные'!$C$13:H34,Q36,'Исходные данные'!$C$17:$H$17),IF(O36=0,0,IF(Q36=0,"РОТ")))</f>
        <v>156.08125696908263</v>
      </c>
      <c r="S36" s="320"/>
      <c r="T36" s="317">
        <f>IF(AND(N36&gt;0,P36&gt;0),SUMIF('Исходные данные'!$C$13:$J$29,S36,'Исходные данные'!$C$33:$J$33),IF(N36=0,0,IF(S36=0,"РОТ")))</f>
        <v>0</v>
      </c>
      <c r="U36" s="322">
        <f ca="1">O36*R36*'Исходные данные'!$C$37%</f>
        <v>0</v>
      </c>
      <c r="V36" s="322">
        <f>P36*T36*'Исходные данные'!$C$38%</f>
        <v>0</v>
      </c>
      <c r="W36" s="322">
        <f t="shared" ref="W36:W41" ca="1" si="44">O36*R36*$W$17</f>
        <v>0</v>
      </c>
      <c r="X36" s="323">
        <f t="shared" ref="X36:X41" si="45">P36*T36*$W$17</f>
        <v>0</v>
      </c>
      <c r="Y36" s="322">
        <f t="shared" ref="Y36:Y41" ca="1" si="46">(O36*R36+U36+W36)*$Y$17</f>
        <v>1298.7024291497978</v>
      </c>
      <c r="Z36" s="323">
        <f t="shared" ref="Z36:Z41" si="47">(P36*T36+V36+X36)*$Z$17</f>
        <v>0</v>
      </c>
      <c r="AA36" s="322">
        <f t="shared" ref="AA36:AA41" ca="1" si="48">(O36*R36+U36)*$AA$17</f>
        <v>0</v>
      </c>
      <c r="AB36" s="323">
        <f t="shared" ref="AB36:AB41" si="49">(P36*T36+V36)*$AA$17</f>
        <v>0</v>
      </c>
      <c r="AC36" s="324">
        <v>2.8</v>
      </c>
      <c r="AD36" s="322">
        <f t="shared" ref="AD36:AD41" ca="1" si="50">(O36*R36+U36+W36+Y36+AA36)*AC36</f>
        <v>40000.034817813772</v>
      </c>
      <c r="AE36" s="322">
        <f t="shared" ref="AE36:AE41" si="51">(P36*T36+V36+X36+Z36+AB36)*AC36</f>
        <v>0</v>
      </c>
      <c r="AF36" s="321">
        <f t="shared" ref="AF36:AF41" ca="1" si="52">AD36*$AF$17</f>
        <v>5925.9310841205588</v>
      </c>
      <c r="AG36" s="326">
        <f t="shared" ref="AG36:AG41" ca="1" si="53">AE36*$AF$17</f>
        <v>0</v>
      </c>
      <c r="AH36" s="321">
        <f t="shared" ref="AH36:AH41" ca="1" si="54">AD36+AF36</f>
        <v>45925.965901934331</v>
      </c>
      <c r="AI36" s="321">
        <f t="shared" ref="AI36:AI41" ca="1" si="55">AE36+AG36</f>
        <v>0</v>
      </c>
      <c r="AJ36" s="321">
        <f t="shared" ref="AJ36:AJ41" ca="1" si="56">AH36*$AJ$17</f>
        <v>14099.271531893839</v>
      </c>
      <c r="AK36" s="326">
        <f t="shared" ref="AK36:AK41" ca="1" si="57">AI36*$AJ$17</f>
        <v>0</v>
      </c>
      <c r="AL36" s="321">
        <f t="shared" ref="AL36:AL41" ca="1" si="58">AH36+AJ36</f>
        <v>60025.237433828166</v>
      </c>
      <c r="AM36" s="326">
        <f t="shared" ref="AM36:AM41" ca="1" si="59">AK36+AI36</f>
        <v>0</v>
      </c>
      <c r="AN36" s="318">
        <v>6</v>
      </c>
      <c r="AO36" s="319">
        <f>'Исходные данные'!$C$53</f>
        <v>0.84</v>
      </c>
      <c r="AP36" s="327">
        <f>(G36*AN36)*AO36/100</f>
        <v>5.04</v>
      </c>
      <c r="AQ36" s="319" t="s">
        <v>155</v>
      </c>
      <c r="AR36" s="317">
        <f>'Исходные данные'!$G$78</f>
        <v>9559.3714285714286</v>
      </c>
      <c r="AS36" s="328">
        <f>AP36*AR36</f>
        <v>48179.232000000004</v>
      </c>
      <c r="AT36" s="318"/>
      <c r="AU36" s="328"/>
      <c r="AV36" s="328"/>
      <c r="AW36" s="328"/>
      <c r="AX36" s="328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>
        <f>аморт!$G$10</f>
        <v>69.696969696969703</v>
      </c>
      <c r="BJ36" s="328">
        <f t="shared" ref="BJ36:BJ38" si="60">BI36*L36*$O$17</f>
        <v>5799.2628716312938</v>
      </c>
      <c r="BK36" s="328">
        <f>аморт!G27</f>
        <v>343.69111111111113</v>
      </c>
      <c r="BL36" s="328">
        <f t="shared" ref="BL36:BL37" si="61">BK36*L36*$O$17</f>
        <v>28597.442738791429</v>
      </c>
      <c r="BM36" s="328"/>
      <c r="BN36" s="329">
        <f>'Исходные данные'!$E$82</f>
        <v>98.911965135359992</v>
      </c>
      <c r="BO36" s="328">
        <f>BN36*BY36</f>
        <v>5254.6981478159996</v>
      </c>
      <c r="BP36" s="329">
        <f>'Исходные данные'!$E$87</f>
        <v>16.685392176959997</v>
      </c>
      <c r="BQ36" s="328">
        <f>BP36*BY36</f>
        <v>886.41145940099989</v>
      </c>
      <c r="BR36" s="329">
        <f>'Исходные данные'!$E$92</f>
        <v>5.7618620467199984</v>
      </c>
      <c r="BS36" s="328">
        <f>BR36*BY36</f>
        <v>306.0989212319999</v>
      </c>
      <c r="BT36" s="328">
        <f>аморт!C27*10%/аморт!F27*L36*O17</f>
        <v>22877.954191033146</v>
      </c>
      <c r="BU36" s="328">
        <f t="shared" ref="BU36:BU41" ca="1" si="62">AL36+AM36+AS36+AW36+BA36+BE36+BH36+BJ36+BL36+BM36+BO36+BQ36+BS36+BT36</f>
        <v>171926.33776373303</v>
      </c>
      <c r="BV36" s="328">
        <f t="shared" ref="BV36:BV41" ca="1" si="63">BU36/$D$6</f>
        <v>1719.2633776373302</v>
      </c>
      <c r="BW36" s="329">
        <f t="shared" ref="BW36:BW41" si="64">(O36+P36)/$D$6</f>
        <v>0.83206815114709853</v>
      </c>
      <c r="BX36" s="329">
        <f>'Исходные данные'!$B$102</f>
        <v>5.0999999999999996</v>
      </c>
      <c r="BY36" s="330">
        <f>BX36*L36</f>
        <v>53.125</v>
      </c>
    </row>
    <row r="37" spans="1:77" x14ac:dyDescent="0.2">
      <c r="A37" s="344">
        <v>2</v>
      </c>
      <c r="B37" s="311" t="s">
        <v>79</v>
      </c>
      <c r="C37" s="312">
        <v>2</v>
      </c>
      <c r="D37" s="313" t="s">
        <v>107</v>
      </c>
      <c r="E37" s="314" t="s">
        <v>117</v>
      </c>
      <c r="F37" s="315" t="s">
        <v>121</v>
      </c>
      <c r="G37" s="312">
        <f>D12/10</f>
        <v>800</v>
      </c>
      <c r="H37" s="345">
        <v>40364</v>
      </c>
      <c r="I37" s="316">
        <v>40369</v>
      </c>
      <c r="J37" s="317">
        <f t="shared" si="39"/>
        <v>5</v>
      </c>
      <c r="K37" s="318">
        <v>21</v>
      </c>
      <c r="L37" s="319">
        <f t="shared" si="40"/>
        <v>38.095238095238095</v>
      </c>
      <c r="M37" s="320">
        <f>L37/J37</f>
        <v>7.6190476190476186</v>
      </c>
      <c r="N37" s="320"/>
      <c r="O37" s="321">
        <f>IF(M37=0,0,L37*$O$17)</f>
        <v>304.29920956236748</v>
      </c>
      <c r="P37" s="321">
        <f t="shared" si="43"/>
        <v>0</v>
      </c>
      <c r="Q37" s="319">
        <v>2</v>
      </c>
      <c r="R37" s="317">
        <f ca="1">IF(AND(O37&gt;0,Q37&gt;0),SUMIF('Исходные данные'!$C$13:H34,Q37,'Исходные данные'!$C$17:$H$17),IF(O37=0,0,IF(Q37=0,"РОТ")))</f>
        <v>128.66557526609228</v>
      </c>
      <c r="S37" s="320"/>
      <c r="T37" s="317">
        <f>IF(AND(N37&gt;0,P37&gt;0),SUMIF('Исходные данные'!$C$13:$J$29,S37,'Исходные данные'!$C$33:$J$33),IF(N37=0,0,IF(S37=0,"РОТ")))</f>
        <v>0</v>
      </c>
      <c r="U37" s="322">
        <f ca="1">O37*R37*'Исходные данные'!$C$37%</f>
        <v>0</v>
      </c>
      <c r="V37" s="322">
        <f>P37*T37*'Исходные данные'!$C$38%</f>
        <v>0</v>
      </c>
      <c r="W37" s="322">
        <f t="shared" ca="1" si="44"/>
        <v>0</v>
      </c>
      <c r="X37" s="323">
        <f t="shared" si="45"/>
        <v>0</v>
      </c>
      <c r="Y37" s="322">
        <f t="shared" ca="1" si="46"/>
        <v>3915.283285135918</v>
      </c>
      <c r="Z37" s="323">
        <f t="shared" si="47"/>
        <v>0</v>
      </c>
      <c r="AA37" s="322">
        <f t="shared" ca="1" si="48"/>
        <v>0</v>
      </c>
      <c r="AB37" s="323">
        <f t="shared" si="49"/>
        <v>0</v>
      </c>
      <c r="AC37" s="324">
        <v>2.8</v>
      </c>
      <c r="AD37" s="322">
        <f t="shared" ca="1" si="50"/>
        <v>120590.72518218626</v>
      </c>
      <c r="AE37" s="322">
        <f t="shared" si="51"/>
        <v>0</v>
      </c>
      <c r="AF37" s="321">
        <f t="shared" ca="1" si="52"/>
        <v>17865.29261958315</v>
      </c>
      <c r="AG37" s="326">
        <f t="shared" ca="1" si="53"/>
        <v>0</v>
      </c>
      <c r="AH37" s="321">
        <f t="shared" ca="1" si="54"/>
        <v>138456.0178017694</v>
      </c>
      <c r="AI37" s="321">
        <f t="shared" ca="1" si="55"/>
        <v>0</v>
      </c>
      <c r="AJ37" s="321">
        <f t="shared" ca="1" si="56"/>
        <v>42505.997465143206</v>
      </c>
      <c r="AK37" s="326">
        <f t="shared" ca="1" si="57"/>
        <v>0</v>
      </c>
      <c r="AL37" s="321">
        <f t="shared" ca="1" si="58"/>
        <v>180962.01526691261</v>
      </c>
      <c r="AM37" s="326">
        <f t="shared" ca="1" si="59"/>
        <v>0</v>
      </c>
      <c r="AN37" s="318">
        <v>0.96</v>
      </c>
      <c r="AO37" s="319">
        <f>'Исходные данные'!$C$53</f>
        <v>0.84</v>
      </c>
      <c r="AP37" s="327">
        <f>(G37*AN37)*AO37/100</f>
        <v>6.4512</v>
      </c>
      <c r="AQ37" s="319" t="s">
        <v>155</v>
      </c>
      <c r="AR37" s="317">
        <f>'Исходные данные'!$G$78</f>
        <v>9559.3714285714286</v>
      </c>
      <c r="AS37" s="328">
        <f>AP37*AR37</f>
        <v>61669.416960000002</v>
      </c>
      <c r="AT37" s="318"/>
      <c r="AU37" s="328"/>
      <c r="AV37" s="328"/>
      <c r="AW37" s="328"/>
      <c r="AX37" s="328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>
        <f>аморт!$G$10</f>
        <v>69.696969696969703</v>
      </c>
      <c r="BJ37" s="328">
        <f t="shared" si="60"/>
        <v>21208.732787680157</v>
      </c>
      <c r="BK37" s="328">
        <f>аморт!$G$25</f>
        <v>12.519247457627118</v>
      </c>
      <c r="BL37" s="328">
        <f t="shared" si="61"/>
        <v>3809.5971056716107</v>
      </c>
      <c r="BM37" s="328"/>
      <c r="BN37" s="329">
        <f>'Исходные данные'!$E$82</f>
        <v>98.911965135359992</v>
      </c>
      <c r="BO37" s="328">
        <f>BN37*BY37</f>
        <v>19217.181797727084</v>
      </c>
      <c r="BP37" s="329">
        <f>'Исходные данные'!$E$87</f>
        <v>16.685392176959997</v>
      </c>
      <c r="BQ37" s="328">
        <f>BP37*BY37</f>
        <v>3241.7333372379421</v>
      </c>
      <c r="BR37" s="329">
        <f>'Исходные данные'!$E$92</f>
        <v>5.7618620467199984</v>
      </c>
      <c r="BS37" s="328">
        <f>BR37*BY37</f>
        <v>1119.4474833627426</v>
      </c>
      <c r="BT37" s="328">
        <f>аморт!$C$25*10%/аморт!$F$25*L37*O17</f>
        <v>3809.5971056716107</v>
      </c>
      <c r="BU37" s="328">
        <f t="shared" ca="1" si="62"/>
        <v>295037.72184426372</v>
      </c>
      <c r="BV37" s="328">
        <f t="shared" ca="1" si="63"/>
        <v>2950.3772184426371</v>
      </c>
      <c r="BW37" s="329">
        <f t="shared" si="64"/>
        <v>3.0429920956236747</v>
      </c>
      <c r="BX37" s="329">
        <f>'Исходные данные'!$B$102</f>
        <v>5.0999999999999996</v>
      </c>
      <c r="BY37" s="330">
        <f>BX37*L37</f>
        <v>194.28571428571428</v>
      </c>
    </row>
    <row r="38" spans="1:77" x14ac:dyDescent="0.2">
      <c r="A38" s="304">
        <f>A37+1</f>
        <v>3</v>
      </c>
      <c r="B38" s="311" t="s">
        <v>80</v>
      </c>
      <c r="C38" s="312">
        <v>1</v>
      </c>
      <c r="D38" s="527" t="s">
        <v>496</v>
      </c>
      <c r="E38" s="528"/>
      <c r="F38" s="315" t="s">
        <v>121</v>
      </c>
      <c r="G38" s="312">
        <f>D12/10</f>
        <v>800</v>
      </c>
      <c r="H38" s="345">
        <v>40369</v>
      </c>
      <c r="I38" s="316">
        <v>40374</v>
      </c>
      <c r="J38" s="317">
        <f t="shared" si="39"/>
        <v>5</v>
      </c>
      <c r="K38" s="318">
        <v>100</v>
      </c>
      <c r="L38" s="319">
        <f t="shared" si="40"/>
        <v>8</v>
      </c>
      <c r="M38" s="320">
        <f t="shared" si="41"/>
        <v>1.6</v>
      </c>
      <c r="N38" s="320"/>
      <c r="O38" s="321">
        <f t="shared" si="42"/>
        <v>63.902834008097166</v>
      </c>
      <c r="P38" s="321">
        <f t="shared" si="43"/>
        <v>0</v>
      </c>
      <c r="Q38" s="319">
        <v>5</v>
      </c>
      <c r="R38" s="317">
        <f ca="1">IF(AND(O38&gt;0,Q38&gt;0),SUMIF('Исходные данные'!$C$13:H35,Q38,'Исходные данные'!$C$21:$H$21),IF(O38=0,0,IF(Q38=0,"РОТ")))</f>
        <v>197.57121135326915</v>
      </c>
      <c r="S38" s="320"/>
      <c r="T38" s="317">
        <f>IF(AND(N38&gt;0,P38&gt;0),SUMIF('Исходные данные'!$C$13:$J$29,S38,'Исходные данные'!$C$33:$J$33),IF(N38=0,0,IF(S38=0,"РОТ")))</f>
        <v>0</v>
      </c>
      <c r="U38" s="322">
        <f ca="1">O38*R38*'Исходные данные'!$C$37%</f>
        <v>0</v>
      </c>
      <c r="V38" s="322">
        <f>P38*T38*'Исходные данные'!$C$38%</f>
        <v>0</v>
      </c>
      <c r="W38" s="322">
        <f t="shared" ca="1" si="44"/>
        <v>0</v>
      </c>
      <c r="X38" s="323">
        <f t="shared" si="45"/>
        <v>0</v>
      </c>
      <c r="Y38" s="322">
        <f t="shared" ca="1" si="46"/>
        <v>1262.5360323886641</v>
      </c>
      <c r="Z38" s="323">
        <f t="shared" si="47"/>
        <v>0</v>
      </c>
      <c r="AA38" s="322">
        <f t="shared" ca="1" si="48"/>
        <v>0</v>
      </c>
      <c r="AB38" s="323">
        <f t="shared" si="49"/>
        <v>0</v>
      </c>
      <c r="AC38" s="324">
        <v>2.8</v>
      </c>
      <c r="AD38" s="322">
        <f t="shared" ca="1" si="50"/>
        <v>38886.109797570847</v>
      </c>
      <c r="AE38" s="322">
        <f t="shared" si="51"/>
        <v>0</v>
      </c>
      <c r="AF38" s="321">
        <f t="shared" ca="1" si="52"/>
        <v>5760.9051551956809</v>
      </c>
      <c r="AG38" s="326">
        <f t="shared" ca="1" si="53"/>
        <v>0</v>
      </c>
      <c r="AH38" s="321">
        <f t="shared" ca="1" si="54"/>
        <v>44647.014952766527</v>
      </c>
      <c r="AI38" s="321">
        <f t="shared" ca="1" si="55"/>
        <v>0</v>
      </c>
      <c r="AJ38" s="321">
        <f t="shared" ca="1" si="56"/>
        <v>13706.633590499323</v>
      </c>
      <c r="AK38" s="326">
        <f t="shared" ca="1" si="57"/>
        <v>0</v>
      </c>
      <c r="AL38" s="321">
        <f t="shared" ca="1" si="58"/>
        <v>58353.648543265852</v>
      </c>
      <c r="AM38" s="326">
        <f t="shared" ca="1" si="59"/>
        <v>0</v>
      </c>
      <c r="AN38" s="318">
        <v>10</v>
      </c>
      <c r="AO38" s="319">
        <f>'Исходные данные'!$C$53</f>
        <v>0.84</v>
      </c>
      <c r="AP38" s="327">
        <f>(G38*AN38)*AO38/100</f>
        <v>67.2</v>
      </c>
      <c r="AQ38" s="319" t="s">
        <v>155</v>
      </c>
      <c r="AR38" s="317">
        <f>'Исходные данные'!$B$78</f>
        <v>9647.4914285714294</v>
      </c>
      <c r="AS38" s="328">
        <f>AP38*AR38</f>
        <v>648311.42400000012</v>
      </c>
      <c r="AT38" s="318"/>
      <c r="AU38" s="328"/>
      <c r="AV38" s="328"/>
      <c r="AW38" s="328"/>
      <c r="AX38" s="328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>
        <f>аморт!$G$7</f>
        <v>57.877753750000004</v>
      </c>
      <c r="BJ38" s="328">
        <f t="shared" si="60"/>
        <v>3698.5524906477735</v>
      </c>
      <c r="BK38" s="328"/>
      <c r="BL38" s="328">
        <f>BK38*L38</f>
        <v>0</v>
      </c>
      <c r="BM38" s="328"/>
      <c r="BN38" s="329">
        <f>'Исходные данные'!$D$82</f>
        <v>134.08333137888002</v>
      </c>
      <c r="BO38" s="328">
        <f>BN38*BY38</f>
        <v>7723.1998874234896</v>
      </c>
      <c r="BP38" s="329">
        <f>'Исходные данные'!$D$87</f>
        <v>15.00484908</v>
      </c>
      <c r="BQ38" s="328">
        <f>BP38*BY38</f>
        <v>864.27930700800005</v>
      </c>
      <c r="BR38" s="328"/>
      <c r="BS38" s="328">
        <f>BR38*BY38</f>
        <v>0</v>
      </c>
      <c r="BT38" s="328"/>
      <c r="BU38" s="328">
        <f t="shared" ca="1" si="62"/>
        <v>718951.10422834533</v>
      </c>
      <c r="BV38" s="328">
        <f t="shared" ca="1" si="63"/>
        <v>7189.5110422834532</v>
      </c>
      <c r="BW38" s="329">
        <f t="shared" si="64"/>
        <v>0.63902834008097165</v>
      </c>
      <c r="BX38" s="329">
        <f>'Исходные данные'!$B$98</f>
        <v>7.2</v>
      </c>
      <c r="BY38" s="330">
        <f>BX38*L38</f>
        <v>57.6</v>
      </c>
    </row>
    <row r="39" spans="1:77" ht="22.5" x14ac:dyDescent="0.2">
      <c r="A39" s="304">
        <f>A38+1</f>
        <v>4</v>
      </c>
      <c r="B39" s="311" t="s">
        <v>375</v>
      </c>
      <c r="C39" s="312"/>
      <c r="D39" s="521" t="s">
        <v>120</v>
      </c>
      <c r="E39" s="522"/>
      <c r="F39" s="315" t="s">
        <v>121</v>
      </c>
      <c r="G39" s="329">
        <f>BC39</f>
        <v>16</v>
      </c>
      <c r="H39" s="345">
        <v>40369</v>
      </c>
      <c r="I39" s="316">
        <v>40370</v>
      </c>
      <c r="J39" s="317">
        <f t="shared" si="39"/>
        <v>1</v>
      </c>
      <c r="K39" s="318">
        <v>2</v>
      </c>
      <c r="L39" s="319">
        <f>G39/K39</f>
        <v>8</v>
      </c>
      <c r="M39" s="320"/>
      <c r="N39" s="320">
        <f t="shared" ref="N39:N41" si="65">L39/J39</f>
        <v>8</v>
      </c>
      <c r="O39" s="321">
        <f t="shared" si="42"/>
        <v>0</v>
      </c>
      <c r="P39" s="321">
        <f t="shared" si="43"/>
        <v>63.902834008097166</v>
      </c>
      <c r="Q39" s="320"/>
      <c r="R39" s="319"/>
      <c r="S39" s="320">
        <v>2</v>
      </c>
      <c r="T39" s="317">
        <f ca="1">IF(AND(N39&gt;0,P39&gt;0),SUMIF('Исходные данные'!$C$13:$J$29,S39,'Исходные данные'!$C$33:$J$33),IF(N39=0,0,IF(S39=0,"РОТ")))</f>
        <v>105.700598073999</v>
      </c>
      <c r="U39" s="322">
        <f>O39*R39*'Исходные данные'!$C$37%</f>
        <v>0</v>
      </c>
      <c r="V39" s="322">
        <f ca="1">P39*T39*'Исходные данные'!$C$38%</f>
        <v>0</v>
      </c>
      <c r="W39" s="322">
        <f t="shared" si="44"/>
        <v>0</v>
      </c>
      <c r="X39" s="323">
        <f t="shared" ca="1" si="45"/>
        <v>0</v>
      </c>
      <c r="Y39" s="322">
        <f t="shared" si="46"/>
        <v>0</v>
      </c>
      <c r="Z39" s="323">
        <f t="shared" ca="1" si="47"/>
        <v>337.72838866396768</v>
      </c>
      <c r="AA39" s="322">
        <f t="shared" si="48"/>
        <v>0</v>
      </c>
      <c r="AB39" s="323">
        <f t="shared" ca="1" si="49"/>
        <v>0</v>
      </c>
      <c r="AC39" s="324">
        <v>2.8</v>
      </c>
      <c r="AD39" s="322">
        <f t="shared" si="50"/>
        <v>0</v>
      </c>
      <c r="AE39" s="322">
        <f t="shared" ca="1" si="51"/>
        <v>19858.429253441296</v>
      </c>
      <c r="AF39" s="321">
        <f t="shared" ca="1" si="52"/>
        <v>0</v>
      </c>
      <c r="AG39" s="326">
        <f t="shared" ca="1" si="53"/>
        <v>2941.9895190283401</v>
      </c>
      <c r="AH39" s="321">
        <f t="shared" ca="1" si="54"/>
        <v>0</v>
      </c>
      <c r="AI39" s="321">
        <f t="shared" ca="1" si="55"/>
        <v>22800.418772469635</v>
      </c>
      <c r="AJ39" s="321">
        <f t="shared" ca="1" si="56"/>
        <v>0</v>
      </c>
      <c r="AK39" s="326">
        <f t="shared" ca="1" si="57"/>
        <v>6999.7285631481782</v>
      </c>
      <c r="AL39" s="321">
        <f t="shared" ca="1" si="58"/>
        <v>0</v>
      </c>
      <c r="AM39" s="326">
        <f t="shared" ca="1" si="59"/>
        <v>29800.147335617814</v>
      </c>
      <c r="AN39" s="319"/>
      <c r="AO39" s="318"/>
      <c r="AP39" s="328"/>
      <c r="AQ39" s="333"/>
      <c r="AR39" s="333"/>
      <c r="AS39" s="328"/>
      <c r="AT39" s="318"/>
      <c r="AU39" s="328"/>
      <c r="AV39" s="328"/>
      <c r="AW39" s="328"/>
      <c r="AX39" s="328"/>
      <c r="AY39" s="328"/>
      <c r="AZ39" s="328"/>
      <c r="BA39" s="328"/>
      <c r="BB39" s="328">
        <f>Нормы!B18</f>
        <v>2</v>
      </c>
      <c r="BC39" s="329">
        <f>BB39*D12/1000</f>
        <v>16</v>
      </c>
      <c r="BD39" s="346">
        <f>Нормы!D18/1000</f>
        <v>12.5</v>
      </c>
      <c r="BE39" s="328">
        <f>BC39*BD39*1000</f>
        <v>200000</v>
      </c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  <c r="BS39" s="328"/>
      <c r="BT39" s="328"/>
      <c r="BU39" s="328">
        <f t="shared" ca="1" si="62"/>
        <v>229800.1473356178</v>
      </c>
      <c r="BV39" s="328">
        <f t="shared" ca="1" si="63"/>
        <v>2298.0014733561779</v>
      </c>
      <c r="BW39" s="329">
        <f t="shared" si="64"/>
        <v>0.63902834008097165</v>
      </c>
      <c r="BX39" s="329"/>
      <c r="BY39" s="336"/>
    </row>
    <row r="40" spans="1:77" x14ac:dyDescent="0.2">
      <c r="A40" s="304">
        <f>A39+1</f>
        <v>5</v>
      </c>
      <c r="B40" s="311" t="s">
        <v>82</v>
      </c>
      <c r="C40" s="312"/>
      <c r="D40" s="521" t="s">
        <v>120</v>
      </c>
      <c r="E40" s="522"/>
      <c r="F40" s="315" t="s">
        <v>125</v>
      </c>
      <c r="G40" s="312">
        <f>D9*D10*2</f>
        <v>400</v>
      </c>
      <c r="H40" s="345">
        <v>40371</v>
      </c>
      <c r="I40" s="316">
        <v>40374</v>
      </c>
      <c r="J40" s="317">
        <f t="shared" si="39"/>
        <v>3</v>
      </c>
      <c r="K40" s="318">
        <v>4</v>
      </c>
      <c r="L40" s="319">
        <f t="shared" si="40"/>
        <v>100</v>
      </c>
      <c r="M40" s="320"/>
      <c r="N40" s="320">
        <f t="shared" si="65"/>
        <v>33.333333333333336</v>
      </c>
      <c r="O40" s="321">
        <f t="shared" si="42"/>
        <v>0</v>
      </c>
      <c r="P40" s="321">
        <f t="shared" si="43"/>
        <v>798.78542510121463</v>
      </c>
      <c r="Q40" s="320"/>
      <c r="R40" s="319"/>
      <c r="S40" s="320">
        <v>2</v>
      </c>
      <c r="T40" s="317">
        <f ca="1">IF(AND(N40&gt;0,P40&gt;0),SUMIF('Исходные данные'!$C$13:$J$29,S40,'Исходные данные'!$C$33:$J$33),IF(N40=0,0,IF(S40=0,"РОТ")))</f>
        <v>105.700598073999</v>
      </c>
      <c r="U40" s="322">
        <f>O40*R40*'Исходные данные'!$C$37%</f>
        <v>0</v>
      </c>
      <c r="V40" s="322">
        <f ca="1">P40*T40*'Исходные данные'!$C$38%</f>
        <v>0</v>
      </c>
      <c r="W40" s="322">
        <f t="shared" si="44"/>
        <v>0</v>
      </c>
      <c r="X40" s="323">
        <f t="shared" ca="1" si="45"/>
        <v>0</v>
      </c>
      <c r="Y40" s="322">
        <f t="shared" si="46"/>
        <v>0</v>
      </c>
      <c r="Z40" s="323">
        <f t="shared" ca="1" si="47"/>
        <v>4221.6048582995963</v>
      </c>
      <c r="AA40" s="322">
        <f t="shared" si="48"/>
        <v>0</v>
      </c>
      <c r="AB40" s="323">
        <f t="shared" ca="1" si="49"/>
        <v>0</v>
      </c>
      <c r="AC40" s="324">
        <v>2.8</v>
      </c>
      <c r="AD40" s="322">
        <f t="shared" si="50"/>
        <v>0</v>
      </c>
      <c r="AE40" s="322">
        <f t="shared" ca="1" si="51"/>
        <v>248230.36566801622</v>
      </c>
      <c r="AF40" s="321">
        <f t="shared" ca="1" si="52"/>
        <v>0</v>
      </c>
      <c r="AG40" s="326">
        <f t="shared" ca="1" si="53"/>
        <v>36774.86898785425</v>
      </c>
      <c r="AH40" s="321">
        <f t="shared" ca="1" si="54"/>
        <v>0</v>
      </c>
      <c r="AI40" s="321">
        <f t="shared" ca="1" si="55"/>
        <v>285005.23465587047</v>
      </c>
      <c r="AJ40" s="321">
        <f ca="1">AH40*$AJ$17</f>
        <v>0</v>
      </c>
      <c r="AK40" s="326">
        <f ca="1">AI40*$AJ$17</f>
        <v>87496.607039352239</v>
      </c>
      <c r="AL40" s="321">
        <f ca="1">AH40+AJ40</f>
        <v>0</v>
      </c>
      <c r="AM40" s="326">
        <f ca="1">AK40+AI40</f>
        <v>372501.84169522271</v>
      </c>
      <c r="AN40" s="318"/>
      <c r="AO40" s="318"/>
      <c r="AP40" s="328"/>
      <c r="AQ40" s="333"/>
      <c r="AR40" s="333"/>
      <c r="AS40" s="328"/>
      <c r="AT40" s="318"/>
      <c r="AU40" s="328"/>
      <c r="AV40" s="328"/>
      <c r="AW40" s="328"/>
      <c r="AX40" s="328"/>
      <c r="AY40" s="328"/>
      <c r="AZ40" s="328"/>
      <c r="BA40" s="328"/>
      <c r="BB40" s="328"/>
      <c r="BC40" s="328"/>
      <c r="BD40" s="328"/>
      <c r="BE40" s="328"/>
      <c r="BF40" s="328">
        <f>G40*1.13</f>
        <v>451.99999999999994</v>
      </c>
      <c r="BG40" s="329">
        <f>'Исходные данные'!B137</f>
        <v>96</v>
      </c>
      <c r="BH40" s="328">
        <f>BF40*BG40</f>
        <v>43391.999999999993</v>
      </c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  <c r="BS40" s="328"/>
      <c r="BT40" s="328"/>
      <c r="BU40" s="328">
        <f t="shared" ca="1" si="62"/>
        <v>415893.84169522271</v>
      </c>
      <c r="BV40" s="328">
        <f t="shared" ca="1" si="63"/>
        <v>4158.9384169522273</v>
      </c>
      <c r="BW40" s="329">
        <f t="shared" si="64"/>
        <v>7.9878542510121466</v>
      </c>
      <c r="BX40" s="329"/>
      <c r="BY40" s="336"/>
    </row>
    <row r="41" spans="1:77" ht="22.5" x14ac:dyDescent="0.2">
      <c r="A41" s="304">
        <f>A40+1</f>
        <v>6</v>
      </c>
      <c r="B41" s="311" t="s">
        <v>83</v>
      </c>
      <c r="C41" s="312"/>
      <c r="D41" s="521" t="s">
        <v>120</v>
      </c>
      <c r="E41" s="522"/>
      <c r="F41" s="315" t="s">
        <v>125</v>
      </c>
      <c r="G41" s="312">
        <f>G40</f>
        <v>400</v>
      </c>
      <c r="H41" s="345">
        <v>40375</v>
      </c>
      <c r="I41" s="316">
        <v>40376</v>
      </c>
      <c r="J41" s="317">
        <f t="shared" si="39"/>
        <v>1</v>
      </c>
      <c r="K41" s="318">
        <v>200</v>
      </c>
      <c r="L41" s="319">
        <f t="shared" si="40"/>
        <v>2</v>
      </c>
      <c r="M41" s="320"/>
      <c r="N41" s="320">
        <f t="shared" si="65"/>
        <v>2</v>
      </c>
      <c r="O41" s="321">
        <f t="shared" si="42"/>
        <v>0</v>
      </c>
      <c r="P41" s="321">
        <f t="shared" si="43"/>
        <v>15.975708502024291</v>
      </c>
      <c r="Q41" s="320"/>
      <c r="R41" s="319"/>
      <c r="S41" s="320">
        <v>2</v>
      </c>
      <c r="T41" s="317">
        <f ca="1">IF(AND(N41&gt;0,P41&gt;0),SUMIF('Исходные данные'!$C$13:$J$29,S41,'Исходные данные'!$C$33:$J$33),IF(N41=0,0,IF(S41=0,"РОТ")))</f>
        <v>105.700598073999</v>
      </c>
      <c r="U41" s="322">
        <f>O41*R41*'Исходные данные'!$C$37%</f>
        <v>0</v>
      </c>
      <c r="V41" s="322">
        <f ca="1">P41*T41*'Исходные данные'!$C$38%</f>
        <v>0</v>
      </c>
      <c r="W41" s="322">
        <f t="shared" si="44"/>
        <v>0</v>
      </c>
      <c r="X41" s="323">
        <f t="shared" ca="1" si="45"/>
        <v>0</v>
      </c>
      <c r="Y41" s="322">
        <f t="shared" si="46"/>
        <v>0</v>
      </c>
      <c r="Z41" s="323">
        <f t="shared" ca="1" si="47"/>
        <v>84.432097165991919</v>
      </c>
      <c r="AA41" s="322">
        <f t="shared" si="48"/>
        <v>0</v>
      </c>
      <c r="AB41" s="323">
        <f t="shared" ca="1" si="49"/>
        <v>0</v>
      </c>
      <c r="AC41" s="324">
        <v>2.8</v>
      </c>
      <c r="AD41" s="322">
        <f t="shared" si="50"/>
        <v>0</v>
      </c>
      <c r="AE41" s="322">
        <f t="shared" ca="1" si="51"/>
        <v>4964.607313360324</v>
      </c>
      <c r="AF41" s="321">
        <f t="shared" ca="1" si="52"/>
        <v>0</v>
      </c>
      <c r="AG41" s="326">
        <f t="shared" ca="1" si="53"/>
        <v>735.49737975708501</v>
      </c>
      <c r="AH41" s="321">
        <f t="shared" ca="1" si="54"/>
        <v>0</v>
      </c>
      <c r="AI41" s="321">
        <f t="shared" ca="1" si="55"/>
        <v>5700.1046931174087</v>
      </c>
      <c r="AJ41" s="321">
        <f t="shared" ca="1" si="56"/>
        <v>0</v>
      </c>
      <c r="AK41" s="326">
        <f t="shared" ca="1" si="57"/>
        <v>1749.9321407870445</v>
      </c>
      <c r="AL41" s="321">
        <f t="shared" ca="1" si="58"/>
        <v>0</v>
      </c>
      <c r="AM41" s="326">
        <f t="shared" ca="1" si="59"/>
        <v>7450.0368339044535</v>
      </c>
      <c r="AN41" s="318"/>
      <c r="AO41" s="318"/>
      <c r="AP41" s="328"/>
      <c r="AQ41" s="333"/>
      <c r="AR41" s="333"/>
      <c r="AS41" s="328"/>
      <c r="AT41" s="318"/>
      <c r="AU41" s="328"/>
      <c r="AV41" s="328"/>
      <c r="AW41" s="328"/>
      <c r="AX41" s="328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  <c r="BS41" s="328"/>
      <c r="BT41" s="328"/>
      <c r="BU41" s="328">
        <f t="shared" ca="1" si="62"/>
        <v>7450.0368339044535</v>
      </c>
      <c r="BV41" s="328">
        <f t="shared" ca="1" si="63"/>
        <v>74.500368339044542</v>
      </c>
      <c r="BW41" s="329">
        <f t="shared" si="64"/>
        <v>0.15975708502024291</v>
      </c>
      <c r="BX41" s="329"/>
      <c r="BY41" s="336"/>
    </row>
    <row r="42" spans="1:77" s="343" customFormat="1" ht="10.5" x14ac:dyDescent="0.2">
      <c r="A42" s="337"/>
      <c r="B42" s="338" t="s">
        <v>22</v>
      </c>
      <c r="C42" s="340"/>
      <c r="D42" s="340"/>
      <c r="E42" s="340"/>
      <c r="F42" s="339"/>
      <c r="G42" s="340"/>
      <c r="H42" s="340"/>
      <c r="I42" s="340"/>
      <c r="J42" s="341">
        <f>SUM(J36:J41)</f>
        <v>19</v>
      </c>
      <c r="K42" s="342"/>
      <c r="L42" s="341">
        <f t="shared" ref="L42:BY42" si="66">SUM(L36:L41)</f>
        <v>166.51190476190476</v>
      </c>
      <c r="M42" s="341">
        <f t="shared" si="66"/>
        <v>11.823214285714284</v>
      </c>
      <c r="N42" s="341">
        <f t="shared" si="66"/>
        <v>43.333333333333336</v>
      </c>
      <c r="O42" s="341">
        <f t="shared" si="66"/>
        <v>451.40885868517449</v>
      </c>
      <c r="P42" s="341">
        <f t="shared" si="66"/>
        <v>878.66396761133615</v>
      </c>
      <c r="Q42" s="342"/>
      <c r="R42" s="342"/>
      <c r="S42" s="342"/>
      <c r="T42" s="342"/>
      <c r="U42" s="341">
        <f t="shared" ca="1" si="66"/>
        <v>0</v>
      </c>
      <c r="V42" s="341">
        <f t="shared" ca="1" si="66"/>
        <v>0</v>
      </c>
      <c r="W42" s="341">
        <f t="shared" ca="1" si="66"/>
        <v>0</v>
      </c>
      <c r="X42" s="341">
        <f t="shared" ca="1" si="66"/>
        <v>0</v>
      </c>
      <c r="Y42" s="341">
        <f t="shared" ca="1" si="66"/>
        <v>6476.5217466743807</v>
      </c>
      <c r="Z42" s="341">
        <f t="shared" ca="1" si="66"/>
        <v>4643.7653441295561</v>
      </c>
      <c r="AA42" s="341">
        <f t="shared" ca="1" si="66"/>
        <v>0</v>
      </c>
      <c r="AB42" s="341">
        <f t="shared" ca="1" si="66"/>
        <v>0</v>
      </c>
      <c r="AC42" s="342"/>
      <c r="AD42" s="341">
        <f t="shared" ca="1" si="66"/>
        <v>199476.86979757089</v>
      </c>
      <c r="AE42" s="341">
        <f t="shared" ca="1" si="66"/>
        <v>273053.40223481786</v>
      </c>
      <c r="AF42" s="341">
        <f t="shared" ca="1" si="66"/>
        <v>29552.128858899388</v>
      </c>
      <c r="AG42" s="341">
        <f t="shared" ca="1" si="66"/>
        <v>40452.355886639678</v>
      </c>
      <c r="AH42" s="341">
        <f t="shared" ca="1" si="66"/>
        <v>229028.99865647027</v>
      </c>
      <c r="AI42" s="341">
        <f t="shared" ca="1" si="66"/>
        <v>313505.75812145753</v>
      </c>
      <c r="AJ42" s="341">
        <f t="shared" ca="1" si="66"/>
        <v>70311.902587536359</v>
      </c>
      <c r="AK42" s="341">
        <f t="shared" ca="1" si="66"/>
        <v>96246.267743287463</v>
      </c>
      <c r="AL42" s="341">
        <f t="shared" ca="1" si="66"/>
        <v>299340.90124400659</v>
      </c>
      <c r="AM42" s="341">
        <f t="shared" ca="1" si="66"/>
        <v>409752.02586474497</v>
      </c>
      <c r="AN42" s="342"/>
      <c r="AO42" s="342"/>
      <c r="AP42" s="341">
        <f t="shared" si="66"/>
        <v>78.691200000000009</v>
      </c>
      <c r="AQ42" s="342"/>
      <c r="AR42" s="342"/>
      <c r="AS42" s="341">
        <f t="shared" si="66"/>
        <v>758160.07296000014</v>
      </c>
      <c r="AT42" s="341"/>
      <c r="AU42" s="341">
        <f t="shared" si="66"/>
        <v>0</v>
      </c>
      <c r="AV42" s="341"/>
      <c r="AW42" s="341">
        <f t="shared" si="66"/>
        <v>0</v>
      </c>
      <c r="AX42" s="341"/>
      <c r="AY42" s="341">
        <f t="shared" si="66"/>
        <v>0</v>
      </c>
      <c r="AZ42" s="341"/>
      <c r="BA42" s="341">
        <f t="shared" si="66"/>
        <v>0</v>
      </c>
      <c r="BB42" s="341"/>
      <c r="BC42" s="347">
        <f>SUM(BC36:BC41)</f>
        <v>16</v>
      </c>
      <c r="BD42" s="341"/>
      <c r="BE42" s="341">
        <f>SUM(BE36:BE41)</f>
        <v>200000</v>
      </c>
      <c r="BF42" s="341">
        <f>SUM(BF36:BF41)</f>
        <v>451.99999999999994</v>
      </c>
      <c r="BG42" s="341"/>
      <c r="BH42" s="341">
        <f>SUM(BH36:BH41)</f>
        <v>43391.999999999993</v>
      </c>
      <c r="BI42" s="342"/>
      <c r="BJ42" s="341">
        <f t="shared" si="66"/>
        <v>30706.548149959224</v>
      </c>
      <c r="BK42" s="341"/>
      <c r="BL42" s="341">
        <f t="shared" si="66"/>
        <v>32407.039844463041</v>
      </c>
      <c r="BM42" s="341">
        <f t="shared" si="66"/>
        <v>0</v>
      </c>
      <c r="BN42" s="341"/>
      <c r="BO42" s="341">
        <f t="shared" si="66"/>
        <v>32195.079832966574</v>
      </c>
      <c r="BP42" s="341"/>
      <c r="BQ42" s="341">
        <f t="shared" si="66"/>
        <v>4992.4241036469421</v>
      </c>
      <c r="BR42" s="341"/>
      <c r="BS42" s="341">
        <f t="shared" si="66"/>
        <v>1425.5464045947424</v>
      </c>
      <c r="BT42" s="341">
        <f t="shared" si="66"/>
        <v>26687.551296704758</v>
      </c>
      <c r="BU42" s="341">
        <f t="shared" ca="1" si="66"/>
        <v>1839059.1897010871</v>
      </c>
      <c r="BV42" s="341"/>
      <c r="BW42" s="341"/>
      <c r="BX42" s="341"/>
      <c r="BY42" s="341">
        <f t="shared" si="66"/>
        <v>305.0107142857143</v>
      </c>
    </row>
    <row r="43" spans="1:77" s="355" customFormat="1" ht="10.5" x14ac:dyDescent="0.2">
      <c r="A43" s="348"/>
      <c r="B43" s="349" t="s">
        <v>30</v>
      </c>
      <c r="C43" s="350"/>
      <c r="D43" s="350"/>
      <c r="E43" s="350"/>
      <c r="F43" s="351"/>
      <c r="G43" s="350"/>
      <c r="H43" s="350"/>
      <c r="I43" s="350"/>
      <c r="J43" s="352">
        <f>J34+J42</f>
        <v>72</v>
      </c>
      <c r="K43" s="353"/>
      <c r="L43" s="352">
        <f>L34+L42</f>
        <v>214.66739353399015</v>
      </c>
      <c r="M43" s="352">
        <f>M34+M42</f>
        <v>20.640558415558417</v>
      </c>
      <c r="N43" s="352">
        <f>N34+N42</f>
        <v>55.076836740702291</v>
      </c>
      <c r="O43" s="352">
        <f>O34+O42</f>
        <v>722.56455566323996</v>
      </c>
      <c r="P43" s="352">
        <f>P34+P42</f>
        <v>1016.1548466342806</v>
      </c>
      <c r="Q43" s="353"/>
      <c r="R43" s="353"/>
      <c r="S43" s="353"/>
      <c r="T43" s="353"/>
      <c r="U43" s="352">
        <f t="shared" ref="U43:AM43" ca="1" si="67">U34+U42</f>
        <v>0</v>
      </c>
      <c r="V43" s="352">
        <f t="shared" ca="1" si="67"/>
        <v>0</v>
      </c>
      <c r="W43" s="352">
        <f t="shared" ca="1" si="67"/>
        <v>0</v>
      </c>
      <c r="X43" s="352">
        <f t="shared" ca="1" si="67"/>
        <v>0</v>
      </c>
      <c r="Y43" s="352">
        <f t="shared" ca="1" si="67"/>
        <v>12057.54096545939</v>
      </c>
      <c r="Z43" s="352">
        <f t="shared" ca="1" si="67"/>
        <v>5471.321206916733</v>
      </c>
      <c r="AA43" s="352">
        <f t="shared" ca="1" si="67"/>
        <v>0</v>
      </c>
      <c r="AB43" s="352">
        <f t="shared" ca="1" si="67"/>
        <v>0</v>
      </c>
      <c r="AC43" s="353"/>
      <c r="AD43" s="352">
        <f t="shared" ca="1" si="67"/>
        <v>371372.2617361492</v>
      </c>
      <c r="AE43" s="352">
        <f t="shared" ca="1" si="67"/>
        <v>321713.68696670386</v>
      </c>
      <c r="AF43" s="352">
        <f t="shared" ca="1" si="67"/>
        <v>55018.112849799872</v>
      </c>
      <c r="AG43" s="352">
        <f t="shared" ca="1" si="67"/>
        <v>47661.286958030192</v>
      </c>
      <c r="AH43" s="352">
        <f t="shared" ca="1" si="67"/>
        <v>426390.374585949</v>
      </c>
      <c r="AI43" s="352">
        <f t="shared" ca="1" si="67"/>
        <v>369374.97392473405</v>
      </c>
      <c r="AJ43" s="352">
        <f t="shared" ca="1" si="67"/>
        <v>130901.84499788634</v>
      </c>
      <c r="AK43" s="352">
        <f t="shared" ca="1" si="67"/>
        <v>113398.11699489334</v>
      </c>
      <c r="AL43" s="352">
        <f t="shared" ca="1" si="67"/>
        <v>557292.21958383534</v>
      </c>
      <c r="AM43" s="352">
        <f t="shared" ca="1" si="67"/>
        <v>482773.09091962734</v>
      </c>
      <c r="AN43" s="353"/>
      <c r="AO43" s="353"/>
      <c r="AP43" s="352">
        <f>AP34+AP42</f>
        <v>112.37520000000001</v>
      </c>
      <c r="AQ43" s="353"/>
      <c r="AR43" s="353"/>
      <c r="AS43" s="352">
        <f>AS34+AS42</f>
        <v>1081056.2582212684</v>
      </c>
      <c r="AT43" s="352"/>
      <c r="AU43" s="352">
        <f>AU34+AU42</f>
        <v>15</v>
      </c>
      <c r="AV43" s="352"/>
      <c r="AW43" s="352">
        <f>AW34+AW42</f>
        <v>420000</v>
      </c>
      <c r="AX43" s="352"/>
      <c r="AY43" s="352">
        <f>AY34+AY42</f>
        <v>10</v>
      </c>
      <c r="AZ43" s="352"/>
      <c r="BA43" s="352">
        <f>BA34+BA42</f>
        <v>337000</v>
      </c>
      <c r="BB43" s="352"/>
      <c r="BC43" s="354">
        <f>BC34+BC42</f>
        <v>16</v>
      </c>
      <c r="BD43" s="352"/>
      <c r="BE43" s="352">
        <f>BE34+BE42</f>
        <v>200000</v>
      </c>
      <c r="BF43" s="352">
        <f>BF34+BF42</f>
        <v>451.99999999999994</v>
      </c>
      <c r="BG43" s="352"/>
      <c r="BH43" s="352">
        <f>BH34+BH42</f>
        <v>43391.999999999993</v>
      </c>
      <c r="BI43" s="353"/>
      <c r="BJ43" s="352">
        <f>BJ34+BJ42</f>
        <v>64411.329384339333</v>
      </c>
      <c r="BK43" s="352"/>
      <c r="BL43" s="352">
        <f>BL34+BL42</f>
        <v>95408.77356830494</v>
      </c>
      <c r="BM43" s="352">
        <f>BM34+BM42</f>
        <v>0</v>
      </c>
      <c r="BN43" s="352"/>
      <c r="BO43" s="352">
        <f>BO34+BO42</f>
        <v>72674.339504092786</v>
      </c>
      <c r="BP43" s="352"/>
      <c r="BQ43" s="352">
        <f>BQ34+BQ42</f>
        <v>8715.0079133639647</v>
      </c>
      <c r="BR43" s="352"/>
      <c r="BS43" s="352">
        <f>BS34+BS42</f>
        <v>5620.2282443860458</v>
      </c>
      <c r="BT43" s="352">
        <f>BT34+BT42</f>
        <v>73743.773959470782</v>
      </c>
      <c r="BU43" s="352">
        <f ca="1">BU34+BU42</f>
        <v>3442087.0212986888</v>
      </c>
      <c r="BV43" s="352"/>
      <c r="BW43" s="352"/>
      <c r="BX43" s="352"/>
      <c r="BY43" s="352">
        <f>BY34+BY42</f>
        <v>710.41209781209795</v>
      </c>
    </row>
  </sheetData>
  <mergeCells count="124">
    <mergeCell ref="D40:E40"/>
    <mergeCell ref="D41:E41"/>
    <mergeCell ref="D26:E26"/>
    <mergeCell ref="D28:E28"/>
    <mergeCell ref="D29:E29"/>
    <mergeCell ref="D31:E31"/>
    <mergeCell ref="B35:E35"/>
    <mergeCell ref="D39:E39"/>
    <mergeCell ref="B20:E20"/>
    <mergeCell ref="B21:E21"/>
    <mergeCell ref="D38:E38"/>
    <mergeCell ref="AJ18:AJ19"/>
    <mergeCell ref="AK18:AK19"/>
    <mergeCell ref="AJ17:AK17"/>
    <mergeCell ref="AL17:AL19"/>
    <mergeCell ref="AH15:AI16"/>
    <mergeCell ref="U15:V16"/>
    <mergeCell ref="W15:X16"/>
    <mergeCell ref="Y15:Z16"/>
    <mergeCell ref="X18:X19"/>
    <mergeCell ref="Z18:Z19"/>
    <mergeCell ref="AA17:AB17"/>
    <mergeCell ref="AD17:AD19"/>
    <mergeCell ref="AA15:AB16"/>
    <mergeCell ref="AF15:AG16"/>
    <mergeCell ref="AE17:AE19"/>
    <mergeCell ref="AF17:AG17"/>
    <mergeCell ref="AH17:AH19"/>
    <mergeCell ref="AI17:AI19"/>
    <mergeCell ref="AG18:AG19"/>
    <mergeCell ref="AA18:AA19"/>
    <mergeCell ref="AB18:AB19"/>
    <mergeCell ref="AF18:AF19"/>
    <mergeCell ref="Y18:Y19"/>
    <mergeCell ref="V17:V19"/>
    <mergeCell ref="BG17:BG19"/>
    <mergeCell ref="BJ18:BJ19"/>
    <mergeCell ref="AQ17:AQ19"/>
    <mergeCell ref="BD17:BD19"/>
    <mergeCell ref="BE17:BE19"/>
    <mergeCell ref="AR17:AR19"/>
    <mergeCell ref="AS17:AS19"/>
    <mergeCell ref="AT17:AT19"/>
    <mergeCell ref="AU17:AU19"/>
    <mergeCell ref="BI15:BM16"/>
    <mergeCell ref="AX15:BA16"/>
    <mergeCell ref="BB15:BE16"/>
    <mergeCell ref="BF15:BH16"/>
    <mergeCell ref="AL15:AM16"/>
    <mergeCell ref="AN17:AN19"/>
    <mergeCell ref="AO17:AO19"/>
    <mergeCell ref="AP17:AP19"/>
    <mergeCell ref="BC17:BC19"/>
    <mergeCell ref="BM17:BM19"/>
    <mergeCell ref="AX17:AX19"/>
    <mergeCell ref="AY17:AY19"/>
    <mergeCell ref="AZ17:AZ19"/>
    <mergeCell ref="BI18:BI19"/>
    <mergeCell ref="BA17:BA19"/>
    <mergeCell ref="BB17:BB19"/>
    <mergeCell ref="AV17:AV19"/>
    <mergeCell ref="AW17:AW19"/>
    <mergeCell ref="BI17:BJ17"/>
    <mergeCell ref="BK17:BL17"/>
    <mergeCell ref="BK18:BK19"/>
    <mergeCell ref="BL18:BL19"/>
    <mergeCell ref="BH17:BH19"/>
    <mergeCell ref="BF17:BF19"/>
    <mergeCell ref="AJ15:AK16"/>
    <mergeCell ref="AM17:AM19"/>
    <mergeCell ref="W17:X17"/>
    <mergeCell ref="BX15:BY16"/>
    <mergeCell ref="BY17:BY19"/>
    <mergeCell ref="BR17:BS17"/>
    <mergeCell ref="BT17:BT19"/>
    <mergeCell ref="BN15:BT16"/>
    <mergeCell ref="BN17:BO17"/>
    <mergeCell ref="BP17:BQ17"/>
    <mergeCell ref="BU15:BV16"/>
    <mergeCell ref="BS18:BS19"/>
    <mergeCell ref="BU17:BU19"/>
    <mergeCell ref="BV17:BV19"/>
    <mergeCell ref="BX17:BX19"/>
    <mergeCell ref="BR18:BR19"/>
    <mergeCell ref="BN18:BN19"/>
    <mergeCell ref="BO18:BO19"/>
    <mergeCell ref="BP18:BP19"/>
    <mergeCell ref="BQ18:BQ19"/>
    <mergeCell ref="BW15:BW19"/>
    <mergeCell ref="AT15:AW16"/>
    <mergeCell ref="AN15:AS16"/>
    <mergeCell ref="AC15:AE16"/>
    <mergeCell ref="AC17:AC19"/>
    <mergeCell ref="P18:P19"/>
    <mergeCell ref="Q18:Q19"/>
    <mergeCell ref="R18:R19"/>
    <mergeCell ref="S18:S19"/>
    <mergeCell ref="T18:T19"/>
    <mergeCell ref="O17:P17"/>
    <mergeCell ref="C18:C19"/>
    <mergeCell ref="D18:D19"/>
    <mergeCell ref="S17:T17"/>
    <mergeCell ref="M17:M19"/>
    <mergeCell ref="N17:N19"/>
    <mergeCell ref="U17:U19"/>
    <mergeCell ref="Q15:T16"/>
    <mergeCell ref="H15:I16"/>
    <mergeCell ref="W18:W19"/>
    <mergeCell ref="J15:J19"/>
    <mergeCell ref="K15:K19"/>
    <mergeCell ref="L15:L19"/>
    <mergeCell ref="H17:H19"/>
    <mergeCell ref="I17:I19"/>
    <mergeCell ref="O18:O19"/>
    <mergeCell ref="Q17:R17"/>
    <mergeCell ref="A15:A19"/>
    <mergeCell ref="B15:E16"/>
    <mergeCell ref="F15:F19"/>
    <mergeCell ref="G15:G19"/>
    <mergeCell ref="B17:B19"/>
    <mergeCell ref="C17:E17"/>
    <mergeCell ref="E18:E19"/>
    <mergeCell ref="M15:N16"/>
    <mergeCell ref="O15:P16"/>
  </mergeCells>
  <phoneticPr fontId="4" type="noConversion"/>
  <conditionalFormatting sqref="AR26 AR28:AR29 AO28:AP29 AP30 AO31:AP31 AR31 AP32:AP33 AF36:AM39 AS22:AS33 AP22:AP27 AP36:AP38 AO39:BY39 G42:BY43 K35 Q35:Q38 G34:G35 O35:P35 K34:BY34 T33 Q22:Q33 U21:AS21 G21:I21 K21 O21:R21 S26:S33 S21:T25 H22:I41 R35:AR35 Q39:S41 AF40:BY41 U36:AE41 U22:AM33 S36:S38 J21:J35 L21:N33 L35:N41 AT21:BY33 AS35:BY38">
    <cfRule type="cellIs" dxfId="172" priority="2" stopIfTrue="1" operator="greaterThan">
      <formula>0</formula>
    </cfRule>
  </conditionalFormatting>
  <conditionalFormatting sqref="AN22:AN33 AN36:AN39 K36:K41 K22:K33">
    <cfRule type="cellIs" dxfId="171" priority="3" stopIfTrue="1" operator="greaterThan">
      <formula>0</formula>
    </cfRule>
  </conditionalFormatting>
  <conditionalFormatting sqref="E32:E33 E27 E30 E22:E25 E36:E38">
    <cfRule type="cellIs" dxfId="170" priority="4" stopIfTrue="1" operator="equal">
      <formula>0</formula>
    </cfRule>
  </conditionalFormatting>
  <conditionalFormatting sqref="O22:P33 O36:P41">
    <cfRule type="cellIs" dxfId="169" priority="5" stopIfTrue="1" operator="greaterThan">
      <formula>0</formula>
    </cfRule>
  </conditionalFormatting>
  <conditionalFormatting sqref="J36:J41">
    <cfRule type="cellIs" dxfId="168" priority="1" stopIfTrue="1" operator="greaterThan">
      <formula>0</formula>
    </cfRule>
  </conditionalFormatting>
  <dataValidations count="2">
    <dataValidation type="list" allowBlank="1" showInputMessage="1" showErrorMessage="1" sqref="AQ39:AR41">
      <formula1>#REF!</formula1>
    </dataValidation>
    <dataValidation type="list" allowBlank="1" showInputMessage="1" showErrorMessage="1" sqref="AQ31 AQ26 AQ28:AQ29">
      <formula1>$M$75:$M$78</formula1>
    </dataValidation>
  </dataValidations>
  <pageMargins left="0.19685039370078741" right="0.19685039370078741" top="0.19685039370078741" bottom="0.19685039370078741" header="0.19685039370078741" footer="0.19685039370078741"/>
  <pageSetup paperSize="9" scale="50" fitToWidth="3" orientation="landscape" r:id="rId1"/>
  <headerFooter alignWithMargins="0">
    <oddFooter>&amp;LОтдел СЭР села ЯНИИСХ</oddFooter>
  </headerFooter>
  <colBreaks count="1" manualBreakCount="1">
    <brk id="39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BY51"/>
  <sheetViews>
    <sheetView workbookViewId="0">
      <selection activeCell="AN17" sqref="AN17:BD19"/>
    </sheetView>
  </sheetViews>
  <sheetFormatPr defaultColWidth="9.140625" defaultRowHeight="11.25" x14ac:dyDescent="0.2"/>
  <cols>
    <col min="1" max="1" width="3.85546875" style="15" customWidth="1"/>
    <col min="2" max="2" width="23" style="13" customWidth="1"/>
    <col min="3" max="3" width="4.5703125" style="13" customWidth="1"/>
    <col min="4" max="4" width="7.28515625" style="13" customWidth="1"/>
    <col min="5" max="5" width="9.7109375" style="13" customWidth="1"/>
    <col min="6" max="6" width="6.85546875" style="15" customWidth="1"/>
    <col min="7" max="7" width="6.140625" style="13" customWidth="1"/>
    <col min="8" max="8" width="7.28515625" style="13" customWidth="1"/>
    <col min="9" max="9" width="6.140625" style="13" customWidth="1"/>
    <col min="10" max="10" width="5.42578125" style="13" customWidth="1"/>
    <col min="11" max="11" width="7.28515625" style="13" customWidth="1"/>
    <col min="12" max="12" width="6.140625" style="13" customWidth="1"/>
    <col min="13" max="13" width="6.5703125" style="13" customWidth="1"/>
    <col min="14" max="14" width="7" style="13" customWidth="1"/>
    <col min="15" max="15" width="8.28515625" style="13" customWidth="1"/>
    <col min="16" max="16" width="7.85546875" style="13" customWidth="1"/>
    <col min="17" max="17" width="6.140625" style="18" customWidth="1"/>
    <col min="18" max="20" width="6.140625" style="13" customWidth="1"/>
    <col min="21" max="22" width="8.28515625" style="13" customWidth="1"/>
    <col min="23" max="23" width="7.5703125" style="13" customWidth="1"/>
    <col min="24" max="27" width="8.28515625" style="13" customWidth="1"/>
    <col min="28" max="29" width="7.28515625" style="13" customWidth="1"/>
    <col min="30" max="39" width="8.28515625" style="13" customWidth="1"/>
    <col min="40" max="41" width="6.140625" style="13" customWidth="1"/>
    <col min="42" max="42" width="7.28515625" style="16" customWidth="1"/>
    <col min="43" max="44" width="8.7109375" style="43" customWidth="1"/>
    <col min="45" max="45" width="9.5703125" style="16" customWidth="1"/>
    <col min="46" max="46" width="8.42578125" style="13" customWidth="1"/>
    <col min="47" max="52" width="7.42578125" style="16" customWidth="1"/>
    <col min="53" max="53" width="9.28515625" style="16" customWidth="1"/>
    <col min="54" max="72" width="7.42578125" style="16" customWidth="1"/>
    <col min="73" max="73" width="9" style="16" customWidth="1"/>
    <col min="74" max="75" width="7.42578125" style="16" customWidth="1"/>
    <col min="76" max="76" width="9" style="17" customWidth="1"/>
    <col min="77" max="16384" width="9.140625" style="13"/>
  </cols>
  <sheetData>
    <row r="1" spans="1:77" s="7" customFormat="1" ht="15.75" x14ac:dyDescent="0.2">
      <c r="B1" s="47" t="s">
        <v>55</v>
      </c>
      <c r="E1" s="8"/>
      <c r="G1" s="6"/>
      <c r="H1" s="7" t="s">
        <v>437</v>
      </c>
      <c r="Q1" s="44"/>
      <c r="AP1" s="9"/>
      <c r="AQ1" s="10"/>
      <c r="AR1" s="10"/>
      <c r="AS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11"/>
    </row>
    <row r="2" spans="1:77" s="7" customFormat="1" ht="15.75" x14ac:dyDescent="0.2">
      <c r="B2" s="47" t="s">
        <v>58</v>
      </c>
      <c r="E2" s="8"/>
      <c r="G2" s="6"/>
      <c r="Q2" s="44"/>
      <c r="AP2" s="9"/>
      <c r="AQ2" s="9"/>
      <c r="AR2" s="9"/>
      <c r="AS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11"/>
    </row>
    <row r="3" spans="1:77" s="7" customFormat="1" ht="15.75" x14ac:dyDescent="0.2">
      <c r="B3" s="6"/>
      <c r="E3" s="8"/>
      <c r="G3" s="6"/>
      <c r="Q3" s="44"/>
      <c r="AP3" s="9"/>
      <c r="AQ3" s="9"/>
      <c r="AR3" s="9"/>
      <c r="AS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11"/>
    </row>
    <row r="4" spans="1:77" s="1" customFormat="1" ht="12.75" customHeight="1" x14ac:dyDescent="0.2">
      <c r="B4" s="46" t="s">
        <v>499</v>
      </c>
      <c r="E4" s="2"/>
      <c r="G4" s="46"/>
      <c r="L4" s="46"/>
      <c r="Q4" s="3"/>
      <c r="AP4" s="4"/>
      <c r="AQ4" s="4"/>
      <c r="AR4" s="4"/>
      <c r="AS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5"/>
    </row>
    <row r="5" spans="1:77" s="1" customFormat="1" ht="12.75" customHeight="1" x14ac:dyDescent="0.2">
      <c r="B5" s="177" t="s">
        <v>368</v>
      </c>
      <c r="E5" s="2"/>
      <c r="G5" s="46"/>
      <c r="L5" s="46"/>
      <c r="Q5" s="3"/>
      <c r="AP5" s="4"/>
      <c r="AQ5" s="4"/>
      <c r="AR5" s="4"/>
      <c r="AS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5"/>
    </row>
    <row r="6" spans="1:77" s="1" customFormat="1" ht="12.75" customHeight="1" x14ac:dyDescent="0.2">
      <c r="B6" s="46" t="s">
        <v>366</v>
      </c>
      <c r="D6" s="1">
        <v>100</v>
      </c>
      <c r="E6" s="2"/>
      <c r="F6" s="1" t="s">
        <v>362</v>
      </c>
      <c r="G6" s="46"/>
      <c r="I6" s="1">
        <v>125</v>
      </c>
      <c r="L6" s="46"/>
      <c r="Q6" s="3"/>
      <c r="AP6" s="4"/>
      <c r="AQ6" s="4"/>
      <c r="AR6" s="4"/>
      <c r="AS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5"/>
    </row>
    <row r="7" spans="1:77" s="1" customFormat="1" ht="12.75" customHeight="1" x14ac:dyDescent="0.2">
      <c r="B7" s="46" t="s">
        <v>386</v>
      </c>
      <c r="E7" s="2"/>
      <c r="G7" s="46"/>
      <c r="L7" s="46"/>
      <c r="Q7" s="3"/>
      <c r="AP7" s="4"/>
      <c r="AQ7" s="4"/>
      <c r="AR7" s="4"/>
      <c r="AS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</row>
    <row r="8" spans="1:77" ht="12.75" customHeight="1" x14ac:dyDescent="0.2">
      <c r="B8" s="125" t="s">
        <v>387</v>
      </c>
      <c r="D8" s="13">
        <v>3</v>
      </c>
      <c r="E8" s="14"/>
      <c r="F8" s="13"/>
      <c r="G8" s="45"/>
      <c r="L8" s="45"/>
      <c r="Q8" s="15"/>
      <c r="AQ8" s="16"/>
      <c r="AR8" s="16"/>
    </row>
    <row r="9" spans="1:77" ht="12.75" customHeight="1" x14ac:dyDescent="0.2">
      <c r="B9" s="125" t="s">
        <v>388</v>
      </c>
      <c r="D9" s="13">
        <v>10</v>
      </c>
      <c r="E9" s="14"/>
      <c r="F9" s="13"/>
      <c r="G9" s="45"/>
      <c r="L9" s="45"/>
      <c r="Q9" s="15"/>
      <c r="AQ9" s="16"/>
      <c r="AR9" s="16"/>
    </row>
    <row r="10" spans="1:77" ht="12.75" customHeight="1" x14ac:dyDescent="0.2">
      <c r="B10" s="125" t="s">
        <v>389</v>
      </c>
      <c r="D10" s="13">
        <v>42</v>
      </c>
      <c r="E10" s="14"/>
      <c r="F10" s="13"/>
      <c r="G10" s="45"/>
      <c r="L10" s="45"/>
      <c r="Q10" s="15"/>
      <c r="AQ10" s="16"/>
      <c r="AR10" s="16"/>
    </row>
    <row r="11" spans="1:77" ht="12.75" customHeight="1" x14ac:dyDescent="0.2">
      <c r="B11" s="125" t="s">
        <v>390</v>
      </c>
      <c r="D11" s="13">
        <f>D8*D9*D10</f>
        <v>1260</v>
      </c>
      <c r="E11" s="14"/>
      <c r="F11" s="13"/>
      <c r="G11" s="45"/>
      <c r="L11" s="45"/>
      <c r="Q11" s="15"/>
      <c r="AQ11" s="16"/>
      <c r="AR11" s="16"/>
    </row>
    <row r="12" spans="1:77" ht="12.75" customHeight="1" x14ac:dyDescent="0.2">
      <c r="B12" s="45" t="s">
        <v>373</v>
      </c>
      <c r="D12" s="13">
        <f>D6*I6</f>
        <v>12500</v>
      </c>
      <c r="E12" s="14"/>
      <c r="F12" s="7"/>
      <c r="G12" s="100"/>
      <c r="H12" s="102"/>
      <c r="I12" s="102"/>
      <c r="K12" s="7"/>
      <c r="L12" s="7"/>
      <c r="N12" s="7"/>
      <c r="Q12" s="15"/>
      <c r="AQ12" s="16"/>
      <c r="AR12" s="16"/>
    </row>
    <row r="13" spans="1:77" ht="12.75" customHeight="1" x14ac:dyDescent="0.2">
      <c r="B13" s="45" t="s">
        <v>374</v>
      </c>
      <c r="C13" s="102"/>
      <c r="D13" s="13">
        <f>D12*0.75</f>
        <v>9375</v>
      </c>
      <c r="E13" s="101"/>
      <c r="F13" s="1"/>
      <c r="G13" s="100"/>
      <c r="H13" s="102"/>
      <c r="I13" s="102"/>
      <c r="K13" s="7"/>
      <c r="L13" s="7"/>
      <c r="N13" s="7"/>
      <c r="Q13" s="15"/>
      <c r="AQ13" s="16"/>
      <c r="AR13" s="16"/>
    </row>
    <row r="14" spans="1:77" ht="12.75" customHeight="1" x14ac:dyDescent="0.2">
      <c r="A14" s="45"/>
      <c r="B14" s="102"/>
      <c r="D14" s="101"/>
      <c r="E14" s="1"/>
      <c r="F14" s="100"/>
      <c r="G14" s="102"/>
      <c r="H14" s="102"/>
      <c r="K14" s="7"/>
      <c r="L14" s="7"/>
      <c r="N14" s="7"/>
      <c r="Q14" s="15"/>
      <c r="AQ14" s="16"/>
      <c r="AR14" s="16"/>
    </row>
    <row r="15" spans="1:77" s="6" customFormat="1" ht="39.75" customHeight="1" x14ac:dyDescent="0.2">
      <c r="A15" s="472" t="s">
        <v>56</v>
      </c>
      <c r="B15" s="473" t="s">
        <v>52</v>
      </c>
      <c r="C15" s="473"/>
      <c r="D15" s="473"/>
      <c r="E15" s="473"/>
      <c r="F15" s="472" t="s">
        <v>16</v>
      </c>
      <c r="G15" s="472" t="s">
        <v>35</v>
      </c>
      <c r="H15" s="473" t="s">
        <v>31</v>
      </c>
      <c r="I15" s="473"/>
      <c r="J15" s="472" t="s">
        <v>34</v>
      </c>
      <c r="K15" s="472" t="s">
        <v>40</v>
      </c>
      <c r="L15" s="472" t="s">
        <v>39</v>
      </c>
      <c r="M15" s="473" t="s">
        <v>36</v>
      </c>
      <c r="N15" s="473"/>
      <c r="O15" s="473" t="s">
        <v>320</v>
      </c>
      <c r="P15" s="473"/>
      <c r="Q15" s="473" t="s">
        <v>319</v>
      </c>
      <c r="R15" s="473"/>
      <c r="S15" s="473"/>
      <c r="T15" s="473"/>
      <c r="U15" s="473" t="s">
        <v>321</v>
      </c>
      <c r="V15" s="473"/>
      <c r="W15" s="473" t="s">
        <v>322</v>
      </c>
      <c r="X15" s="473"/>
      <c r="Y15" s="473" t="s">
        <v>323</v>
      </c>
      <c r="Z15" s="473"/>
      <c r="AA15" s="473" t="s">
        <v>324</v>
      </c>
      <c r="AB15" s="473"/>
      <c r="AC15" s="481" t="s">
        <v>435</v>
      </c>
      <c r="AD15" s="482"/>
      <c r="AE15" s="483"/>
      <c r="AF15" s="473" t="s">
        <v>166</v>
      </c>
      <c r="AG15" s="473"/>
      <c r="AH15" s="473" t="s">
        <v>325</v>
      </c>
      <c r="AI15" s="473"/>
      <c r="AJ15" s="473" t="s">
        <v>326</v>
      </c>
      <c r="AK15" s="473"/>
      <c r="AL15" s="473" t="s">
        <v>327</v>
      </c>
      <c r="AM15" s="473"/>
      <c r="AN15" s="473" t="s">
        <v>14</v>
      </c>
      <c r="AO15" s="473"/>
      <c r="AP15" s="473"/>
      <c r="AQ15" s="473"/>
      <c r="AR15" s="473"/>
      <c r="AS15" s="473"/>
      <c r="AT15" s="473" t="s">
        <v>189</v>
      </c>
      <c r="AU15" s="473"/>
      <c r="AV15" s="473"/>
      <c r="AW15" s="473"/>
      <c r="AX15" s="473" t="s">
        <v>334</v>
      </c>
      <c r="AY15" s="473"/>
      <c r="AZ15" s="473"/>
      <c r="BA15" s="473"/>
      <c r="BB15" s="473" t="s">
        <v>376</v>
      </c>
      <c r="BC15" s="473"/>
      <c r="BD15" s="473"/>
      <c r="BE15" s="473"/>
      <c r="BF15" s="473" t="s">
        <v>391</v>
      </c>
      <c r="BG15" s="473"/>
      <c r="BH15" s="473"/>
      <c r="BI15" s="481" t="s">
        <v>406</v>
      </c>
      <c r="BJ15" s="482"/>
      <c r="BK15" s="482"/>
      <c r="BL15" s="482"/>
      <c r="BM15" s="483"/>
      <c r="BN15" s="473" t="s">
        <v>317</v>
      </c>
      <c r="BO15" s="473"/>
      <c r="BP15" s="473"/>
      <c r="BQ15" s="473"/>
      <c r="BR15" s="473"/>
      <c r="BS15" s="473"/>
      <c r="BT15" s="473"/>
      <c r="BU15" s="473" t="s">
        <v>49</v>
      </c>
      <c r="BV15" s="473"/>
      <c r="BW15" s="473" t="s">
        <v>331</v>
      </c>
      <c r="BX15" s="488" t="s">
        <v>59</v>
      </c>
      <c r="BY15" s="488"/>
    </row>
    <row r="16" spans="1:77" s="6" customFormat="1" ht="40.5" customHeight="1" x14ac:dyDescent="0.2">
      <c r="A16" s="472"/>
      <c r="B16" s="473"/>
      <c r="C16" s="473"/>
      <c r="D16" s="473"/>
      <c r="E16" s="473"/>
      <c r="F16" s="472"/>
      <c r="G16" s="472"/>
      <c r="H16" s="473"/>
      <c r="I16" s="473"/>
      <c r="J16" s="472"/>
      <c r="K16" s="472"/>
      <c r="L16" s="472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84"/>
      <c r="AD16" s="485"/>
      <c r="AE16" s="486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84"/>
      <c r="BJ16" s="485"/>
      <c r="BK16" s="485"/>
      <c r="BL16" s="485"/>
      <c r="BM16" s="486"/>
      <c r="BN16" s="473"/>
      <c r="BO16" s="473"/>
      <c r="BP16" s="473"/>
      <c r="BQ16" s="473"/>
      <c r="BR16" s="473"/>
      <c r="BS16" s="473"/>
      <c r="BT16" s="473"/>
      <c r="BU16" s="473"/>
      <c r="BV16" s="473"/>
      <c r="BW16" s="473"/>
      <c r="BX16" s="488"/>
      <c r="BY16" s="488"/>
    </row>
    <row r="17" spans="1:77" s="6" customFormat="1" ht="45.75" customHeight="1" x14ac:dyDescent="0.2">
      <c r="A17" s="472"/>
      <c r="B17" s="473" t="s">
        <v>13</v>
      </c>
      <c r="C17" s="473" t="s">
        <v>41</v>
      </c>
      <c r="D17" s="473"/>
      <c r="E17" s="473"/>
      <c r="F17" s="472"/>
      <c r="G17" s="472"/>
      <c r="H17" s="472" t="s">
        <v>32</v>
      </c>
      <c r="I17" s="472" t="s">
        <v>33</v>
      </c>
      <c r="J17" s="472"/>
      <c r="K17" s="472"/>
      <c r="L17" s="472"/>
      <c r="M17" s="472" t="s">
        <v>37</v>
      </c>
      <c r="N17" s="472" t="s">
        <v>38</v>
      </c>
      <c r="O17" s="462">
        <v>7</v>
      </c>
      <c r="P17" s="462"/>
      <c r="Q17" s="473" t="s">
        <v>37</v>
      </c>
      <c r="R17" s="473"/>
      <c r="S17" s="473" t="s">
        <v>38</v>
      </c>
      <c r="T17" s="473"/>
      <c r="U17" s="472" t="s">
        <v>17</v>
      </c>
      <c r="V17" s="472" t="s">
        <v>18</v>
      </c>
      <c r="W17" s="489"/>
      <c r="X17" s="489"/>
      <c r="Y17" s="74">
        <v>0.1</v>
      </c>
      <c r="Z17" s="74">
        <v>0.05</v>
      </c>
      <c r="AA17" s="495"/>
      <c r="AB17" s="495"/>
      <c r="AC17" s="491" t="s">
        <v>19</v>
      </c>
      <c r="AD17" s="491" t="s">
        <v>17</v>
      </c>
      <c r="AE17" s="491" t="s">
        <v>18</v>
      </c>
      <c r="AF17" s="495">
        <f ca="1">(((((AD51/O51)*167)/29*(52/12)))/((AD51/O51)*167))</f>
        <v>0.14942528735632182</v>
      </c>
      <c r="AG17" s="495"/>
      <c r="AH17" s="472" t="s">
        <v>17</v>
      </c>
      <c r="AI17" s="472" t="s">
        <v>18</v>
      </c>
      <c r="AJ17" s="495">
        <v>0.3</v>
      </c>
      <c r="AK17" s="495"/>
      <c r="AL17" s="472" t="s">
        <v>17</v>
      </c>
      <c r="AM17" s="472" t="s">
        <v>18</v>
      </c>
      <c r="AN17" s="472" t="s">
        <v>333</v>
      </c>
      <c r="AO17" s="472" t="s">
        <v>43</v>
      </c>
      <c r="AP17" s="487" t="s">
        <v>50</v>
      </c>
      <c r="AQ17" s="487" t="s">
        <v>44</v>
      </c>
      <c r="AR17" s="487" t="s">
        <v>328</v>
      </c>
      <c r="AS17" s="487" t="s">
        <v>329</v>
      </c>
      <c r="AT17" s="472" t="s">
        <v>217</v>
      </c>
      <c r="AU17" s="487" t="s">
        <v>190</v>
      </c>
      <c r="AV17" s="487" t="s">
        <v>330</v>
      </c>
      <c r="AW17" s="487" t="s">
        <v>329</v>
      </c>
      <c r="AX17" s="472" t="s">
        <v>217</v>
      </c>
      <c r="AY17" s="487" t="s">
        <v>190</v>
      </c>
      <c r="AZ17" s="487" t="s">
        <v>330</v>
      </c>
      <c r="BA17" s="487" t="s">
        <v>329</v>
      </c>
      <c r="BB17" s="472" t="s">
        <v>377</v>
      </c>
      <c r="BC17" s="487" t="s">
        <v>190</v>
      </c>
      <c r="BD17" s="487" t="s">
        <v>330</v>
      </c>
      <c r="BE17" s="487" t="s">
        <v>329</v>
      </c>
      <c r="BF17" s="487" t="s">
        <v>392</v>
      </c>
      <c r="BG17" s="487" t="s">
        <v>330</v>
      </c>
      <c r="BH17" s="487" t="s">
        <v>329</v>
      </c>
      <c r="BI17" s="488" t="s">
        <v>46</v>
      </c>
      <c r="BJ17" s="488"/>
      <c r="BK17" s="488" t="s">
        <v>47</v>
      </c>
      <c r="BL17" s="488"/>
      <c r="BM17" s="517" t="s">
        <v>408</v>
      </c>
      <c r="BN17" s="488" t="s">
        <v>312</v>
      </c>
      <c r="BO17" s="488"/>
      <c r="BP17" s="488" t="s">
        <v>313</v>
      </c>
      <c r="BQ17" s="488"/>
      <c r="BR17" s="488" t="s">
        <v>314</v>
      </c>
      <c r="BS17" s="488"/>
      <c r="BT17" s="472" t="s">
        <v>315</v>
      </c>
      <c r="BU17" s="487" t="s">
        <v>316</v>
      </c>
      <c r="BV17" s="487" t="s">
        <v>332</v>
      </c>
      <c r="BW17" s="473"/>
      <c r="BX17" s="487" t="s">
        <v>51</v>
      </c>
      <c r="BY17" s="487" t="s">
        <v>15</v>
      </c>
    </row>
    <row r="18" spans="1:77" s="6" customFormat="1" ht="48" customHeight="1" x14ac:dyDescent="0.2">
      <c r="A18" s="472"/>
      <c r="B18" s="473"/>
      <c r="C18" s="472" t="s">
        <v>42</v>
      </c>
      <c r="D18" s="472" t="s">
        <v>54</v>
      </c>
      <c r="E18" s="472" t="s">
        <v>53</v>
      </c>
      <c r="F18" s="472"/>
      <c r="G18" s="472"/>
      <c r="H18" s="472"/>
      <c r="I18" s="472"/>
      <c r="J18" s="472"/>
      <c r="K18" s="472"/>
      <c r="L18" s="472"/>
      <c r="M18" s="472"/>
      <c r="N18" s="472"/>
      <c r="O18" s="472" t="s">
        <v>37</v>
      </c>
      <c r="P18" s="472" t="s">
        <v>38</v>
      </c>
      <c r="Q18" s="474" t="s">
        <v>20</v>
      </c>
      <c r="R18" s="472" t="s">
        <v>21</v>
      </c>
      <c r="S18" s="474" t="s">
        <v>20</v>
      </c>
      <c r="T18" s="472" t="s">
        <v>21</v>
      </c>
      <c r="U18" s="472"/>
      <c r="V18" s="472"/>
      <c r="W18" s="472" t="s">
        <v>17</v>
      </c>
      <c r="X18" s="472" t="s">
        <v>18</v>
      </c>
      <c r="Y18" s="472" t="s">
        <v>175</v>
      </c>
      <c r="Z18" s="472" t="s">
        <v>176</v>
      </c>
      <c r="AA18" s="472" t="s">
        <v>17</v>
      </c>
      <c r="AB18" s="472" t="s">
        <v>18</v>
      </c>
      <c r="AC18" s="492"/>
      <c r="AD18" s="492"/>
      <c r="AE18" s="492"/>
      <c r="AF18" s="472" t="s">
        <v>17</v>
      </c>
      <c r="AG18" s="472" t="s">
        <v>18</v>
      </c>
      <c r="AH18" s="472"/>
      <c r="AI18" s="472"/>
      <c r="AJ18" s="472" t="s">
        <v>17</v>
      </c>
      <c r="AK18" s="472" t="s">
        <v>18</v>
      </c>
      <c r="AL18" s="472"/>
      <c r="AM18" s="472"/>
      <c r="AN18" s="472"/>
      <c r="AO18" s="472"/>
      <c r="AP18" s="487"/>
      <c r="AQ18" s="487"/>
      <c r="AR18" s="487"/>
      <c r="AS18" s="487"/>
      <c r="AT18" s="472"/>
      <c r="AU18" s="487"/>
      <c r="AV18" s="487"/>
      <c r="AW18" s="487"/>
      <c r="AX18" s="472"/>
      <c r="AY18" s="487"/>
      <c r="AZ18" s="487"/>
      <c r="BA18" s="487"/>
      <c r="BB18" s="472"/>
      <c r="BC18" s="487"/>
      <c r="BD18" s="487"/>
      <c r="BE18" s="487"/>
      <c r="BF18" s="487"/>
      <c r="BG18" s="487"/>
      <c r="BH18" s="487"/>
      <c r="BI18" s="487" t="s">
        <v>48</v>
      </c>
      <c r="BJ18" s="487" t="s">
        <v>318</v>
      </c>
      <c r="BK18" s="487" t="s">
        <v>48</v>
      </c>
      <c r="BL18" s="487" t="s">
        <v>318</v>
      </c>
      <c r="BM18" s="529"/>
      <c r="BN18" s="487" t="s">
        <v>311</v>
      </c>
      <c r="BO18" s="487" t="s">
        <v>318</v>
      </c>
      <c r="BP18" s="487" t="s">
        <v>311</v>
      </c>
      <c r="BQ18" s="487" t="s">
        <v>318</v>
      </c>
      <c r="BR18" s="487" t="s">
        <v>311</v>
      </c>
      <c r="BS18" s="487" t="s">
        <v>318</v>
      </c>
      <c r="BT18" s="472"/>
      <c r="BU18" s="487"/>
      <c r="BV18" s="487"/>
      <c r="BW18" s="473"/>
      <c r="BX18" s="487"/>
      <c r="BY18" s="487"/>
    </row>
    <row r="19" spans="1:77" s="6" customFormat="1" ht="76.5" customHeight="1" x14ac:dyDescent="0.2">
      <c r="A19" s="472"/>
      <c r="B19" s="473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4"/>
      <c r="R19" s="472"/>
      <c r="S19" s="474"/>
      <c r="T19" s="472"/>
      <c r="U19" s="472"/>
      <c r="V19" s="472"/>
      <c r="W19" s="472"/>
      <c r="X19" s="472"/>
      <c r="Y19" s="472"/>
      <c r="Z19" s="472"/>
      <c r="AA19" s="472"/>
      <c r="AB19" s="472"/>
      <c r="AC19" s="493"/>
      <c r="AD19" s="493"/>
      <c r="AE19" s="493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87"/>
      <c r="AQ19" s="487"/>
      <c r="AR19" s="487"/>
      <c r="AS19" s="487"/>
      <c r="AT19" s="472"/>
      <c r="AU19" s="487"/>
      <c r="AV19" s="487"/>
      <c r="AW19" s="487"/>
      <c r="AX19" s="472"/>
      <c r="AY19" s="487"/>
      <c r="AZ19" s="487"/>
      <c r="BA19" s="487"/>
      <c r="BB19" s="472"/>
      <c r="BC19" s="487"/>
      <c r="BD19" s="487"/>
      <c r="BE19" s="487"/>
      <c r="BF19" s="487"/>
      <c r="BG19" s="487"/>
      <c r="BH19" s="487"/>
      <c r="BI19" s="487"/>
      <c r="BJ19" s="487"/>
      <c r="BK19" s="487"/>
      <c r="BL19" s="487"/>
      <c r="BM19" s="518"/>
      <c r="BN19" s="487"/>
      <c r="BO19" s="487"/>
      <c r="BP19" s="487"/>
      <c r="BQ19" s="487"/>
      <c r="BR19" s="487"/>
      <c r="BS19" s="487"/>
      <c r="BT19" s="472"/>
      <c r="BU19" s="487"/>
      <c r="BV19" s="487"/>
      <c r="BW19" s="473"/>
      <c r="BX19" s="487"/>
      <c r="BY19" s="487"/>
    </row>
    <row r="20" spans="1:77" x14ac:dyDescent="0.2">
      <c r="A20" s="20">
        <f>COLUMN(A20)</f>
        <v>1</v>
      </c>
      <c r="B20" s="494">
        <f>COLUMN(B20)</f>
        <v>2</v>
      </c>
      <c r="C20" s="494"/>
      <c r="D20" s="494"/>
      <c r="E20" s="494"/>
      <c r="F20" s="20">
        <v>3</v>
      </c>
      <c r="G20" s="20">
        <f t="shared" ref="G20:BU20" si="0">F20+1</f>
        <v>4</v>
      </c>
      <c r="H20" s="20">
        <f t="shared" si="0"/>
        <v>5</v>
      </c>
      <c r="I20" s="20">
        <f t="shared" si="0"/>
        <v>6</v>
      </c>
      <c r="J20" s="20">
        <f t="shared" si="0"/>
        <v>7</v>
      </c>
      <c r="K20" s="20">
        <f t="shared" si="0"/>
        <v>8</v>
      </c>
      <c r="L20" s="20">
        <f t="shared" si="0"/>
        <v>9</v>
      </c>
      <c r="M20" s="20">
        <f t="shared" si="0"/>
        <v>10</v>
      </c>
      <c r="N20" s="20">
        <f t="shared" si="0"/>
        <v>11</v>
      </c>
      <c r="O20" s="20">
        <f t="shared" si="0"/>
        <v>12</v>
      </c>
      <c r="P20" s="20">
        <f t="shared" si="0"/>
        <v>13</v>
      </c>
      <c r="Q20" s="20">
        <f t="shared" si="0"/>
        <v>14</v>
      </c>
      <c r="R20" s="20">
        <f t="shared" si="0"/>
        <v>15</v>
      </c>
      <c r="S20" s="20">
        <f t="shared" si="0"/>
        <v>16</v>
      </c>
      <c r="T20" s="20">
        <f t="shared" si="0"/>
        <v>17</v>
      </c>
      <c r="U20" s="20">
        <f t="shared" si="0"/>
        <v>18</v>
      </c>
      <c r="V20" s="20">
        <f t="shared" si="0"/>
        <v>19</v>
      </c>
      <c r="W20" s="20">
        <f t="shared" si="0"/>
        <v>20</v>
      </c>
      <c r="X20" s="20">
        <f t="shared" si="0"/>
        <v>21</v>
      </c>
      <c r="Y20" s="20">
        <f t="shared" si="0"/>
        <v>22</v>
      </c>
      <c r="Z20" s="20">
        <f t="shared" si="0"/>
        <v>23</v>
      </c>
      <c r="AA20" s="20">
        <f t="shared" si="0"/>
        <v>24</v>
      </c>
      <c r="AB20" s="20">
        <f t="shared" si="0"/>
        <v>25</v>
      </c>
      <c r="AC20" s="20">
        <f t="shared" si="0"/>
        <v>26</v>
      </c>
      <c r="AD20" s="20">
        <f t="shared" si="0"/>
        <v>27</v>
      </c>
      <c r="AE20" s="20">
        <f t="shared" si="0"/>
        <v>28</v>
      </c>
      <c r="AF20" s="20">
        <f t="shared" si="0"/>
        <v>29</v>
      </c>
      <c r="AG20" s="20">
        <f t="shared" si="0"/>
        <v>30</v>
      </c>
      <c r="AH20" s="20">
        <f t="shared" si="0"/>
        <v>31</v>
      </c>
      <c r="AI20" s="20">
        <f t="shared" si="0"/>
        <v>32</v>
      </c>
      <c r="AJ20" s="20">
        <f t="shared" si="0"/>
        <v>33</v>
      </c>
      <c r="AK20" s="20">
        <f t="shared" si="0"/>
        <v>34</v>
      </c>
      <c r="AL20" s="20">
        <f t="shared" si="0"/>
        <v>35</v>
      </c>
      <c r="AM20" s="20">
        <f t="shared" si="0"/>
        <v>36</v>
      </c>
      <c r="AN20" s="20">
        <f t="shared" si="0"/>
        <v>37</v>
      </c>
      <c r="AO20" s="20">
        <f t="shared" si="0"/>
        <v>38</v>
      </c>
      <c r="AP20" s="20">
        <f t="shared" si="0"/>
        <v>39</v>
      </c>
      <c r="AQ20" s="20">
        <f t="shared" si="0"/>
        <v>40</v>
      </c>
      <c r="AR20" s="20">
        <f t="shared" si="0"/>
        <v>41</v>
      </c>
      <c r="AS20" s="20">
        <f t="shared" si="0"/>
        <v>42</v>
      </c>
      <c r="AT20" s="20">
        <f t="shared" si="0"/>
        <v>43</v>
      </c>
      <c r="AU20" s="20">
        <f t="shared" si="0"/>
        <v>44</v>
      </c>
      <c r="AV20" s="20">
        <f t="shared" si="0"/>
        <v>45</v>
      </c>
      <c r="AW20" s="20">
        <f t="shared" si="0"/>
        <v>46</v>
      </c>
      <c r="AX20" s="20">
        <f t="shared" si="0"/>
        <v>47</v>
      </c>
      <c r="AY20" s="20">
        <f t="shared" si="0"/>
        <v>48</v>
      </c>
      <c r="AZ20" s="20">
        <f t="shared" si="0"/>
        <v>49</v>
      </c>
      <c r="BA20" s="20">
        <f t="shared" si="0"/>
        <v>50</v>
      </c>
      <c r="BB20" s="20">
        <f t="shared" si="0"/>
        <v>51</v>
      </c>
      <c r="BC20" s="20">
        <f t="shared" si="0"/>
        <v>52</v>
      </c>
      <c r="BD20" s="20">
        <f t="shared" si="0"/>
        <v>53</v>
      </c>
      <c r="BE20" s="20">
        <f t="shared" si="0"/>
        <v>54</v>
      </c>
      <c r="BF20" s="20">
        <f t="shared" si="0"/>
        <v>55</v>
      </c>
      <c r="BG20" s="20">
        <f t="shared" si="0"/>
        <v>56</v>
      </c>
      <c r="BH20" s="20">
        <f t="shared" si="0"/>
        <v>57</v>
      </c>
      <c r="BI20" s="20">
        <f t="shared" si="0"/>
        <v>58</v>
      </c>
      <c r="BJ20" s="20">
        <f t="shared" si="0"/>
        <v>59</v>
      </c>
      <c r="BK20" s="20">
        <f t="shared" si="0"/>
        <v>60</v>
      </c>
      <c r="BL20" s="20">
        <f t="shared" si="0"/>
        <v>61</v>
      </c>
      <c r="BM20" s="20">
        <f t="shared" si="0"/>
        <v>62</v>
      </c>
      <c r="BN20" s="20">
        <f t="shared" si="0"/>
        <v>63</v>
      </c>
      <c r="BO20" s="20">
        <f t="shared" si="0"/>
        <v>64</v>
      </c>
      <c r="BP20" s="20">
        <f t="shared" si="0"/>
        <v>65</v>
      </c>
      <c r="BQ20" s="20">
        <f t="shared" si="0"/>
        <v>66</v>
      </c>
      <c r="BR20" s="20">
        <f t="shared" si="0"/>
        <v>67</v>
      </c>
      <c r="BS20" s="20">
        <f t="shared" si="0"/>
        <v>68</v>
      </c>
      <c r="BT20" s="20">
        <f t="shared" si="0"/>
        <v>69</v>
      </c>
      <c r="BU20" s="20">
        <f t="shared" si="0"/>
        <v>70</v>
      </c>
      <c r="BV20" s="20">
        <f>BU20+1</f>
        <v>71</v>
      </c>
      <c r="BW20" s="20">
        <f>BV20+1</f>
        <v>72</v>
      </c>
      <c r="BX20" s="20">
        <f>BW20+1</f>
        <v>73</v>
      </c>
      <c r="BY20" s="20">
        <f>BX20+1</f>
        <v>74</v>
      </c>
    </row>
    <row r="21" spans="1:77" s="7" customFormat="1" ht="12.75" customHeight="1" x14ac:dyDescent="0.2">
      <c r="A21" s="21"/>
      <c r="B21" s="462" t="s">
        <v>57</v>
      </c>
      <c r="C21" s="462"/>
      <c r="D21" s="462"/>
      <c r="E21" s="46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5"/>
      <c r="AQ21" s="26"/>
      <c r="AR21" s="26"/>
      <c r="AS21" s="25"/>
      <c r="AT21" s="23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3"/>
    </row>
    <row r="22" spans="1:77" ht="22.5" x14ac:dyDescent="0.2">
      <c r="A22" s="20">
        <v>1</v>
      </c>
      <c r="B22" s="27" t="s">
        <v>420</v>
      </c>
      <c r="C22" s="66">
        <v>2</v>
      </c>
      <c r="D22" s="30" t="s">
        <v>186</v>
      </c>
      <c r="E22" s="31" t="s">
        <v>115</v>
      </c>
      <c r="F22" s="28" t="s">
        <v>108</v>
      </c>
      <c r="G22" s="29">
        <f>D6</f>
        <v>100</v>
      </c>
      <c r="H22" s="135">
        <v>42628</v>
      </c>
      <c r="I22" s="135">
        <v>42633</v>
      </c>
      <c r="J22" s="179">
        <f>I22-H22</f>
        <v>5</v>
      </c>
      <c r="K22" s="170">
        <f>8*1.26</f>
        <v>10.08</v>
      </c>
      <c r="L22" s="33">
        <f>G22/K22</f>
        <v>9.9206349206349209</v>
      </c>
      <c r="M22" s="34">
        <v>1</v>
      </c>
      <c r="N22" s="34"/>
      <c r="O22" s="35">
        <f>IF(M22=0,0,L22*$O$17)</f>
        <v>69.444444444444443</v>
      </c>
      <c r="P22" s="35">
        <f>IF(N22=0,0,L22*$O$17)</f>
        <v>0</v>
      </c>
      <c r="Q22" s="34">
        <v>5</v>
      </c>
      <c r="R22" s="83">
        <f>'Исходные данные'!$G$21</f>
        <v>197.57121135326915</v>
      </c>
      <c r="S22" s="34"/>
      <c r="T22" s="33"/>
      <c r="U22" s="130">
        <f>O22*R22*'Исходные данные'!$C$37%</f>
        <v>0</v>
      </c>
      <c r="V22" s="130">
        <f>P22*T22*'Исходные данные'!$C$38%</f>
        <v>0</v>
      </c>
      <c r="W22" s="130">
        <f>O22*R22*$W$17</f>
        <v>0</v>
      </c>
      <c r="X22" s="131">
        <f>P22*T22*$W$17</f>
        <v>0</v>
      </c>
      <c r="Y22" s="130">
        <f>(O22*R22+U22+W22)*$Y$17</f>
        <v>1372.0223010643692</v>
      </c>
      <c r="Z22" s="131">
        <f>(P22*T22+V22+X22)*$Z$17</f>
        <v>0</v>
      </c>
      <c r="AA22" s="130">
        <f>(O22*R22+U22)*$AA$17</f>
        <v>0</v>
      </c>
      <c r="AB22" s="131">
        <f>(P22*T22+V22)*$AA$17</f>
        <v>0</v>
      </c>
      <c r="AC22" s="129">
        <v>2.5</v>
      </c>
      <c r="AD22" s="130">
        <f>(O22*R22+U22+W22+Y22+AA22)*AC22</f>
        <v>37730.613279270154</v>
      </c>
      <c r="AE22" s="130">
        <f>(P22*T22+V22+X22+Z22+AB22)*AC22</f>
        <v>0</v>
      </c>
      <c r="AF22" s="35">
        <f ca="1">AD22*$AF$17</f>
        <v>5637.9077313851949</v>
      </c>
      <c r="AG22" s="73"/>
      <c r="AH22" s="35">
        <f t="shared" ref="AH22:AI24" ca="1" si="1">AD22+AF22</f>
        <v>43368.52101065535</v>
      </c>
      <c r="AI22" s="35">
        <f t="shared" si="1"/>
        <v>0</v>
      </c>
      <c r="AJ22" s="35">
        <f t="shared" ref="AJ22:AK24" ca="1" si="2">AH22*$AJ$17</f>
        <v>13010.556303196605</v>
      </c>
      <c r="AK22" s="73">
        <f t="shared" si="2"/>
        <v>0</v>
      </c>
      <c r="AL22" s="35">
        <f ca="1">AH22+AJ22</f>
        <v>56379.077313851958</v>
      </c>
      <c r="AM22" s="73">
        <f>AK22+AI22</f>
        <v>0</v>
      </c>
      <c r="AN22" s="171">
        <v>9.5238095238095237</v>
      </c>
      <c r="AO22" s="33">
        <f>'Исходные данные'!$C$53</f>
        <v>0.84</v>
      </c>
      <c r="AP22" s="79">
        <f>(G22*AN22)*AO22/100</f>
        <v>8</v>
      </c>
      <c r="AQ22" s="33" t="s">
        <v>156</v>
      </c>
      <c r="AR22" s="83" t="e">
        <f>'Исходные данные'!#REF!</f>
        <v>#REF!</v>
      </c>
      <c r="AS22" s="36" t="e">
        <f>AP22*AR22</f>
        <v>#REF!</v>
      </c>
      <c r="AT22" s="32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f>аморт!$G$12</f>
        <v>61.781971818181816</v>
      </c>
      <c r="BJ22" s="36">
        <f>BI22*L22</f>
        <v>612.9163870851371</v>
      </c>
      <c r="BK22" s="36">
        <f>аморт!$G$70</f>
        <v>45.238095238095241</v>
      </c>
      <c r="BL22" s="36">
        <f>BK22*L22</f>
        <v>448.790627362056</v>
      </c>
      <c r="BM22" s="36"/>
      <c r="BN22" s="38">
        <v>84.5</v>
      </c>
      <c r="BO22" s="36">
        <f>BN22*BY22</f>
        <v>9724.206349206348</v>
      </c>
      <c r="BP22" s="38">
        <v>9.4</v>
      </c>
      <c r="BQ22" s="36">
        <f>BP22*BY22</f>
        <v>1081.7460317460318</v>
      </c>
      <c r="BR22" s="38">
        <f>6.7*1.045*1.054</f>
        <v>7.3795810000000008</v>
      </c>
      <c r="BS22" s="36">
        <f>BR22*BY22</f>
        <v>849.2374960317461</v>
      </c>
      <c r="BT22" s="36">
        <f>аморт!$C$70*10%/аморт!$E$70*L22*7</f>
        <v>92361.111111111124</v>
      </c>
      <c r="BU22" s="36" t="e">
        <f ca="1">AL22+AM22+AS22+AW22+BA22+BE22+BH22+BJ22+BL22+BM22+BO22+BQ22+BS22+BT22</f>
        <v>#REF!</v>
      </c>
      <c r="BV22" s="36" t="e">
        <f ca="1">BU22/$D$6</f>
        <v>#REF!</v>
      </c>
      <c r="BW22" s="38">
        <f>(O22+P22)/$D$6</f>
        <v>0.69444444444444442</v>
      </c>
      <c r="BX22" s="38">
        <v>11.6</v>
      </c>
      <c r="BY22" s="39">
        <f>BX22*L22</f>
        <v>115.07936507936508</v>
      </c>
    </row>
    <row r="23" spans="1:77" x14ac:dyDescent="0.2">
      <c r="A23" s="20">
        <f>A22+1</f>
        <v>2</v>
      </c>
      <c r="B23" s="27" t="s">
        <v>428</v>
      </c>
      <c r="C23" s="66">
        <v>1</v>
      </c>
      <c r="D23" s="30" t="s">
        <v>186</v>
      </c>
      <c r="E23" s="31" t="s">
        <v>432</v>
      </c>
      <c r="F23" s="28" t="s">
        <v>108</v>
      </c>
      <c r="G23" s="29">
        <f>G22</f>
        <v>100</v>
      </c>
      <c r="H23" s="135">
        <v>42510</v>
      </c>
      <c r="I23" s="135">
        <v>42515</v>
      </c>
      <c r="J23" s="179">
        <f t="shared" ref="J23:J31" si="3">I23-H23</f>
        <v>5</v>
      </c>
      <c r="K23" s="170">
        <f>8*3.6</f>
        <v>28.8</v>
      </c>
      <c r="L23" s="33">
        <f>G23/K23</f>
        <v>3.4722222222222223</v>
      </c>
      <c r="M23" s="34">
        <v>1</v>
      </c>
      <c r="N23" s="34"/>
      <c r="O23" s="35">
        <f>IF(M23=0,0,L23*$O$17)</f>
        <v>24.305555555555557</v>
      </c>
      <c r="P23" s="35">
        <f>IF(N23=0,0,L23*$O$17)</f>
        <v>0</v>
      </c>
      <c r="Q23" s="34">
        <v>4</v>
      </c>
      <c r="R23" s="83">
        <f>'Исходные данные'!$F$21</f>
        <v>173.86266599087685</v>
      </c>
      <c r="S23" s="34"/>
      <c r="T23" s="33"/>
      <c r="U23" s="130">
        <f>O23*R23*'Исходные данные'!$C$37%</f>
        <v>0</v>
      </c>
      <c r="V23" s="130">
        <f>P23*T23*'Исходные данные'!$C$38%</f>
        <v>0</v>
      </c>
      <c r="W23" s="130">
        <f>O23*R23*$W$17</f>
        <v>0</v>
      </c>
      <c r="X23" s="131">
        <f>P23*T23*$W$17</f>
        <v>0</v>
      </c>
      <c r="Y23" s="130">
        <f>(O23*R23+U23+W23)*$Y$17</f>
        <v>422.58286872782577</v>
      </c>
      <c r="Z23" s="131">
        <f>(P23*T23+V23+X23)*$Z$17</f>
        <v>0</v>
      </c>
      <c r="AA23" s="130">
        <f>(O23*R23+U23)*$AA$17</f>
        <v>0</v>
      </c>
      <c r="AB23" s="131">
        <f>(P23*T23+V23)*$AA$17</f>
        <v>0</v>
      </c>
      <c r="AC23" s="129">
        <v>2.5</v>
      </c>
      <c r="AD23" s="130">
        <f>(O23*R23+U23+W23+Y23+AA23)*AC23</f>
        <v>11621.028890015206</v>
      </c>
      <c r="AE23" s="130">
        <f>(P23*T23+V23+X23+Z23+AB23)*AC23</f>
        <v>0</v>
      </c>
      <c r="AF23" s="35">
        <f ca="1">AD23*$AF$17</f>
        <v>1736.4755812666399</v>
      </c>
      <c r="AG23" s="73"/>
      <c r="AH23" s="35">
        <f t="shared" ca="1" si="1"/>
        <v>13357.504471281845</v>
      </c>
      <c r="AI23" s="35">
        <f t="shared" si="1"/>
        <v>0</v>
      </c>
      <c r="AJ23" s="35">
        <f t="shared" ca="1" si="2"/>
        <v>4007.2513413845536</v>
      </c>
      <c r="AK23" s="73">
        <f t="shared" si="2"/>
        <v>0</v>
      </c>
      <c r="AL23" s="35">
        <f ca="1">AH23+AJ23</f>
        <v>17364.755812666401</v>
      </c>
      <c r="AM23" s="73">
        <f>AK23+AI23</f>
        <v>0</v>
      </c>
      <c r="AN23" s="171">
        <v>9.5238095238095237</v>
      </c>
      <c r="AO23" s="33">
        <f>'Исходные данные'!$C$53</f>
        <v>0.84</v>
      </c>
      <c r="AP23" s="79">
        <f>(G23*AN23)*AO23/100</f>
        <v>8</v>
      </c>
      <c r="AQ23" s="33" t="s">
        <v>156</v>
      </c>
      <c r="AR23" s="83" t="e">
        <f>'Исходные данные'!#REF!</f>
        <v>#REF!</v>
      </c>
      <c r="AS23" s="36" t="e">
        <f>AP23*AR23</f>
        <v>#REF!</v>
      </c>
      <c r="AT23" s="32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>
        <f>аморт!$G$12</f>
        <v>61.781971818181816</v>
      </c>
      <c r="BJ23" s="36">
        <f>BI23*L23</f>
        <v>214.52073547979799</v>
      </c>
      <c r="BK23" s="36">
        <f>аморт!G33</f>
        <v>97.41305263157895</v>
      </c>
      <c r="BL23" s="36">
        <f>BK23*L23</f>
        <v>338.23976608187138</v>
      </c>
      <c r="BM23" s="36"/>
      <c r="BN23" s="38">
        <v>84.5</v>
      </c>
      <c r="BO23" s="36">
        <f>BN23*BY23</f>
        <v>3403.4722222222222</v>
      </c>
      <c r="BP23" s="38">
        <v>9.4</v>
      </c>
      <c r="BQ23" s="36">
        <f>BP23*BY23</f>
        <v>378.61111111111114</v>
      </c>
      <c r="BR23" s="38">
        <f>6.7*1.045*1.054</f>
        <v>7.3795810000000008</v>
      </c>
      <c r="BS23" s="36">
        <f>BR23*BY23</f>
        <v>297.23312361111113</v>
      </c>
      <c r="BT23" s="36">
        <f>аморт!$C$33*10%/аморт!$E$33*L23*7</f>
        <v>11246.472222222223</v>
      </c>
      <c r="BU23" s="36" t="e">
        <f ca="1">AL23+AM23+AS23+AW23+BA23+BE23+BH23+BJ23+BL23+BM23+BO23+BQ23+BS23+BT23</f>
        <v>#REF!</v>
      </c>
      <c r="BV23" s="36" t="e">
        <f ca="1">BU23/$D$6</f>
        <v>#REF!</v>
      </c>
      <c r="BW23" s="38">
        <f>(O23+P23)/$D$6</f>
        <v>0.24305555555555558</v>
      </c>
      <c r="BX23" s="38">
        <v>11.6</v>
      </c>
      <c r="BY23" s="39">
        <f>BX23*L23</f>
        <v>40.277777777777779</v>
      </c>
    </row>
    <row r="24" spans="1:77" x14ac:dyDescent="0.2">
      <c r="A24" s="20">
        <f>A23+1</f>
        <v>3</v>
      </c>
      <c r="B24" s="27" t="s">
        <v>429</v>
      </c>
      <c r="C24" s="66">
        <v>1</v>
      </c>
      <c r="D24" s="30" t="s">
        <v>186</v>
      </c>
      <c r="E24" s="31" t="s">
        <v>425</v>
      </c>
      <c r="F24" s="28" t="s">
        <v>108</v>
      </c>
      <c r="G24" s="29">
        <f>D6</f>
        <v>100</v>
      </c>
      <c r="H24" s="135">
        <v>42515</v>
      </c>
      <c r="I24" s="135">
        <v>42522</v>
      </c>
      <c r="J24" s="179">
        <f t="shared" si="3"/>
        <v>7</v>
      </c>
      <c r="K24" s="170">
        <f>8*4</f>
        <v>32</v>
      </c>
      <c r="L24" s="33">
        <f>G24/K24</f>
        <v>3.125</v>
      </c>
      <c r="M24" s="34">
        <v>1</v>
      </c>
      <c r="N24" s="34"/>
      <c r="O24" s="35">
        <f>IF(M24=0,0,L24*$O$17)</f>
        <v>21.875</v>
      </c>
      <c r="P24" s="35">
        <f>IF(N24=0,0,L24*$O$17)</f>
        <v>0</v>
      </c>
      <c r="Q24" s="34">
        <v>4</v>
      </c>
      <c r="R24" s="83">
        <f>'Исходные данные'!$F$21</f>
        <v>173.86266599087685</v>
      </c>
      <c r="S24" s="34"/>
      <c r="T24" s="33"/>
      <c r="U24" s="130">
        <f>O24*R24*'Исходные данные'!$C$37%</f>
        <v>0</v>
      </c>
      <c r="V24" s="130">
        <f>P24*T24*'Исходные данные'!$C$38%</f>
        <v>0</v>
      </c>
      <c r="W24" s="130">
        <f>O24*R24*$W$17</f>
        <v>0</v>
      </c>
      <c r="X24" s="131">
        <f>P24*T24*$W$17</f>
        <v>0</v>
      </c>
      <c r="Y24" s="130">
        <f>(O24*R24+U24+W24)*$Y$17</f>
        <v>380.32458185504311</v>
      </c>
      <c r="Z24" s="131">
        <f>(P24*T24+V24+X24)*$Z$17</f>
        <v>0</v>
      </c>
      <c r="AA24" s="130">
        <f>(O24*R24+U24)*$AA$17</f>
        <v>0</v>
      </c>
      <c r="AB24" s="131">
        <f>(P24*T24+V24)*$AA$17</f>
        <v>0</v>
      </c>
      <c r="AC24" s="129">
        <v>2.5</v>
      </c>
      <c r="AD24" s="130">
        <f>(O24*R24+U24+W24+Y24+AA24)*AC24</f>
        <v>10458.926001013686</v>
      </c>
      <c r="AE24" s="130">
        <f>(P24*T24+V24+X24+Z24+AB24)*AC24</f>
        <v>0</v>
      </c>
      <c r="AF24" s="35">
        <f ca="1">AD24*$AF$17</f>
        <v>1562.8280231399758</v>
      </c>
      <c r="AG24" s="73"/>
      <c r="AH24" s="35">
        <f t="shared" ca="1" si="1"/>
        <v>12021.754024153663</v>
      </c>
      <c r="AI24" s="35">
        <f t="shared" si="1"/>
        <v>0</v>
      </c>
      <c r="AJ24" s="35">
        <f t="shared" ca="1" si="2"/>
        <v>3606.5262072460987</v>
      </c>
      <c r="AK24" s="73">
        <f t="shared" si="2"/>
        <v>0</v>
      </c>
      <c r="AL24" s="35">
        <f ca="1">AH24+AJ24</f>
        <v>15628.280231399762</v>
      </c>
      <c r="AM24" s="73">
        <f>AK24+AI24</f>
        <v>0</v>
      </c>
      <c r="AN24" s="171">
        <v>9.5238095238095237</v>
      </c>
      <c r="AO24" s="33">
        <f>'Исходные данные'!$C$53</f>
        <v>0.84</v>
      </c>
      <c r="AP24" s="79">
        <f>(G24*AN24)*AO24/100</f>
        <v>8</v>
      </c>
      <c r="AQ24" s="33" t="s">
        <v>155</v>
      </c>
      <c r="AR24" s="83" t="e">
        <f>'Исходные данные'!#REF!</f>
        <v>#REF!</v>
      </c>
      <c r="AS24" s="36" t="e">
        <f>AP24*AR24</f>
        <v>#REF!</v>
      </c>
      <c r="AT24" s="32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>
        <f>аморт!$G$12</f>
        <v>61.781971818181816</v>
      </c>
      <c r="BJ24" s="36">
        <f>BI24*L24</f>
        <v>193.06866193181818</v>
      </c>
      <c r="BK24" s="36">
        <f>аморт!G52</f>
        <v>50.50391891891892</v>
      </c>
      <c r="BL24" s="36">
        <f>BK24*L24</f>
        <v>157.82474662162161</v>
      </c>
      <c r="BM24" s="36"/>
      <c r="BN24" s="38">
        <v>84.5</v>
      </c>
      <c r="BO24" s="36">
        <f>BN24*BY24</f>
        <v>3063.125</v>
      </c>
      <c r="BP24" s="38">
        <v>9.4</v>
      </c>
      <c r="BQ24" s="36">
        <f>BP24*BY24</f>
        <v>340.75</v>
      </c>
      <c r="BR24" s="38">
        <f>6.7*1.045*1.054</f>
        <v>7.3795810000000008</v>
      </c>
      <c r="BS24" s="36">
        <f>BR24*BY24</f>
        <v>267.50981125000004</v>
      </c>
      <c r="BT24" s="36">
        <f>аморт!$C$52*10%/аморт!$E$52*L24*7</f>
        <v>13080.514999999999</v>
      </c>
      <c r="BU24" s="36" t="e">
        <f ca="1">AL24+AM24+AS24+AW24+BA24+BE24+BH24+BJ24+BL24+BM24+BO24+BQ24+BS24+BT24</f>
        <v>#REF!</v>
      </c>
      <c r="BV24" s="36" t="e">
        <f ca="1">BU24/$D$6</f>
        <v>#REF!</v>
      </c>
      <c r="BW24" s="38">
        <f>(O24+P24)/$D$6</f>
        <v>0.21875</v>
      </c>
      <c r="BX24" s="38">
        <v>11.6</v>
      </c>
      <c r="BY24" s="39">
        <f>BX24*L24</f>
        <v>36.25</v>
      </c>
    </row>
    <row r="25" spans="1:77" x14ac:dyDescent="0.2">
      <c r="A25" s="20">
        <f t="shared" ref="A25:A32" si="4">A24+1</f>
        <v>4</v>
      </c>
      <c r="B25" s="27" t="s">
        <v>430</v>
      </c>
      <c r="C25" s="66">
        <v>1</v>
      </c>
      <c r="D25" s="30" t="s">
        <v>107</v>
      </c>
      <c r="E25" s="180" t="s">
        <v>492</v>
      </c>
      <c r="F25" s="28" t="s">
        <v>108</v>
      </c>
      <c r="G25" s="29">
        <f>D6</f>
        <v>100</v>
      </c>
      <c r="H25" s="135">
        <v>42536</v>
      </c>
      <c r="I25" s="135">
        <v>42538</v>
      </c>
      <c r="J25" s="179">
        <f t="shared" si="3"/>
        <v>2</v>
      </c>
      <c r="K25" s="170">
        <f>8*4.2</f>
        <v>33.6</v>
      </c>
      <c r="L25" s="33">
        <f t="shared" ref="L25:L32" si="5">G25/K25</f>
        <v>2.9761904761904763</v>
      </c>
      <c r="M25" s="34">
        <v>1</v>
      </c>
      <c r="N25" s="34"/>
      <c r="O25" s="35">
        <f>IF(M25=0,0,L25*$O$17)</f>
        <v>20.833333333333336</v>
      </c>
      <c r="P25" s="35">
        <f t="shared" ref="P25:P31" si="6">IF(N25=0,0,L25*$O$17)</f>
        <v>0</v>
      </c>
      <c r="Q25" s="34">
        <v>3</v>
      </c>
      <c r="R25" s="83">
        <f ca="1">IF(AND(O25&gt;0,Q25&gt;0),SUMIF('Исходные данные'!$C$13:H26,Q25,'Исходные данные'!$C$17:$H$17),IF(O25=0,0,IF(Q25=0,"РОТ")))</f>
        <v>138.29984794728838</v>
      </c>
      <c r="S25" s="34"/>
      <c r="T25" s="33"/>
      <c r="U25" s="130">
        <f ca="1">O25*R25*'Исходные данные'!$C$37%</f>
        <v>0</v>
      </c>
      <c r="V25" s="130">
        <f>P25*T25*'Исходные данные'!$C$38%</f>
        <v>0</v>
      </c>
      <c r="W25" s="130">
        <f t="shared" ref="W25:W32" ca="1" si="7">O25*R25*$W$17</f>
        <v>0</v>
      </c>
      <c r="X25" s="131">
        <f t="shared" ref="X25:X32" si="8">P25*T25*$W$17</f>
        <v>0</v>
      </c>
      <c r="Y25" s="130">
        <f t="shared" ref="Y25:Y32" ca="1" si="9">(O25*R25+U25+W25)*$Y$17</f>
        <v>288.12468322351754</v>
      </c>
      <c r="Z25" s="131">
        <f t="shared" ref="Z25:Z32" si="10">(P25*T25+V25+X25)*$Z$17</f>
        <v>0</v>
      </c>
      <c r="AA25" s="130">
        <f t="shared" ref="AA25:AA32" ca="1" si="11">(O25*R25+U25)*$AA$17</f>
        <v>0</v>
      </c>
      <c r="AB25" s="131">
        <f t="shared" ref="AB25:AB32" si="12">(P25*T25+V25)*$AA$17</f>
        <v>0</v>
      </c>
      <c r="AC25" s="129">
        <v>2.5</v>
      </c>
      <c r="AD25" s="130">
        <f t="shared" ref="AD25:AD32" ca="1" si="13">(O25*R25+U25+W25+Y25+AA25)*AC25</f>
        <v>7923.4287886467318</v>
      </c>
      <c r="AE25" s="130">
        <f t="shared" ref="AE25:AE32" si="14">(P25*T25+V25+X25+Z25+AB25)*AC25</f>
        <v>0</v>
      </c>
      <c r="AF25" s="35">
        <f t="shared" ref="AF25:AF32" ca="1" si="15">AD25*$AF$17</f>
        <v>1183.9606235908909</v>
      </c>
      <c r="AG25" s="73"/>
      <c r="AH25" s="35">
        <f t="shared" ref="AH25:AH32" ca="1" si="16">AD25+AF25</f>
        <v>9107.3894122376223</v>
      </c>
      <c r="AI25" s="35"/>
      <c r="AJ25" s="35">
        <f t="shared" ref="AJ25:AJ32" ca="1" si="17">AH25*$AJ$17</f>
        <v>2732.2168236712864</v>
      </c>
      <c r="AK25" s="73"/>
      <c r="AL25" s="35">
        <f t="shared" ref="AL25:AL32" ca="1" si="18">AH25+AJ25</f>
        <v>11839.606235908908</v>
      </c>
      <c r="AM25" s="73"/>
      <c r="AN25" s="171">
        <v>2.2999999999999998</v>
      </c>
      <c r="AO25" s="33">
        <f>'Исходные данные'!$C$53</f>
        <v>0.84</v>
      </c>
      <c r="AP25" s="79">
        <f>(G25*AN25)*AO25/100</f>
        <v>1.9319999999999995</v>
      </c>
      <c r="AQ25" s="33" t="s">
        <v>155</v>
      </c>
      <c r="AR25" s="83" t="e">
        <f>'Исходные данные'!#REF!</f>
        <v>#REF!</v>
      </c>
      <c r="AS25" s="36" t="e">
        <f>AP25*AR25</f>
        <v>#REF!</v>
      </c>
      <c r="AT25" s="32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>
        <f>аморт!$G$11</f>
        <v>181.91312849162011</v>
      </c>
      <c r="BJ25" s="36">
        <f>BI25*L25</f>
        <v>541.40812051077421</v>
      </c>
      <c r="BK25" s="36">
        <f>аморт!$G$34</f>
        <v>97.41305263157895</v>
      </c>
      <c r="BL25" s="36">
        <f>BK25*L25</f>
        <v>289.9197994987469</v>
      </c>
      <c r="BM25" s="36"/>
      <c r="BN25" s="38">
        <v>82.4</v>
      </c>
      <c r="BO25" s="36">
        <f>BN25*BY25</f>
        <v>1250.7142857142858</v>
      </c>
      <c r="BP25" s="38">
        <v>13.9</v>
      </c>
      <c r="BQ25" s="36">
        <f>BP25*BY25</f>
        <v>210.98214285714286</v>
      </c>
      <c r="BR25" s="38">
        <f>4.8*1.045*1.054</f>
        <v>5.2868639999999996</v>
      </c>
      <c r="BS25" s="36">
        <f>BR25*BY25</f>
        <v>80.247042857142858</v>
      </c>
      <c r="BT25" s="36">
        <f>аморт!C34*10%/аморт!E34*L25*7</f>
        <v>9639.8333333333339</v>
      </c>
      <c r="BU25" s="36" t="e">
        <f t="shared" ref="BU25:BU32" ca="1" si="19">AL25+AM25+AS25+AW25+BA25+BE25+BH25+BJ25+BL25+BM25+BO25+BQ25+BS25+BT25</f>
        <v>#REF!</v>
      </c>
      <c r="BV25" s="36" t="e">
        <f t="shared" ref="BV25:BV32" ca="1" si="20">BU25/$D$6</f>
        <v>#REF!</v>
      </c>
      <c r="BW25" s="38">
        <f t="shared" ref="BW25:BW31" si="21">(O25+P25)/$D$6</f>
        <v>0.20833333333333337</v>
      </c>
      <c r="BX25" s="38">
        <v>5.0999999999999996</v>
      </c>
      <c r="BY25" s="39">
        <f>BX25*L25</f>
        <v>15.178571428571429</v>
      </c>
    </row>
    <row r="26" spans="1:77" x14ac:dyDescent="0.2">
      <c r="A26" s="20">
        <f t="shared" si="4"/>
        <v>5</v>
      </c>
      <c r="B26" s="27" t="s">
        <v>23</v>
      </c>
      <c r="C26" s="66">
        <v>3</v>
      </c>
      <c r="D26" s="463" t="s">
        <v>120</v>
      </c>
      <c r="E26" s="464"/>
      <c r="F26" s="28" t="s">
        <v>111</v>
      </c>
      <c r="G26" s="183">
        <f>AU32</f>
        <v>10.5</v>
      </c>
      <c r="H26" s="135">
        <v>42536</v>
      </c>
      <c r="I26" s="135">
        <v>42538</v>
      </c>
      <c r="J26" s="179">
        <f t="shared" si="3"/>
        <v>2</v>
      </c>
      <c r="K26" s="170">
        <f>G26/6</f>
        <v>1.75</v>
      </c>
      <c r="L26" s="33">
        <f t="shared" si="5"/>
        <v>6</v>
      </c>
      <c r="M26" s="34">
        <v>1</v>
      </c>
      <c r="N26" s="34">
        <v>1</v>
      </c>
      <c r="O26" s="35">
        <f t="shared" ref="O26:O32" si="22">IF(M26=0,0,L26*$O$17)</f>
        <v>42</v>
      </c>
      <c r="P26" s="35">
        <f t="shared" si="6"/>
        <v>42</v>
      </c>
      <c r="Q26" s="34">
        <v>2</v>
      </c>
      <c r="R26" s="83">
        <f ca="1">IF(AND(O26&gt;0,Q26&gt;0),SUMIF('Исходные данные'!$C$13:H28,Q26,'Исходные данные'!$C$17:$H$17),IF(O26=0,0,IF(Q26=0,"РОТ")))</f>
        <v>128.66557526609228</v>
      </c>
      <c r="S26" s="34">
        <v>2</v>
      </c>
      <c r="T26" s="83">
        <f ca="1">IF(AND(N26&gt;0,P26&gt;0),SUMIF('Исходные данные'!$C$13:$J$29,S26,'Исходные данные'!$C$33:$J$39),IF(N26=0,0,IF(S26=0,"РОТ")))</f>
        <v>105.700598073999</v>
      </c>
      <c r="U26" s="130">
        <f ca="1">O26*R26*'Исходные данные'!$C$37%</f>
        <v>0</v>
      </c>
      <c r="V26" s="130">
        <f ca="1">P26*T26*'Исходные данные'!$C$38%</f>
        <v>0</v>
      </c>
      <c r="W26" s="130">
        <f t="shared" ca="1" si="7"/>
        <v>0</v>
      </c>
      <c r="X26" s="131">
        <f t="shared" ca="1" si="8"/>
        <v>0</v>
      </c>
      <c r="Y26" s="130">
        <f t="shared" ca="1" si="9"/>
        <v>540.39541611758762</v>
      </c>
      <c r="Z26" s="131">
        <f t="shared" ca="1" si="10"/>
        <v>221.97125595539794</v>
      </c>
      <c r="AA26" s="130">
        <f t="shared" ca="1" si="11"/>
        <v>0</v>
      </c>
      <c r="AB26" s="131">
        <f t="shared" ca="1" si="12"/>
        <v>0</v>
      </c>
      <c r="AC26" s="129">
        <v>2.5</v>
      </c>
      <c r="AD26" s="130">
        <f t="shared" ca="1" si="13"/>
        <v>14860.873943233659</v>
      </c>
      <c r="AE26" s="130">
        <f t="shared" ca="1" si="14"/>
        <v>11653.490937658391</v>
      </c>
      <c r="AF26" s="35">
        <f t="shared" ca="1" si="15"/>
        <v>2220.5903593337648</v>
      </c>
      <c r="AG26" s="73">
        <f t="shared" ref="AG26:AG32" ca="1" si="23">AE26*$AF$17</f>
        <v>1741.3262320638974</v>
      </c>
      <c r="AH26" s="35">
        <f t="shared" ca="1" si="16"/>
        <v>17081.464302567423</v>
      </c>
      <c r="AI26" s="35">
        <f t="shared" ref="AI26:AI32" ca="1" si="24">AE26+AG26</f>
        <v>13394.817169722288</v>
      </c>
      <c r="AJ26" s="35">
        <f t="shared" ca="1" si="17"/>
        <v>5124.4392907702268</v>
      </c>
      <c r="AK26" s="73">
        <f t="shared" ref="AK26:AK32" ca="1" si="25">AI26*$AJ$17</f>
        <v>4018.4451509166861</v>
      </c>
      <c r="AL26" s="35">
        <f t="shared" ca="1" si="18"/>
        <v>22205.903593337651</v>
      </c>
      <c r="AM26" s="73">
        <f t="shared" ref="AM26:AM32" ca="1" si="26">AK26+AI26</f>
        <v>17413.262320638973</v>
      </c>
      <c r="AN26" s="171"/>
      <c r="AO26" s="32"/>
      <c r="AP26" s="79"/>
      <c r="AQ26" s="33"/>
      <c r="AR26" s="32"/>
      <c r="AS26" s="36"/>
      <c r="AT26" s="32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85"/>
      <c r="BL26" s="36"/>
      <c r="BM26" s="36"/>
      <c r="BN26" s="38"/>
      <c r="BO26" s="36"/>
      <c r="BP26" s="38"/>
      <c r="BQ26" s="36"/>
      <c r="BR26" s="38"/>
      <c r="BS26" s="36"/>
      <c r="BT26" s="36"/>
      <c r="BU26" s="36">
        <f t="shared" ca="1" si="19"/>
        <v>39619.165913976627</v>
      </c>
      <c r="BV26" s="36">
        <f t="shared" ca="1" si="20"/>
        <v>396.19165913976627</v>
      </c>
      <c r="BW26" s="38">
        <f t="shared" si="21"/>
        <v>0.84</v>
      </c>
      <c r="BX26" s="38"/>
      <c r="BY26" s="39"/>
    </row>
    <row r="27" spans="1:77" ht="22.5" x14ac:dyDescent="0.2">
      <c r="A27" s="20">
        <f t="shared" si="4"/>
        <v>6</v>
      </c>
      <c r="B27" s="27" t="s">
        <v>24</v>
      </c>
      <c r="C27" s="66">
        <v>3</v>
      </c>
      <c r="D27" s="30" t="s">
        <v>107</v>
      </c>
      <c r="E27" s="31" t="s">
        <v>117</v>
      </c>
      <c r="F27" s="28" t="s">
        <v>111</v>
      </c>
      <c r="G27" s="183">
        <f>G26</f>
        <v>10.5</v>
      </c>
      <c r="H27" s="135">
        <v>42536</v>
      </c>
      <c r="I27" s="135">
        <v>42538</v>
      </c>
      <c r="J27" s="179">
        <f t="shared" si="3"/>
        <v>2</v>
      </c>
      <c r="K27" s="170">
        <f>G27/6</f>
        <v>1.75</v>
      </c>
      <c r="L27" s="33">
        <f t="shared" si="5"/>
        <v>6</v>
      </c>
      <c r="M27" s="34">
        <v>1</v>
      </c>
      <c r="N27" s="34">
        <v>1</v>
      </c>
      <c r="O27" s="35">
        <f t="shared" si="22"/>
        <v>42</v>
      </c>
      <c r="P27" s="35">
        <f t="shared" si="6"/>
        <v>42</v>
      </c>
      <c r="Q27" s="34">
        <v>2</v>
      </c>
      <c r="R27" s="83">
        <f ca="1">IF(AND(O27&gt;0,Q27&gt;0),SUMIF('Исходные данные'!$C$13:H29,Q27,'Исходные данные'!$C$17:$H$17),IF(O27=0,0,IF(Q27=0,"РОТ")))</f>
        <v>128.66557526609228</v>
      </c>
      <c r="S27" s="34">
        <v>2</v>
      </c>
      <c r="T27" s="83">
        <f ca="1">IF(AND(N27&gt;0,P27&gt;0),SUMIF('Исходные данные'!$C$13:$J$29,S27,'Исходные данные'!$C$33:$J$39),IF(N27=0,0,IF(S27=0,"РОТ")))</f>
        <v>105.700598073999</v>
      </c>
      <c r="U27" s="130">
        <f ca="1">O27*R27*'Исходные данные'!$C$37%</f>
        <v>0</v>
      </c>
      <c r="V27" s="130">
        <f ca="1">P27*T27*'Исходные данные'!$C$38%</f>
        <v>0</v>
      </c>
      <c r="W27" s="130">
        <f t="shared" ca="1" si="7"/>
        <v>0</v>
      </c>
      <c r="X27" s="131">
        <f t="shared" ca="1" si="8"/>
        <v>0</v>
      </c>
      <c r="Y27" s="130">
        <f t="shared" ca="1" si="9"/>
        <v>540.39541611758762</v>
      </c>
      <c r="Z27" s="131">
        <f t="shared" ca="1" si="10"/>
        <v>221.97125595539794</v>
      </c>
      <c r="AA27" s="130">
        <f t="shared" ca="1" si="11"/>
        <v>0</v>
      </c>
      <c r="AB27" s="131">
        <f t="shared" ca="1" si="12"/>
        <v>0</v>
      </c>
      <c r="AC27" s="129">
        <v>2.5</v>
      </c>
      <c r="AD27" s="130">
        <f t="shared" ca="1" si="13"/>
        <v>14860.873943233659</v>
      </c>
      <c r="AE27" s="130">
        <f t="shared" ca="1" si="14"/>
        <v>11653.490937658391</v>
      </c>
      <c r="AF27" s="35">
        <f t="shared" ca="1" si="15"/>
        <v>2220.5903593337648</v>
      </c>
      <c r="AG27" s="73">
        <f t="shared" ca="1" si="23"/>
        <v>1741.3262320638974</v>
      </c>
      <c r="AH27" s="35">
        <f t="shared" ca="1" si="16"/>
        <v>17081.464302567423</v>
      </c>
      <c r="AI27" s="35">
        <f t="shared" ca="1" si="24"/>
        <v>13394.817169722288</v>
      </c>
      <c r="AJ27" s="35">
        <f t="shared" ca="1" si="17"/>
        <v>5124.4392907702268</v>
      </c>
      <c r="AK27" s="73">
        <f t="shared" ca="1" si="25"/>
        <v>4018.4451509166861</v>
      </c>
      <c r="AL27" s="35">
        <f t="shared" ca="1" si="18"/>
        <v>22205.903593337651</v>
      </c>
      <c r="AM27" s="73">
        <f t="shared" ca="1" si="26"/>
        <v>17413.262320638973</v>
      </c>
      <c r="AN27" s="171">
        <v>0.96</v>
      </c>
      <c r="AO27" s="33">
        <f>'Исходные данные'!$C$53</f>
        <v>0.84</v>
      </c>
      <c r="AP27" s="79">
        <f>(G27*AN27)*AO27/100</f>
        <v>8.4671999999999997E-2</v>
      </c>
      <c r="AQ27" s="33" t="s">
        <v>155</v>
      </c>
      <c r="AR27" s="83" t="e">
        <f>'Исходные данные'!#REF!</f>
        <v>#REF!</v>
      </c>
      <c r="AS27" s="36" t="e">
        <f>AP27*AR27</f>
        <v>#REF!</v>
      </c>
      <c r="AT27" s="32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f>аморт!$G$11</f>
        <v>181.91312849162011</v>
      </c>
      <c r="BJ27" s="36">
        <f>BI27*L27</f>
        <v>1091.4787709497207</v>
      </c>
      <c r="BK27" s="85">
        <f>аморт!$G$23</f>
        <v>48.426111111111105</v>
      </c>
      <c r="BL27" s="36">
        <f>BK27*L27</f>
        <v>290.55666666666662</v>
      </c>
      <c r="BM27" s="36"/>
      <c r="BN27" s="38">
        <v>82.4</v>
      </c>
      <c r="BO27" s="36">
        <f>BN27*BY27</f>
        <v>2521.44</v>
      </c>
      <c r="BP27" s="38">
        <v>13.9</v>
      </c>
      <c r="BQ27" s="36">
        <f>BP27*BY27</f>
        <v>425.34</v>
      </c>
      <c r="BR27" s="38">
        <f>4.8*1.045*1.054</f>
        <v>5.2868639999999996</v>
      </c>
      <c r="BS27" s="36">
        <f>BR27*BY27</f>
        <v>161.77803839999999</v>
      </c>
      <c r="BT27" s="36">
        <f>аморт!$C$23*10%/аморт!$E$23*L27*7</f>
        <v>46128.776400000002</v>
      </c>
      <c r="BU27" s="36" t="e">
        <f t="shared" ca="1" si="19"/>
        <v>#REF!</v>
      </c>
      <c r="BV27" s="36" t="e">
        <f t="shared" ca="1" si="20"/>
        <v>#REF!</v>
      </c>
      <c r="BW27" s="38">
        <f t="shared" si="21"/>
        <v>0.84</v>
      </c>
      <c r="BX27" s="38">
        <v>5.0999999999999996</v>
      </c>
      <c r="BY27" s="39">
        <f>BX27*L27</f>
        <v>30.599999999999998</v>
      </c>
    </row>
    <row r="28" spans="1:77" x14ac:dyDescent="0.2">
      <c r="A28" s="20">
        <f t="shared" si="4"/>
        <v>7</v>
      </c>
      <c r="B28" s="27" t="s">
        <v>25</v>
      </c>
      <c r="C28" s="66">
        <v>3</v>
      </c>
      <c r="D28" s="463" t="s">
        <v>120</v>
      </c>
      <c r="E28" s="464"/>
      <c r="F28" s="28" t="s">
        <v>111</v>
      </c>
      <c r="G28" s="183">
        <f>G27</f>
        <v>10.5</v>
      </c>
      <c r="H28" s="135">
        <v>42536</v>
      </c>
      <c r="I28" s="135">
        <v>42538</v>
      </c>
      <c r="J28" s="179">
        <f t="shared" si="3"/>
        <v>2</v>
      </c>
      <c r="K28" s="170">
        <f>G28/6</f>
        <v>1.75</v>
      </c>
      <c r="L28" s="33">
        <f t="shared" si="5"/>
        <v>6</v>
      </c>
      <c r="M28" s="34"/>
      <c r="N28" s="34">
        <v>1</v>
      </c>
      <c r="O28" s="35">
        <f>IF(M28=0,0,L28*$O$17)</f>
        <v>0</v>
      </c>
      <c r="P28" s="35">
        <f>IF(N28=0,0,L28*$O$17)</f>
        <v>42</v>
      </c>
      <c r="Q28" s="34">
        <v>2</v>
      </c>
      <c r="R28" s="83">
        <f>IF(AND(O28&gt;0,Q28&gt;0),SUMIF('Исходные данные'!$C$13:H29,Q28,'Исходные данные'!$C$17:$H$17),IF(O28=0,0,IF(Q28=0,"РОТ")))</f>
        <v>0</v>
      </c>
      <c r="S28" s="34">
        <v>2</v>
      </c>
      <c r="T28" s="83">
        <f ca="1">IF(AND(N28&gt;0,P28&gt;0),SUMIF('Исходные данные'!$C$13:$J$29,S28,'Исходные данные'!$C$33:$J$39),IF(N28=0,0,IF(S28=0,"РОТ")))</f>
        <v>105.700598073999</v>
      </c>
      <c r="U28" s="130">
        <f>O28*R28*'Исходные данные'!$C$37%</f>
        <v>0</v>
      </c>
      <c r="V28" s="130">
        <f ca="1">P28*T28*'Исходные данные'!$C$38%</f>
        <v>0</v>
      </c>
      <c r="W28" s="130">
        <f t="shared" si="7"/>
        <v>0</v>
      </c>
      <c r="X28" s="131">
        <f t="shared" ca="1" si="8"/>
        <v>0</v>
      </c>
      <c r="Y28" s="130">
        <f t="shared" si="9"/>
        <v>0</v>
      </c>
      <c r="Z28" s="131">
        <f t="shared" ca="1" si="10"/>
        <v>221.97125595539794</v>
      </c>
      <c r="AA28" s="130">
        <f t="shared" si="11"/>
        <v>0</v>
      </c>
      <c r="AB28" s="131">
        <f t="shared" ca="1" si="12"/>
        <v>0</v>
      </c>
      <c r="AC28" s="129">
        <v>2.5</v>
      </c>
      <c r="AD28" s="130">
        <f t="shared" si="13"/>
        <v>0</v>
      </c>
      <c r="AE28" s="130">
        <f t="shared" ca="1" si="14"/>
        <v>11653.490937658391</v>
      </c>
      <c r="AF28" s="35">
        <f t="shared" ca="1" si="15"/>
        <v>0</v>
      </c>
      <c r="AG28" s="73">
        <f t="shared" ca="1" si="23"/>
        <v>1741.3262320638974</v>
      </c>
      <c r="AH28" s="35">
        <f t="shared" ca="1" si="16"/>
        <v>0</v>
      </c>
      <c r="AI28" s="35">
        <f t="shared" ca="1" si="24"/>
        <v>13394.817169722288</v>
      </c>
      <c r="AJ28" s="35">
        <f t="shared" ca="1" si="17"/>
        <v>0</v>
      </c>
      <c r="AK28" s="73">
        <f t="shared" ca="1" si="25"/>
        <v>4018.4451509166861</v>
      </c>
      <c r="AL28" s="35">
        <f t="shared" ca="1" si="18"/>
        <v>0</v>
      </c>
      <c r="AM28" s="73">
        <f t="shared" ca="1" si="26"/>
        <v>17413.262320638973</v>
      </c>
      <c r="AN28" s="171"/>
      <c r="AO28" s="32"/>
      <c r="AP28" s="79"/>
      <c r="AQ28" s="33"/>
      <c r="AR28" s="32"/>
      <c r="AS28" s="36"/>
      <c r="AT28" s="32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85"/>
      <c r="BL28" s="36"/>
      <c r="BM28" s="36"/>
      <c r="BN28" s="38"/>
      <c r="BO28" s="36"/>
      <c r="BP28" s="38"/>
      <c r="BQ28" s="36"/>
      <c r="BR28" s="38"/>
      <c r="BS28" s="36"/>
      <c r="BT28" s="36"/>
      <c r="BU28" s="36">
        <f t="shared" ca="1" si="19"/>
        <v>17413.262320638973</v>
      </c>
      <c r="BV28" s="36">
        <f ca="1">BU28/$D$6</f>
        <v>174.13262320638972</v>
      </c>
      <c r="BW28" s="38">
        <f>(O28+P28)/$D$6</f>
        <v>0.42</v>
      </c>
      <c r="BX28" s="38"/>
      <c r="BY28" s="39"/>
    </row>
    <row r="29" spans="1:77" ht="22.5" x14ac:dyDescent="0.2">
      <c r="A29" s="20">
        <f t="shared" si="4"/>
        <v>8</v>
      </c>
      <c r="B29" s="27" t="s">
        <v>26</v>
      </c>
      <c r="C29" s="66">
        <v>3</v>
      </c>
      <c r="D29" s="463" t="s">
        <v>120</v>
      </c>
      <c r="E29" s="464"/>
      <c r="F29" s="28" t="s">
        <v>111</v>
      </c>
      <c r="G29" s="36">
        <f>AY32</f>
        <v>50</v>
      </c>
      <c r="H29" s="135">
        <v>42536</v>
      </c>
      <c r="I29" s="135">
        <v>42538</v>
      </c>
      <c r="J29" s="179">
        <f t="shared" si="3"/>
        <v>2</v>
      </c>
      <c r="K29" s="170">
        <f>50/6</f>
        <v>8.3333333333333339</v>
      </c>
      <c r="L29" s="33">
        <f t="shared" si="5"/>
        <v>6</v>
      </c>
      <c r="M29" s="34"/>
      <c r="N29" s="34">
        <v>1</v>
      </c>
      <c r="O29" s="35">
        <f t="shared" si="22"/>
        <v>0</v>
      </c>
      <c r="P29" s="35">
        <f t="shared" si="6"/>
        <v>42</v>
      </c>
      <c r="Q29" s="34">
        <v>2</v>
      </c>
      <c r="R29" s="83">
        <f>IF(AND(O29&gt;0,Q29&gt;0),SUMIF('Исходные данные'!$C$13:H29,Q29,'Исходные данные'!$C$17:$H$17),IF(O29=0,0,IF(Q29=0,"РОТ")))</f>
        <v>0</v>
      </c>
      <c r="S29" s="34">
        <v>2</v>
      </c>
      <c r="T29" s="83">
        <f ca="1">IF(AND(N29&gt;0,P29&gt;0),SUMIF('Исходные данные'!$C$13:$J$29,S29,'Исходные данные'!$C$33:$J$39),IF(N29=0,0,IF(S29=0,"РОТ")))</f>
        <v>105.700598073999</v>
      </c>
      <c r="U29" s="130">
        <f>O29*R29*'Исходные данные'!$C$37%</f>
        <v>0</v>
      </c>
      <c r="V29" s="130">
        <f ca="1">P29*T29*'Исходные данные'!$C$38%</f>
        <v>0</v>
      </c>
      <c r="W29" s="130">
        <f t="shared" si="7"/>
        <v>0</v>
      </c>
      <c r="X29" s="131">
        <f t="shared" ca="1" si="8"/>
        <v>0</v>
      </c>
      <c r="Y29" s="130">
        <f t="shared" si="9"/>
        <v>0</v>
      </c>
      <c r="Z29" s="131">
        <f t="shared" ca="1" si="10"/>
        <v>221.97125595539794</v>
      </c>
      <c r="AA29" s="130">
        <f t="shared" si="11"/>
        <v>0</v>
      </c>
      <c r="AB29" s="131">
        <f t="shared" ca="1" si="12"/>
        <v>0</v>
      </c>
      <c r="AC29" s="129">
        <v>2.5</v>
      </c>
      <c r="AD29" s="130">
        <f t="shared" si="13"/>
        <v>0</v>
      </c>
      <c r="AE29" s="130">
        <f t="shared" ca="1" si="14"/>
        <v>11653.490937658391</v>
      </c>
      <c r="AF29" s="35">
        <f t="shared" ca="1" si="15"/>
        <v>0</v>
      </c>
      <c r="AG29" s="73">
        <f t="shared" ca="1" si="23"/>
        <v>1741.3262320638974</v>
      </c>
      <c r="AH29" s="35">
        <f t="shared" ca="1" si="16"/>
        <v>0</v>
      </c>
      <c r="AI29" s="35">
        <f t="shared" ca="1" si="24"/>
        <v>13394.817169722288</v>
      </c>
      <c r="AJ29" s="35">
        <f t="shared" ca="1" si="17"/>
        <v>0</v>
      </c>
      <c r="AK29" s="73">
        <f t="shared" ca="1" si="25"/>
        <v>4018.4451509166861</v>
      </c>
      <c r="AL29" s="35">
        <f t="shared" ca="1" si="18"/>
        <v>0</v>
      </c>
      <c r="AM29" s="73">
        <f t="shared" ca="1" si="26"/>
        <v>17413.262320638973</v>
      </c>
      <c r="AN29" s="171"/>
      <c r="AO29" s="32"/>
      <c r="AP29" s="79"/>
      <c r="AQ29" s="33"/>
      <c r="AR29" s="32"/>
      <c r="AS29" s="36"/>
      <c r="AT29" s="32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85"/>
      <c r="BL29" s="36"/>
      <c r="BM29" s="36"/>
      <c r="BN29" s="38"/>
      <c r="BO29" s="36"/>
      <c r="BP29" s="38"/>
      <c r="BQ29" s="36"/>
      <c r="BR29" s="38"/>
      <c r="BS29" s="36"/>
      <c r="BT29" s="36"/>
      <c r="BU29" s="36">
        <f t="shared" ca="1" si="19"/>
        <v>17413.262320638973</v>
      </c>
      <c r="BV29" s="36">
        <f t="shared" ca="1" si="20"/>
        <v>174.13262320638972</v>
      </c>
      <c r="BW29" s="38">
        <f t="shared" si="21"/>
        <v>0.42</v>
      </c>
      <c r="BX29" s="38"/>
      <c r="BY29" s="39"/>
    </row>
    <row r="30" spans="1:77" ht="33.75" x14ac:dyDescent="0.2">
      <c r="A30" s="20">
        <f t="shared" si="4"/>
        <v>9</v>
      </c>
      <c r="B30" s="27" t="s">
        <v>77</v>
      </c>
      <c r="C30" s="66">
        <v>3</v>
      </c>
      <c r="D30" s="30" t="s">
        <v>107</v>
      </c>
      <c r="E30" s="31" t="s">
        <v>117</v>
      </c>
      <c r="F30" s="28" t="s">
        <v>111</v>
      </c>
      <c r="G30" s="36">
        <f>G29</f>
        <v>50</v>
      </c>
      <c r="H30" s="135">
        <v>42536</v>
      </c>
      <c r="I30" s="135">
        <v>42538</v>
      </c>
      <c r="J30" s="179">
        <f t="shared" si="3"/>
        <v>2</v>
      </c>
      <c r="K30" s="170">
        <f>50/6</f>
        <v>8.3333333333333339</v>
      </c>
      <c r="L30" s="33">
        <f t="shared" si="5"/>
        <v>6</v>
      </c>
      <c r="M30" s="34">
        <v>1</v>
      </c>
      <c r="N30" s="34">
        <v>1</v>
      </c>
      <c r="O30" s="35">
        <f t="shared" si="22"/>
        <v>42</v>
      </c>
      <c r="P30" s="35">
        <f t="shared" si="6"/>
        <v>42</v>
      </c>
      <c r="Q30" s="34">
        <v>2</v>
      </c>
      <c r="R30" s="83">
        <f ca="1">IF(AND(O30&gt;0,Q30&gt;0),SUMIF('Исходные данные'!$C$13:H30,Q30,'Исходные данные'!$C$17:$H$17),IF(O30=0,0,IF(Q30=0,"РОТ")))</f>
        <v>128.66557526609228</v>
      </c>
      <c r="S30" s="34">
        <v>2</v>
      </c>
      <c r="T30" s="83">
        <f ca="1">IF(AND(N30&gt;0,P30&gt;0),SUMIF('Исходные данные'!$C$13:$J$29,S30,'Исходные данные'!$C$33:$J$39),IF(N30=0,0,IF(S30=0,"РОТ")))</f>
        <v>105.700598073999</v>
      </c>
      <c r="U30" s="130">
        <f ca="1">O30*R30*'Исходные данные'!$C$37%</f>
        <v>0</v>
      </c>
      <c r="V30" s="130">
        <f ca="1">P30*T30*'Исходные данные'!$C$38%</f>
        <v>0</v>
      </c>
      <c r="W30" s="130">
        <f t="shared" ca="1" si="7"/>
        <v>0</v>
      </c>
      <c r="X30" s="131">
        <f t="shared" ca="1" si="8"/>
        <v>0</v>
      </c>
      <c r="Y30" s="130">
        <f t="shared" ca="1" si="9"/>
        <v>540.39541611758762</v>
      </c>
      <c r="Z30" s="131">
        <f t="shared" ca="1" si="10"/>
        <v>221.97125595539794</v>
      </c>
      <c r="AA30" s="130">
        <f t="shared" ca="1" si="11"/>
        <v>0</v>
      </c>
      <c r="AB30" s="131">
        <f t="shared" ca="1" si="12"/>
        <v>0</v>
      </c>
      <c r="AC30" s="129">
        <v>2.5</v>
      </c>
      <c r="AD30" s="130">
        <f t="shared" ca="1" si="13"/>
        <v>14860.873943233659</v>
      </c>
      <c r="AE30" s="130">
        <f t="shared" ca="1" si="14"/>
        <v>11653.490937658391</v>
      </c>
      <c r="AF30" s="35">
        <f t="shared" ca="1" si="15"/>
        <v>2220.5903593337648</v>
      </c>
      <c r="AG30" s="73">
        <f t="shared" ca="1" si="23"/>
        <v>1741.3262320638974</v>
      </c>
      <c r="AH30" s="35">
        <f t="shared" ca="1" si="16"/>
        <v>17081.464302567423</v>
      </c>
      <c r="AI30" s="35">
        <f t="shared" ca="1" si="24"/>
        <v>13394.817169722288</v>
      </c>
      <c r="AJ30" s="35">
        <f t="shared" ca="1" si="17"/>
        <v>5124.4392907702268</v>
      </c>
      <c r="AK30" s="73">
        <f t="shared" ca="1" si="25"/>
        <v>4018.4451509166861</v>
      </c>
      <c r="AL30" s="35">
        <f t="shared" ca="1" si="18"/>
        <v>22205.903593337651</v>
      </c>
      <c r="AM30" s="73">
        <f t="shared" ca="1" si="26"/>
        <v>17413.262320638973</v>
      </c>
      <c r="AN30" s="171">
        <v>0.96</v>
      </c>
      <c r="AO30" s="33">
        <f>'Исходные данные'!$C$53</f>
        <v>0.84</v>
      </c>
      <c r="AP30" s="79">
        <f>(G30*AN30)*AO30/100</f>
        <v>0.4032</v>
      </c>
      <c r="AQ30" s="33" t="s">
        <v>155</v>
      </c>
      <c r="AR30" s="83" t="e">
        <f>'Исходные данные'!#REF!</f>
        <v>#REF!</v>
      </c>
      <c r="AS30" s="36" t="e">
        <f>AP30*AR30</f>
        <v>#REF!</v>
      </c>
      <c r="AT30" s="32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>
        <f>аморт!$G$11</f>
        <v>181.91312849162011</v>
      </c>
      <c r="BJ30" s="36">
        <f>BI30*L30</f>
        <v>1091.4787709497207</v>
      </c>
      <c r="BK30" s="85">
        <f>аморт!$G$23</f>
        <v>48.426111111111105</v>
      </c>
      <c r="BL30" s="36">
        <f>BK30*L30</f>
        <v>290.55666666666662</v>
      </c>
      <c r="BM30" s="36"/>
      <c r="BN30" s="38">
        <v>82.4</v>
      </c>
      <c r="BO30" s="36">
        <f>BN30*BY30</f>
        <v>2521.44</v>
      </c>
      <c r="BP30" s="38">
        <v>13.9</v>
      </c>
      <c r="BQ30" s="36">
        <f>BP30*BY30</f>
        <v>425.34</v>
      </c>
      <c r="BR30" s="38">
        <f>4.8*1.045*1.054</f>
        <v>5.2868639999999996</v>
      </c>
      <c r="BS30" s="36">
        <f>BR30*BY30</f>
        <v>161.77803839999999</v>
      </c>
      <c r="BT30" s="36">
        <f>аморт!$C$23*10%/аморт!$E$23*L30*7</f>
        <v>46128.776400000002</v>
      </c>
      <c r="BU30" s="36" t="e">
        <f t="shared" ca="1" si="19"/>
        <v>#REF!</v>
      </c>
      <c r="BV30" s="36" t="e">
        <f t="shared" ca="1" si="20"/>
        <v>#REF!</v>
      </c>
      <c r="BW30" s="38">
        <f t="shared" si="21"/>
        <v>0.84</v>
      </c>
      <c r="BX30" s="38">
        <v>5.0999999999999996</v>
      </c>
      <c r="BY30" s="39">
        <f>BX30*L30</f>
        <v>30.599999999999998</v>
      </c>
    </row>
    <row r="31" spans="1:77" ht="22.5" x14ac:dyDescent="0.2">
      <c r="A31" s="20">
        <f t="shared" si="4"/>
        <v>10</v>
      </c>
      <c r="B31" s="27" t="s">
        <v>27</v>
      </c>
      <c r="C31" s="66">
        <v>3</v>
      </c>
      <c r="D31" s="463" t="s">
        <v>120</v>
      </c>
      <c r="E31" s="464"/>
      <c r="F31" s="28" t="s">
        <v>111</v>
      </c>
      <c r="G31" s="36">
        <f>G30</f>
        <v>50</v>
      </c>
      <c r="H31" s="135">
        <v>42536</v>
      </c>
      <c r="I31" s="135">
        <v>42538</v>
      </c>
      <c r="J31" s="179">
        <f t="shared" si="3"/>
        <v>2</v>
      </c>
      <c r="K31" s="170">
        <f>50/6</f>
        <v>8.3333333333333339</v>
      </c>
      <c r="L31" s="33">
        <f t="shared" si="5"/>
        <v>6</v>
      </c>
      <c r="M31" s="34"/>
      <c r="N31" s="34">
        <v>1</v>
      </c>
      <c r="O31" s="35">
        <f>IF(M31=0,0,L31*$O$17)</f>
        <v>0</v>
      </c>
      <c r="P31" s="35">
        <f t="shared" si="6"/>
        <v>42</v>
      </c>
      <c r="Q31" s="34">
        <v>2</v>
      </c>
      <c r="R31" s="83">
        <f>IF(AND(O31&gt;0,Q31&gt;0),SUMIF('Исходные данные'!$C$13:H31,Q31,'Исходные данные'!$C$17:$H$17),IF(O31=0,0,IF(Q31=0,"РОТ")))</f>
        <v>0</v>
      </c>
      <c r="S31" s="34">
        <v>2</v>
      </c>
      <c r="T31" s="83">
        <f ca="1">IF(AND(N31&gt;0,P31&gt;0),SUMIF('Исходные данные'!$C$13:$J$29,S31,'Исходные данные'!$C$33:$J$39),IF(N31=0,0,IF(S31=0,"РОТ")))</f>
        <v>105.700598073999</v>
      </c>
      <c r="U31" s="130">
        <f>O31*R31*'Исходные данные'!$C$37%</f>
        <v>0</v>
      </c>
      <c r="V31" s="130">
        <f ca="1">P31*T31*'Исходные данные'!$C$38%</f>
        <v>0</v>
      </c>
      <c r="W31" s="130">
        <f t="shared" si="7"/>
        <v>0</v>
      </c>
      <c r="X31" s="131">
        <f t="shared" ca="1" si="8"/>
        <v>0</v>
      </c>
      <c r="Y31" s="130">
        <f t="shared" si="9"/>
        <v>0</v>
      </c>
      <c r="Z31" s="131">
        <f t="shared" ca="1" si="10"/>
        <v>221.97125595539794</v>
      </c>
      <c r="AA31" s="130">
        <f t="shared" si="11"/>
        <v>0</v>
      </c>
      <c r="AB31" s="131">
        <f t="shared" ca="1" si="12"/>
        <v>0</v>
      </c>
      <c r="AC31" s="129">
        <v>2.5</v>
      </c>
      <c r="AD31" s="130">
        <f t="shared" si="13"/>
        <v>0</v>
      </c>
      <c r="AE31" s="130">
        <f t="shared" ca="1" si="14"/>
        <v>11653.490937658391</v>
      </c>
      <c r="AF31" s="35">
        <f t="shared" ca="1" si="15"/>
        <v>0</v>
      </c>
      <c r="AG31" s="73">
        <f t="shared" ca="1" si="23"/>
        <v>1741.3262320638974</v>
      </c>
      <c r="AH31" s="35">
        <f t="shared" ca="1" si="16"/>
        <v>0</v>
      </c>
      <c r="AI31" s="35">
        <f t="shared" ca="1" si="24"/>
        <v>13394.817169722288</v>
      </c>
      <c r="AJ31" s="35">
        <f t="shared" ca="1" si="17"/>
        <v>0</v>
      </c>
      <c r="AK31" s="73">
        <f t="shared" ca="1" si="25"/>
        <v>4018.4451509166861</v>
      </c>
      <c r="AL31" s="35">
        <f t="shared" ca="1" si="18"/>
        <v>0</v>
      </c>
      <c r="AM31" s="73">
        <f t="shared" ca="1" si="26"/>
        <v>17413.262320638973</v>
      </c>
      <c r="AN31" s="171"/>
      <c r="AO31" s="32"/>
      <c r="AP31" s="79"/>
      <c r="AQ31" s="33"/>
      <c r="AR31" s="32"/>
      <c r="AS31" s="36"/>
      <c r="AT31" s="32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85"/>
      <c r="BL31" s="36"/>
      <c r="BM31" s="36"/>
      <c r="BN31" s="38"/>
      <c r="BO31" s="36"/>
      <c r="BP31" s="38"/>
      <c r="BQ31" s="36"/>
      <c r="BR31" s="38"/>
      <c r="BS31" s="36"/>
      <c r="BT31" s="36"/>
      <c r="BU31" s="36">
        <f ca="1">AL31+AM31+AS31+AW31+BA31+BE31+BH31+BJ31+BL31+BM31+BO31+BQ31+BS31+BT31</f>
        <v>17413.262320638973</v>
      </c>
      <c r="BV31" s="36">
        <f t="shared" ca="1" si="20"/>
        <v>174.13262320638972</v>
      </c>
      <c r="BW31" s="38">
        <f t="shared" si="21"/>
        <v>0.42</v>
      </c>
      <c r="BX31" s="38"/>
      <c r="BY31" s="39"/>
    </row>
    <row r="32" spans="1:77" ht="67.5" x14ac:dyDescent="0.2">
      <c r="A32" s="20">
        <f t="shared" si="4"/>
        <v>11</v>
      </c>
      <c r="B32" s="27" t="s">
        <v>502</v>
      </c>
      <c r="C32" s="66">
        <v>2</v>
      </c>
      <c r="D32" s="30" t="s">
        <v>186</v>
      </c>
      <c r="E32" s="84" t="s">
        <v>498</v>
      </c>
      <c r="F32" s="28" t="s">
        <v>108</v>
      </c>
      <c r="G32" s="29">
        <f>D6</f>
        <v>100</v>
      </c>
      <c r="H32" s="135">
        <f>H25</f>
        <v>42536</v>
      </c>
      <c r="I32" s="135">
        <v>42538</v>
      </c>
      <c r="J32" s="179">
        <f>I32-H32</f>
        <v>2</v>
      </c>
      <c r="K32" s="170">
        <f>6.7*8</f>
        <v>53.6</v>
      </c>
      <c r="L32" s="33">
        <f t="shared" si="5"/>
        <v>1.8656716417910448</v>
      </c>
      <c r="M32" s="34">
        <v>1</v>
      </c>
      <c r="N32" s="34">
        <v>1</v>
      </c>
      <c r="O32" s="35">
        <f t="shared" si="22"/>
        <v>13.059701492537314</v>
      </c>
      <c r="P32" s="35">
        <f>IF(N32=0,0,L32*$O$17)</f>
        <v>13.059701492537314</v>
      </c>
      <c r="Q32" s="34">
        <v>5</v>
      </c>
      <c r="R32" s="83">
        <f ca="1">IF(AND(O32&gt;0,Q32&gt;0),SUMIF('Исходные данные'!$C$13:H32,Q32,'Исходные данные'!$C$17:$H$17),IF(O32=0,0,IF(Q32=0,"РОТ")))</f>
        <v>179.78980233147493</v>
      </c>
      <c r="S32" s="34">
        <v>2</v>
      </c>
      <c r="T32" s="83">
        <f ca="1">IF(AND(N32&gt;0,P32&gt;0),SUMIF('Исходные данные'!$C$13:$J$29,S32,'Исходные данные'!$C$33:$J$39),IF(N32=0,0,IF(S32=0,"РОТ")))</f>
        <v>105.700598073999</v>
      </c>
      <c r="U32" s="130">
        <f ca="1">O32*R32*'Исходные данные'!$C$37%</f>
        <v>0</v>
      </c>
      <c r="V32" s="130">
        <f ca="1">P32*T32*'Исходные данные'!$C$38%</f>
        <v>0</v>
      </c>
      <c r="W32" s="130">
        <f t="shared" ca="1" si="7"/>
        <v>0</v>
      </c>
      <c r="X32" s="131">
        <f t="shared" ca="1" si="8"/>
        <v>0</v>
      </c>
      <c r="Y32" s="130">
        <f t="shared" ca="1" si="9"/>
        <v>234.8001149851352</v>
      </c>
      <c r="Z32" s="131">
        <f t="shared" ca="1" si="10"/>
        <v>69.020912921454581</v>
      </c>
      <c r="AA32" s="130">
        <f t="shared" ca="1" si="11"/>
        <v>0</v>
      </c>
      <c r="AB32" s="131">
        <f t="shared" ca="1" si="12"/>
        <v>0</v>
      </c>
      <c r="AC32" s="129">
        <v>2.5</v>
      </c>
      <c r="AD32" s="130">
        <f t="shared" ca="1" si="13"/>
        <v>6457.0031620912177</v>
      </c>
      <c r="AE32" s="130">
        <f t="shared" ca="1" si="14"/>
        <v>3623.5979283763654</v>
      </c>
      <c r="AF32" s="35">
        <f t="shared" ca="1" si="15"/>
        <v>964.83955295615885</v>
      </c>
      <c r="AG32" s="73">
        <f t="shared" ca="1" si="23"/>
        <v>541.45716171141089</v>
      </c>
      <c r="AH32" s="35">
        <f t="shared" ca="1" si="16"/>
        <v>7421.8427150473763</v>
      </c>
      <c r="AI32" s="35">
        <f t="shared" ca="1" si="24"/>
        <v>4165.0550900877761</v>
      </c>
      <c r="AJ32" s="35">
        <f t="shared" ca="1" si="17"/>
        <v>2226.552814514213</v>
      </c>
      <c r="AK32" s="73">
        <f t="shared" ca="1" si="25"/>
        <v>1249.5165270263328</v>
      </c>
      <c r="AL32" s="35">
        <f t="shared" ca="1" si="18"/>
        <v>9648.3955295615888</v>
      </c>
      <c r="AM32" s="73">
        <f t="shared" ca="1" si="26"/>
        <v>5414.5716171141084</v>
      </c>
      <c r="AN32" s="171">
        <v>9</v>
      </c>
      <c r="AO32" s="33">
        <f>'Исходные данные'!$C$53</f>
        <v>0.84</v>
      </c>
      <c r="AP32" s="79">
        <f>(G32*AN32)*AO32/100</f>
        <v>7.56</v>
      </c>
      <c r="AQ32" s="33" t="s">
        <v>155</v>
      </c>
      <c r="AR32" s="83" t="e">
        <f>'Исходные данные'!#REF!</f>
        <v>#REF!</v>
      </c>
      <c r="AS32" s="36" t="e">
        <f>AP32*AR32</f>
        <v>#REF!</v>
      </c>
      <c r="AT32" s="171">
        <f>1+0.05</f>
        <v>1.05</v>
      </c>
      <c r="AU32" s="36">
        <f>AT32*G32/10</f>
        <v>10.5</v>
      </c>
      <c r="AV32" s="79">
        <v>21</v>
      </c>
      <c r="AW32" s="36">
        <f>AU32*AV32*1000</f>
        <v>220500</v>
      </c>
      <c r="AX32" s="38">
        <v>5</v>
      </c>
      <c r="AY32" s="36">
        <f>AX32*G32/10</f>
        <v>50</v>
      </c>
      <c r="AZ32" s="38" t="e">
        <f>Нормы!#REF!</f>
        <v>#REF!</v>
      </c>
      <c r="BA32" s="36" t="e">
        <f>AY32*AZ32*1000</f>
        <v>#REF!</v>
      </c>
      <c r="BB32" s="36"/>
      <c r="BC32" s="36"/>
      <c r="BD32" s="36"/>
      <c r="BE32" s="36"/>
      <c r="BF32" s="36"/>
      <c r="BG32" s="36"/>
      <c r="BH32" s="36"/>
      <c r="BI32" s="36">
        <f>аморт!$G$11</f>
        <v>181.91312849162011</v>
      </c>
      <c r="BJ32" s="36">
        <f>BI32*L32</f>
        <v>339.39016509630619</v>
      </c>
      <c r="BK32" s="36">
        <f>аморт!$G$83</f>
        <v>214.94602272727272</v>
      </c>
      <c r="BL32" s="36">
        <f>BK32*L32</f>
        <v>401.01869911804613</v>
      </c>
      <c r="BM32" s="36"/>
      <c r="BN32" s="38">
        <v>82.4</v>
      </c>
      <c r="BO32" s="36">
        <f>BN32*BY32</f>
        <v>784.02985074626872</v>
      </c>
      <c r="BP32" s="38">
        <v>13.9</v>
      </c>
      <c r="BQ32" s="36">
        <f>BP32*BY32</f>
        <v>132.25746268656718</v>
      </c>
      <c r="BR32" s="38">
        <f>4.8*1.045*1.054</f>
        <v>5.2868639999999996</v>
      </c>
      <c r="BS32" s="36">
        <f>BR32*BY32</f>
        <v>50.304116417910443</v>
      </c>
      <c r="BT32" s="36">
        <f>аморт!$C$83*10%/аморт!$E$83*L32*7</f>
        <v>19762.201492537315</v>
      </c>
      <c r="BU32" s="36" t="e">
        <f t="shared" ca="1" si="19"/>
        <v>#REF!</v>
      </c>
      <c r="BV32" s="36" t="e">
        <f t="shared" ca="1" si="20"/>
        <v>#REF!</v>
      </c>
      <c r="BW32" s="38">
        <f>(O32+P32)/$D$6</f>
        <v>0.2611940298507463</v>
      </c>
      <c r="BX32" s="38">
        <v>5.0999999999999996</v>
      </c>
      <c r="BY32" s="39">
        <f>BX32*L32</f>
        <v>9.5149253731343286</v>
      </c>
    </row>
    <row r="33" spans="1:77" x14ac:dyDescent="0.2">
      <c r="A33" s="20"/>
      <c r="B33" s="27"/>
      <c r="C33" s="66"/>
      <c r="D33" s="30"/>
      <c r="E33" s="31"/>
      <c r="F33" s="28"/>
      <c r="G33" s="29"/>
      <c r="H33" s="81"/>
      <c r="I33" s="81"/>
      <c r="J33" s="83"/>
      <c r="K33" s="32"/>
      <c r="L33" s="33"/>
      <c r="M33" s="34"/>
      <c r="N33" s="34"/>
      <c r="O33" s="35"/>
      <c r="P33" s="35"/>
      <c r="Q33" s="34"/>
      <c r="R33" s="83"/>
      <c r="S33" s="34"/>
      <c r="T33" s="33"/>
      <c r="U33" s="130"/>
      <c r="V33" s="130"/>
      <c r="W33" s="130"/>
      <c r="X33" s="131"/>
      <c r="Y33" s="130"/>
      <c r="Z33" s="131"/>
      <c r="AA33" s="130"/>
      <c r="AB33" s="131"/>
      <c r="AC33" s="129"/>
      <c r="AD33" s="130"/>
      <c r="AE33" s="130"/>
      <c r="AF33" s="35"/>
      <c r="AG33" s="73"/>
      <c r="AH33" s="35"/>
      <c r="AI33" s="35"/>
      <c r="AJ33" s="35"/>
      <c r="AK33" s="73"/>
      <c r="AL33" s="35"/>
      <c r="AM33" s="73"/>
      <c r="AN33" s="32"/>
      <c r="AO33" s="33"/>
      <c r="AP33" s="79"/>
      <c r="AQ33" s="33"/>
      <c r="AR33" s="83"/>
      <c r="AS33" s="36"/>
      <c r="AT33" s="32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8"/>
      <c r="BO33" s="36"/>
      <c r="BP33" s="38"/>
      <c r="BQ33" s="36"/>
      <c r="BR33" s="38"/>
      <c r="BS33" s="36"/>
      <c r="BT33" s="36"/>
      <c r="BU33" s="36"/>
      <c r="BV33" s="36"/>
      <c r="BW33" s="38"/>
      <c r="BX33" s="38"/>
      <c r="BY33" s="39"/>
    </row>
    <row r="34" spans="1:77" s="54" customFormat="1" x14ac:dyDescent="0.2">
      <c r="A34" s="52"/>
      <c r="B34" s="53" t="s">
        <v>22</v>
      </c>
      <c r="C34" s="53"/>
      <c r="D34" s="53"/>
      <c r="E34" s="53"/>
      <c r="F34" s="55"/>
      <c r="G34" s="56"/>
      <c r="H34" s="56"/>
      <c r="I34" s="56"/>
      <c r="J34" s="65">
        <f>SUM(J22:J33)</f>
        <v>33</v>
      </c>
      <c r="K34" s="65"/>
      <c r="L34" s="65">
        <f>SUM(L22:L33)</f>
        <v>57.359719260838666</v>
      </c>
      <c r="M34" s="65">
        <f>SUM(M22:M33)</f>
        <v>8</v>
      </c>
      <c r="N34" s="65">
        <f>SUM(N22:N33)</f>
        <v>7</v>
      </c>
      <c r="O34" s="65">
        <f>SUM(O22:O33)</f>
        <v>275.5180348258707</v>
      </c>
      <c r="P34" s="65">
        <f>SUM(P22:P33)</f>
        <v>265.05970149253733</v>
      </c>
      <c r="Q34" s="65"/>
      <c r="R34" s="65"/>
      <c r="S34" s="65"/>
      <c r="T34" s="65"/>
      <c r="U34" s="65">
        <f t="shared" ref="U34:AM34" ca="1" si="27">SUM(U22:U33)</f>
        <v>0</v>
      </c>
      <c r="V34" s="65">
        <f t="shared" ca="1" si="27"/>
        <v>0</v>
      </c>
      <c r="W34" s="65">
        <f t="shared" ca="1" si="27"/>
        <v>0</v>
      </c>
      <c r="X34" s="65">
        <f t="shared" ca="1" si="27"/>
        <v>0</v>
      </c>
      <c r="Y34" s="65">
        <f t="shared" ca="1" si="27"/>
        <v>4319.0407982086526</v>
      </c>
      <c r="Z34" s="65">
        <f t="shared" ca="1" si="27"/>
        <v>1400.8484486538421</v>
      </c>
      <c r="AA34" s="65">
        <f t="shared" ca="1" si="27"/>
        <v>0</v>
      </c>
      <c r="AB34" s="65">
        <f t="shared" ca="1" si="27"/>
        <v>0</v>
      </c>
      <c r="AC34" s="65"/>
      <c r="AD34" s="65">
        <f t="shared" ca="1" si="27"/>
        <v>118773.62195073797</v>
      </c>
      <c r="AE34" s="65">
        <f t="shared" ca="1" si="27"/>
        <v>73544.543554326709</v>
      </c>
      <c r="AF34" s="65">
        <f t="shared" ca="1" si="27"/>
        <v>17747.782590340154</v>
      </c>
      <c r="AG34" s="65">
        <f t="shared" ca="1" si="27"/>
        <v>10989.414554094794</v>
      </c>
      <c r="AH34" s="65">
        <f t="shared" ca="1" si="27"/>
        <v>136521.40454107811</v>
      </c>
      <c r="AI34" s="65">
        <f t="shared" ca="1" si="27"/>
        <v>84533.958108421502</v>
      </c>
      <c r="AJ34" s="65">
        <f t="shared" ca="1" si="27"/>
        <v>40956.421362323439</v>
      </c>
      <c r="AK34" s="65">
        <f t="shared" ca="1" si="27"/>
        <v>25360.187432526447</v>
      </c>
      <c r="AL34" s="65">
        <f t="shared" ca="1" si="27"/>
        <v>177477.82590340159</v>
      </c>
      <c r="AM34" s="65">
        <f t="shared" ca="1" si="27"/>
        <v>109894.14554094794</v>
      </c>
      <c r="AN34" s="65"/>
      <c r="AO34" s="65"/>
      <c r="AP34" s="65">
        <f>SUM(AP22:AP33)</f>
        <v>33.979872</v>
      </c>
      <c r="AQ34" s="65"/>
      <c r="AR34" s="65"/>
      <c r="AS34" s="65" t="e">
        <f>SUM(AS22:AS33)</f>
        <v>#REF!</v>
      </c>
      <c r="AT34" s="65"/>
      <c r="AU34" s="65">
        <f>SUM(AU22:AU33)</f>
        <v>10.5</v>
      </c>
      <c r="AV34" s="65"/>
      <c r="AW34" s="65">
        <f>SUM(AW22:AW33)</f>
        <v>220500</v>
      </c>
      <c r="AX34" s="65"/>
      <c r="AY34" s="65">
        <f>SUM(AY22:AY33)</f>
        <v>50</v>
      </c>
      <c r="AZ34" s="65"/>
      <c r="BA34" s="65" t="e">
        <f>SUM(BA22:BA33)</f>
        <v>#REF!</v>
      </c>
      <c r="BB34" s="65"/>
      <c r="BC34" s="65">
        <f>SUM(BC22:BC33)</f>
        <v>0</v>
      </c>
      <c r="BD34" s="65"/>
      <c r="BE34" s="65">
        <f>SUM(BE22:BE33)</f>
        <v>0</v>
      </c>
      <c r="BF34" s="65"/>
      <c r="BG34" s="65"/>
      <c r="BH34" s="65"/>
      <c r="BI34" s="65"/>
      <c r="BJ34" s="65">
        <f>SUM(BJ22:BJ33)</f>
        <v>4084.2616120032744</v>
      </c>
      <c r="BK34" s="65"/>
      <c r="BL34" s="65">
        <f>SUM(BL22:BL33)</f>
        <v>2216.9069720156754</v>
      </c>
      <c r="BM34" s="65"/>
      <c r="BN34" s="65"/>
      <c r="BO34" s="65">
        <f>SUM(BO22:BO33)</f>
        <v>23268.427707889121</v>
      </c>
      <c r="BP34" s="65"/>
      <c r="BQ34" s="65">
        <f>SUM(BQ22:BQ33)</f>
        <v>2995.0267484008532</v>
      </c>
      <c r="BR34" s="65"/>
      <c r="BS34" s="65">
        <f>SUM(BS22:BS33)</f>
        <v>1868.0876669679103</v>
      </c>
      <c r="BT34" s="65">
        <f>SUM(BT22:BT33)</f>
        <v>238347.68595920398</v>
      </c>
      <c r="BU34" s="65" t="e">
        <f ca="1">SUM(BU22:BU33)</f>
        <v>#REF!</v>
      </c>
      <c r="BV34" s="65"/>
      <c r="BW34" s="65"/>
      <c r="BX34" s="65"/>
      <c r="BY34" s="65">
        <f>SUM(BY22:BY33)</f>
        <v>277.50063965884857</v>
      </c>
    </row>
    <row r="35" spans="1:77" s="7" customFormat="1" x14ac:dyDescent="0.2">
      <c r="A35" s="21"/>
      <c r="B35" s="462" t="s">
        <v>73</v>
      </c>
      <c r="C35" s="462"/>
      <c r="D35" s="462"/>
      <c r="E35" s="462"/>
      <c r="F35" s="22"/>
      <c r="G35" s="23"/>
      <c r="H35" s="23"/>
      <c r="I35" s="23"/>
      <c r="J35" s="23"/>
      <c r="K35" s="23"/>
      <c r="L35" s="40"/>
      <c r="M35" s="23"/>
      <c r="N35" s="23"/>
      <c r="O35" s="41"/>
      <c r="P35" s="41"/>
      <c r="Q35" s="25"/>
      <c r="R35" s="23"/>
      <c r="S35" s="25"/>
      <c r="T35" s="23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23"/>
      <c r="AO35" s="23"/>
      <c r="AP35" s="42"/>
      <c r="AQ35" s="26"/>
      <c r="AR35" s="26"/>
      <c r="AS35" s="42"/>
      <c r="AT35" s="23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</row>
    <row r="36" spans="1:77" s="7" customFormat="1" ht="22.5" x14ac:dyDescent="0.2">
      <c r="A36" s="19">
        <v>1</v>
      </c>
      <c r="B36" s="27" t="s">
        <v>74</v>
      </c>
      <c r="C36" s="66">
        <v>1</v>
      </c>
      <c r="D36" s="465" t="s">
        <v>133</v>
      </c>
      <c r="E36" s="466"/>
      <c r="F36" s="28" t="s">
        <v>108</v>
      </c>
      <c r="G36" s="29">
        <v>100</v>
      </c>
      <c r="H36" s="178">
        <v>42537</v>
      </c>
      <c r="I36" s="178">
        <v>42542</v>
      </c>
      <c r="J36" s="179">
        <f t="shared" ref="J36:J41" si="28">I36-H36+1</f>
        <v>6</v>
      </c>
      <c r="K36" s="170">
        <f t="shared" ref="K36:K41" si="29">G36/J36</f>
        <v>16.666666666666668</v>
      </c>
      <c r="L36" s="33">
        <f t="shared" ref="L36:L41" si="30">G36/K36</f>
        <v>6</v>
      </c>
      <c r="M36" s="30"/>
      <c r="N36" s="30">
        <v>1</v>
      </c>
      <c r="O36" s="35">
        <f t="shared" ref="O36:O41" si="31">IF(M36=0,0,L36*$O$17)</f>
        <v>0</v>
      </c>
      <c r="P36" s="35">
        <f t="shared" ref="P36:P41" si="32">IF(N36=0,0,L36*$O$17)</f>
        <v>42</v>
      </c>
      <c r="Q36" s="85">
        <v>5</v>
      </c>
      <c r="R36" s="83">
        <f>'Исходные данные'!$G$21</f>
        <v>197.57121135326915</v>
      </c>
      <c r="S36" s="184">
        <v>5</v>
      </c>
      <c r="T36" s="83">
        <f ca="1">IF(AND(N36&gt;0,P36&gt;0),SUMIF('Исходные данные'!$C$13:$J$29,S36,'Исходные данные'!$C$33:$J$39),IF(N36=0,0,IF(S36=0,"РОТ")))</f>
        <v>136.32413583375569</v>
      </c>
      <c r="U36" s="130">
        <f>O36*R36*'Исходные данные'!$C$37%</f>
        <v>0</v>
      </c>
      <c r="V36" s="130">
        <f ca="1">P36*T36*'Исходные данные'!$C$38%</f>
        <v>0</v>
      </c>
      <c r="W36" s="130">
        <f t="shared" ref="W36:W41" si="33">O36*R36*$W$17</f>
        <v>0</v>
      </c>
      <c r="X36" s="131">
        <f t="shared" ref="X36:X41" ca="1" si="34">P36*T36*$W$17</f>
        <v>0</v>
      </c>
      <c r="Y36" s="130">
        <f t="shared" ref="Y36:Y41" si="35">(O36*R36+U36+W36)*$Y$17</f>
        <v>0</v>
      </c>
      <c r="Z36" s="131">
        <f t="shared" ref="Z36:Z41" ca="1" si="36">(P36*T36+V36+X36)*$Z$17</f>
        <v>286.28068525088696</v>
      </c>
      <c r="AA36" s="130">
        <f t="shared" ref="AA36:AA41" si="37">(O36*R36+U36)*$AA$17</f>
        <v>0</v>
      </c>
      <c r="AB36" s="131">
        <f t="shared" ref="AB36:AB41" ca="1" si="38">(P36*T36+V36)*$AA$17</f>
        <v>0</v>
      </c>
      <c r="AC36" s="129">
        <v>2.5</v>
      </c>
      <c r="AD36" s="130">
        <f t="shared" ref="AD36:AD41" si="39">(O36*R36+U36+W36+Y36+AA36)*AC36</f>
        <v>0</v>
      </c>
      <c r="AE36" s="130">
        <f t="shared" ref="AE36:AE41" ca="1" si="40">(P36*T36+V36+X36+Z36+AB36)*AC36</f>
        <v>15029.735975671563</v>
      </c>
      <c r="AF36" s="35">
        <f t="shared" ref="AF36:AG41" ca="1" si="41">AD36*$AF$17</f>
        <v>0</v>
      </c>
      <c r="AG36" s="73">
        <f t="shared" ca="1" si="41"/>
        <v>2245.8226170543712</v>
      </c>
      <c r="AH36" s="35">
        <f t="shared" ref="AH36:AI41" ca="1" si="42">AD36+AF36</f>
        <v>0</v>
      </c>
      <c r="AI36" s="35">
        <f t="shared" ca="1" si="42"/>
        <v>17275.558592725934</v>
      </c>
      <c r="AJ36" s="35">
        <f t="shared" ref="AJ36:AK41" ca="1" si="43">AH36*$AJ$17</f>
        <v>0</v>
      </c>
      <c r="AK36" s="73">
        <f t="shared" ca="1" si="43"/>
        <v>5182.6675778177805</v>
      </c>
      <c r="AL36" s="35">
        <f t="shared" ref="AL36:AL41" ca="1" si="44">AH36+AJ36</f>
        <v>0</v>
      </c>
      <c r="AM36" s="73">
        <f t="shared" ref="AM36:AM41" ca="1" si="45">AK36+AI36</f>
        <v>22458.226170543716</v>
      </c>
      <c r="AN36" s="171">
        <f>2419/G36</f>
        <v>24.19</v>
      </c>
      <c r="AO36" s="33">
        <f>'Исходные данные'!$C$53</f>
        <v>0.84</v>
      </c>
      <c r="AP36" s="79">
        <f t="shared" ref="AP36:AP41" si="46">(G36*AN36)*AO36/100</f>
        <v>20.319600000000001</v>
      </c>
      <c r="AQ36" s="33" t="s">
        <v>155</v>
      </c>
      <c r="AR36" s="83" t="e">
        <f>'Исходные данные'!#REF!</f>
        <v>#REF!</v>
      </c>
      <c r="AS36" s="36" t="e">
        <f t="shared" ref="AS36:AS41" si="47">AP36*AR36</f>
        <v>#REF!</v>
      </c>
      <c r="AT36" s="23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36">
        <f t="shared" ref="BJ36:BJ41" si="48">BI36*L36</f>
        <v>0</v>
      </c>
      <c r="BK36" s="36">
        <f>аморт!$G$88</f>
        <v>114.406775</v>
      </c>
      <c r="BL36" s="36">
        <f t="shared" ref="BL36:BL41" si="49">BK36*L36</f>
        <v>686.44065000000001</v>
      </c>
      <c r="BM36" s="36"/>
      <c r="BN36" s="42"/>
      <c r="BO36" s="36">
        <f t="shared" ref="BO36:BO41" si="50">BN36*BY36</f>
        <v>0</v>
      </c>
      <c r="BP36" s="42"/>
      <c r="BQ36" s="36">
        <f t="shared" ref="BQ36:BQ41" si="51">BP36*BY36</f>
        <v>0</v>
      </c>
      <c r="BR36" s="42"/>
      <c r="BS36" s="36">
        <f t="shared" ref="BS36:BS41" si="52">BR36*BY36</f>
        <v>0</v>
      </c>
      <c r="BT36" s="36">
        <f>аморт!$C$88*10%/аморт!$E$88*L36*7</f>
        <v>30752.541119999998</v>
      </c>
      <c r="BU36" s="36" t="e">
        <f t="shared" ref="BU36:BU41" ca="1" si="53">AL36+AM36+AS36+AW36+BA36+BE36+BH36+BJ36+BL36+BM36+BO36+BQ36+BS36+BT36</f>
        <v>#REF!</v>
      </c>
      <c r="BV36" s="36" t="e">
        <f t="shared" ref="BV36:BV41" ca="1" si="54">BU36/$D$6</f>
        <v>#REF!</v>
      </c>
      <c r="BW36" s="38">
        <f t="shared" ref="BW36:BW41" si="55">(O36+P36)/$D$6</f>
        <v>0.42</v>
      </c>
      <c r="BX36" s="42"/>
      <c r="BY36" s="39">
        <f t="shared" ref="BY36:BY41" si="56">BX36*L36</f>
        <v>0</v>
      </c>
    </row>
    <row r="37" spans="1:77" s="7" customFormat="1" x14ac:dyDescent="0.2">
      <c r="A37" s="20">
        <f>A36+1</f>
        <v>2</v>
      </c>
      <c r="B37" s="27" t="s">
        <v>75</v>
      </c>
      <c r="C37" s="66">
        <v>1</v>
      </c>
      <c r="D37" s="30" t="s">
        <v>105</v>
      </c>
      <c r="E37" s="31" t="s">
        <v>134</v>
      </c>
      <c r="F37" s="28" t="s">
        <v>108</v>
      </c>
      <c r="G37" s="29">
        <v>100</v>
      </c>
      <c r="H37" s="178">
        <f>H36</f>
        <v>42537</v>
      </c>
      <c r="I37" s="178">
        <f>I36</f>
        <v>42542</v>
      </c>
      <c r="J37" s="179">
        <f t="shared" si="28"/>
        <v>6</v>
      </c>
      <c r="K37" s="170">
        <f t="shared" si="29"/>
        <v>16.666666666666668</v>
      </c>
      <c r="L37" s="33">
        <f t="shared" si="30"/>
        <v>6</v>
      </c>
      <c r="M37" s="30">
        <v>1</v>
      </c>
      <c r="N37" s="30"/>
      <c r="O37" s="35">
        <f t="shared" si="31"/>
        <v>42</v>
      </c>
      <c r="P37" s="35">
        <f t="shared" si="32"/>
        <v>0</v>
      </c>
      <c r="Q37" s="85">
        <v>5</v>
      </c>
      <c r="R37" s="83">
        <f>'Исходные данные'!$G$21</f>
        <v>197.57121135326915</v>
      </c>
      <c r="S37" s="184">
        <v>5</v>
      </c>
      <c r="T37" s="83">
        <f>IF(AND(N37&gt;0,P37&gt;0),SUMIF('Исходные данные'!$C$13:$J$29,S37,'Исходные данные'!$C$33:$J$39),IF(N37=0,0,IF(S37=0,"РОТ")))</f>
        <v>0</v>
      </c>
      <c r="U37" s="130">
        <f>O37*R37*'Исходные данные'!$C$37%</f>
        <v>0</v>
      </c>
      <c r="V37" s="130">
        <f>P37*T37*'Исходные данные'!$C$38%</f>
        <v>0</v>
      </c>
      <c r="W37" s="130">
        <f t="shared" si="33"/>
        <v>0</v>
      </c>
      <c r="X37" s="131">
        <f t="shared" si="34"/>
        <v>0</v>
      </c>
      <c r="Y37" s="130">
        <f t="shared" si="35"/>
        <v>829.79908768373048</v>
      </c>
      <c r="Z37" s="131">
        <f t="shared" si="36"/>
        <v>0</v>
      </c>
      <c r="AA37" s="130">
        <f t="shared" si="37"/>
        <v>0</v>
      </c>
      <c r="AB37" s="131">
        <f t="shared" si="38"/>
        <v>0</v>
      </c>
      <c r="AC37" s="129">
        <v>2.5</v>
      </c>
      <c r="AD37" s="130">
        <f t="shared" si="39"/>
        <v>22819.474911302586</v>
      </c>
      <c r="AE37" s="130">
        <f t="shared" si="40"/>
        <v>0</v>
      </c>
      <c r="AF37" s="35">
        <f t="shared" ca="1" si="41"/>
        <v>3409.8065959417654</v>
      </c>
      <c r="AG37" s="73">
        <f t="shared" ca="1" si="41"/>
        <v>0</v>
      </c>
      <c r="AH37" s="35">
        <f t="shared" ca="1" si="42"/>
        <v>26229.281507244352</v>
      </c>
      <c r="AI37" s="35">
        <f t="shared" ca="1" si="42"/>
        <v>0</v>
      </c>
      <c r="AJ37" s="35">
        <f t="shared" ca="1" si="43"/>
        <v>7868.784452173305</v>
      </c>
      <c r="AK37" s="73">
        <f t="shared" ca="1" si="43"/>
        <v>0</v>
      </c>
      <c r="AL37" s="35">
        <f t="shared" ca="1" si="44"/>
        <v>34098.065959417654</v>
      </c>
      <c r="AM37" s="73">
        <f t="shared" ca="1" si="45"/>
        <v>0</v>
      </c>
      <c r="AN37" s="171">
        <f>1440/G37</f>
        <v>14.4</v>
      </c>
      <c r="AO37" s="33">
        <f>'Исходные данные'!$C$53</f>
        <v>0.84</v>
      </c>
      <c r="AP37" s="79">
        <f t="shared" si="46"/>
        <v>12.095999999999998</v>
      </c>
      <c r="AQ37" s="33" t="s">
        <v>155</v>
      </c>
      <c r="AR37" s="83" t="e">
        <f>'Исходные данные'!#REF!</f>
        <v>#REF!</v>
      </c>
      <c r="AS37" s="36" t="e">
        <f t="shared" si="47"/>
        <v>#REF!</v>
      </c>
      <c r="AT37" s="23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36">
        <f>аморт!$G$8</f>
        <v>75.11864416666667</v>
      </c>
      <c r="BJ37" s="36">
        <f t="shared" si="48"/>
        <v>450.71186499999999</v>
      </c>
      <c r="BK37" s="36">
        <f>аморт!$G$42</f>
        <v>30.100819672131149</v>
      </c>
      <c r="BL37" s="36">
        <f t="shared" si="49"/>
        <v>180.60491803278688</v>
      </c>
      <c r="BM37" s="36"/>
      <c r="BN37" s="38">
        <v>111.7</v>
      </c>
      <c r="BO37" s="36">
        <f t="shared" si="50"/>
        <v>4825.4400000000005</v>
      </c>
      <c r="BP37" s="38">
        <v>12.5</v>
      </c>
      <c r="BQ37" s="36">
        <f t="shared" si="51"/>
        <v>540</v>
      </c>
      <c r="BR37" s="42"/>
      <c r="BS37" s="36">
        <f t="shared" si="52"/>
        <v>0</v>
      </c>
      <c r="BT37" s="36">
        <f>аморт!$C$42*10%/аморт!$E$42*L37*7</f>
        <v>5552.5175999999992</v>
      </c>
      <c r="BU37" s="36" t="e">
        <f t="shared" ca="1" si="53"/>
        <v>#REF!</v>
      </c>
      <c r="BV37" s="36" t="e">
        <f t="shared" ca="1" si="54"/>
        <v>#REF!</v>
      </c>
      <c r="BW37" s="38">
        <f t="shared" si="55"/>
        <v>0.42</v>
      </c>
      <c r="BX37" s="38">
        <v>7.2</v>
      </c>
      <c r="BY37" s="39">
        <f t="shared" si="56"/>
        <v>43.2</v>
      </c>
    </row>
    <row r="38" spans="1:77" s="7" customFormat="1" ht="22.5" x14ac:dyDescent="0.2">
      <c r="A38" s="19">
        <v>3</v>
      </c>
      <c r="B38" s="27" t="s">
        <v>74</v>
      </c>
      <c r="C38" s="66">
        <v>1</v>
      </c>
      <c r="D38" s="470" t="s">
        <v>133</v>
      </c>
      <c r="E38" s="471"/>
      <c r="F38" s="28" t="s">
        <v>108</v>
      </c>
      <c r="G38" s="29">
        <f>G37</f>
        <v>100</v>
      </c>
      <c r="H38" s="178">
        <v>42565</v>
      </c>
      <c r="I38" s="178">
        <v>42570</v>
      </c>
      <c r="J38" s="179">
        <f t="shared" si="28"/>
        <v>6</v>
      </c>
      <c r="K38" s="170">
        <f t="shared" si="29"/>
        <v>16.666666666666668</v>
      </c>
      <c r="L38" s="33">
        <f t="shared" si="30"/>
        <v>6</v>
      </c>
      <c r="M38" s="30"/>
      <c r="N38" s="30">
        <v>1</v>
      </c>
      <c r="O38" s="35">
        <f t="shared" si="31"/>
        <v>0</v>
      </c>
      <c r="P38" s="35">
        <f t="shared" si="32"/>
        <v>42</v>
      </c>
      <c r="Q38" s="85">
        <v>5</v>
      </c>
      <c r="R38" s="83">
        <f>'Исходные данные'!$G$21</f>
        <v>197.57121135326915</v>
      </c>
      <c r="S38" s="184">
        <v>5</v>
      </c>
      <c r="T38" s="83">
        <f ca="1">IF(AND(N38&gt;0,P38&gt;0),SUMIF('Исходные данные'!$C$13:$J$29,S38,'Исходные данные'!$C$33:$J$39),IF(N38=0,0,IF(S38=0,"РОТ")))</f>
        <v>136.32413583375569</v>
      </c>
      <c r="U38" s="130">
        <f>O38*R38*'Исходные данные'!$C$37%</f>
        <v>0</v>
      </c>
      <c r="V38" s="130">
        <f ca="1">P38*T38*'Исходные данные'!$C$38%</f>
        <v>0</v>
      </c>
      <c r="W38" s="130">
        <f t="shared" si="33"/>
        <v>0</v>
      </c>
      <c r="X38" s="131">
        <f t="shared" ca="1" si="34"/>
        <v>0</v>
      </c>
      <c r="Y38" s="130">
        <f t="shared" si="35"/>
        <v>0</v>
      </c>
      <c r="Z38" s="131">
        <f t="shared" ca="1" si="36"/>
        <v>286.28068525088696</v>
      </c>
      <c r="AA38" s="130">
        <f t="shared" si="37"/>
        <v>0</v>
      </c>
      <c r="AB38" s="131">
        <f t="shared" ca="1" si="38"/>
        <v>0</v>
      </c>
      <c r="AC38" s="129">
        <v>3.5</v>
      </c>
      <c r="AD38" s="130">
        <f t="shared" si="39"/>
        <v>0</v>
      </c>
      <c r="AE38" s="130">
        <f t="shared" ca="1" si="40"/>
        <v>21041.630365940189</v>
      </c>
      <c r="AF38" s="35">
        <f t="shared" ca="1" si="41"/>
        <v>0</v>
      </c>
      <c r="AG38" s="73">
        <f t="shared" ca="1" si="41"/>
        <v>3144.15166387612</v>
      </c>
      <c r="AH38" s="35">
        <f t="shared" ca="1" si="42"/>
        <v>0</v>
      </c>
      <c r="AI38" s="35">
        <f t="shared" ca="1" si="42"/>
        <v>24185.78202981631</v>
      </c>
      <c r="AJ38" s="35">
        <f t="shared" ca="1" si="43"/>
        <v>0</v>
      </c>
      <c r="AK38" s="73">
        <f t="shared" ca="1" si="43"/>
        <v>7255.7346089448929</v>
      </c>
      <c r="AL38" s="35">
        <f t="shared" ca="1" si="44"/>
        <v>0</v>
      </c>
      <c r="AM38" s="73">
        <f t="shared" ca="1" si="45"/>
        <v>31441.516638761204</v>
      </c>
      <c r="AN38" s="171">
        <f>2419/G38</f>
        <v>24.19</v>
      </c>
      <c r="AO38" s="33">
        <f>'Исходные данные'!$C$53</f>
        <v>0.84</v>
      </c>
      <c r="AP38" s="79">
        <f t="shared" si="46"/>
        <v>20.319600000000001</v>
      </c>
      <c r="AQ38" s="33" t="s">
        <v>155</v>
      </c>
      <c r="AR38" s="83" t="e">
        <f>'Исходные данные'!#REF!</f>
        <v>#REF!</v>
      </c>
      <c r="AS38" s="36" t="e">
        <f t="shared" si="47"/>
        <v>#REF!</v>
      </c>
      <c r="AT38" s="23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6">
        <f t="shared" si="48"/>
        <v>0</v>
      </c>
      <c r="BK38" s="36">
        <f>аморт!$G$88</f>
        <v>114.406775</v>
      </c>
      <c r="BL38" s="36">
        <f t="shared" si="49"/>
        <v>686.44065000000001</v>
      </c>
      <c r="BM38" s="36"/>
      <c r="BN38" s="42"/>
      <c r="BO38" s="36">
        <f t="shared" si="50"/>
        <v>0</v>
      </c>
      <c r="BP38" s="42"/>
      <c r="BQ38" s="36">
        <f t="shared" si="51"/>
        <v>0</v>
      </c>
      <c r="BR38" s="42"/>
      <c r="BS38" s="36">
        <f t="shared" si="52"/>
        <v>0</v>
      </c>
      <c r="BT38" s="36">
        <f>аморт!$C$88*10%/аморт!$E$88*L38*7</f>
        <v>30752.541119999998</v>
      </c>
      <c r="BU38" s="36" t="e">
        <f t="shared" ca="1" si="53"/>
        <v>#REF!</v>
      </c>
      <c r="BV38" s="36" t="e">
        <f t="shared" ca="1" si="54"/>
        <v>#REF!</v>
      </c>
      <c r="BW38" s="38">
        <f t="shared" si="55"/>
        <v>0.42</v>
      </c>
      <c r="BX38" s="42"/>
      <c r="BY38" s="39">
        <f t="shared" si="56"/>
        <v>0</v>
      </c>
    </row>
    <row r="39" spans="1:77" s="7" customFormat="1" x14ac:dyDescent="0.2">
      <c r="A39" s="20">
        <v>4</v>
      </c>
      <c r="B39" s="27" t="s">
        <v>75</v>
      </c>
      <c r="C39" s="66">
        <v>1</v>
      </c>
      <c r="D39" s="30" t="s">
        <v>105</v>
      </c>
      <c r="E39" s="180" t="s">
        <v>134</v>
      </c>
      <c r="F39" s="28" t="s">
        <v>108</v>
      </c>
      <c r="G39" s="29">
        <f>G38</f>
        <v>100</v>
      </c>
      <c r="H39" s="178">
        <v>42565</v>
      </c>
      <c r="I39" s="178">
        <v>42570</v>
      </c>
      <c r="J39" s="179">
        <f t="shared" si="28"/>
        <v>6</v>
      </c>
      <c r="K39" s="170">
        <f t="shared" si="29"/>
        <v>16.666666666666668</v>
      </c>
      <c r="L39" s="33">
        <f t="shared" si="30"/>
        <v>6</v>
      </c>
      <c r="M39" s="30">
        <v>1</v>
      </c>
      <c r="N39" s="30"/>
      <c r="O39" s="35">
        <f t="shared" si="31"/>
        <v>42</v>
      </c>
      <c r="P39" s="35">
        <f t="shared" si="32"/>
        <v>0</v>
      </c>
      <c r="Q39" s="85">
        <v>5</v>
      </c>
      <c r="R39" s="83">
        <f>'Исходные данные'!$G$21</f>
        <v>197.57121135326915</v>
      </c>
      <c r="S39" s="184">
        <v>5</v>
      </c>
      <c r="T39" s="83">
        <f>IF(AND(N39&gt;0,P39&gt;0),SUMIF('Исходные данные'!$C$13:$J$29,S39,'Исходные данные'!$C$33:$J$39),IF(N39=0,0,IF(S39=0,"РОТ")))</f>
        <v>0</v>
      </c>
      <c r="U39" s="130">
        <f>O39*R39*'Исходные данные'!$C$37%</f>
        <v>0</v>
      </c>
      <c r="V39" s="130">
        <f>P39*T39*'Исходные данные'!$C$38%</f>
        <v>0</v>
      </c>
      <c r="W39" s="130">
        <f t="shared" si="33"/>
        <v>0</v>
      </c>
      <c r="X39" s="131">
        <f t="shared" si="34"/>
        <v>0</v>
      </c>
      <c r="Y39" s="130">
        <f t="shared" si="35"/>
        <v>829.79908768373048</v>
      </c>
      <c r="Z39" s="131">
        <f t="shared" si="36"/>
        <v>0</v>
      </c>
      <c r="AA39" s="130">
        <f t="shared" si="37"/>
        <v>0</v>
      </c>
      <c r="AB39" s="131">
        <f t="shared" si="38"/>
        <v>0</v>
      </c>
      <c r="AC39" s="129">
        <v>4.5</v>
      </c>
      <c r="AD39" s="130">
        <f t="shared" si="39"/>
        <v>41075.054840344659</v>
      </c>
      <c r="AE39" s="130">
        <f t="shared" si="40"/>
        <v>0</v>
      </c>
      <c r="AF39" s="35">
        <f t="shared" ca="1" si="41"/>
        <v>6137.6518726951781</v>
      </c>
      <c r="AG39" s="73">
        <f t="shared" ca="1" si="41"/>
        <v>0</v>
      </c>
      <c r="AH39" s="35">
        <f t="shared" ca="1" si="42"/>
        <v>47212.706713039835</v>
      </c>
      <c r="AI39" s="35">
        <f t="shared" ca="1" si="42"/>
        <v>0</v>
      </c>
      <c r="AJ39" s="35">
        <f t="shared" ca="1" si="43"/>
        <v>14163.812013911951</v>
      </c>
      <c r="AK39" s="73">
        <f t="shared" ca="1" si="43"/>
        <v>0</v>
      </c>
      <c r="AL39" s="35">
        <f t="shared" ca="1" si="44"/>
        <v>61376.518726951785</v>
      </c>
      <c r="AM39" s="73">
        <f t="shared" ca="1" si="45"/>
        <v>0</v>
      </c>
      <c r="AN39" s="171">
        <f>1440/G39</f>
        <v>14.4</v>
      </c>
      <c r="AO39" s="33">
        <f>'Исходные данные'!$C$53</f>
        <v>0.84</v>
      </c>
      <c r="AP39" s="79">
        <f t="shared" si="46"/>
        <v>12.095999999999998</v>
      </c>
      <c r="AQ39" s="33" t="s">
        <v>155</v>
      </c>
      <c r="AR39" s="83" t="e">
        <f>'Исходные данные'!#REF!</f>
        <v>#REF!</v>
      </c>
      <c r="AS39" s="36" t="e">
        <f t="shared" si="47"/>
        <v>#REF!</v>
      </c>
      <c r="AT39" s="23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36">
        <f>аморт!$G$8</f>
        <v>75.11864416666667</v>
      </c>
      <c r="BJ39" s="36">
        <f t="shared" si="48"/>
        <v>450.71186499999999</v>
      </c>
      <c r="BK39" s="36">
        <f>аморт!$G$42</f>
        <v>30.100819672131149</v>
      </c>
      <c r="BL39" s="36">
        <f t="shared" si="49"/>
        <v>180.60491803278688</v>
      </c>
      <c r="BM39" s="36"/>
      <c r="BN39" s="38">
        <v>112.7</v>
      </c>
      <c r="BO39" s="36">
        <f t="shared" si="50"/>
        <v>4868.6400000000003</v>
      </c>
      <c r="BP39" s="38">
        <v>12.5</v>
      </c>
      <c r="BQ39" s="36">
        <f t="shared" si="51"/>
        <v>540</v>
      </c>
      <c r="BR39" s="42"/>
      <c r="BS39" s="36">
        <f t="shared" si="52"/>
        <v>0</v>
      </c>
      <c r="BT39" s="36">
        <f>аморт!$C$42*10%/аморт!$E$42*L39*7</f>
        <v>5552.5175999999992</v>
      </c>
      <c r="BU39" s="36" t="e">
        <f t="shared" ca="1" si="53"/>
        <v>#REF!</v>
      </c>
      <c r="BV39" s="36" t="e">
        <f t="shared" ca="1" si="54"/>
        <v>#REF!</v>
      </c>
      <c r="BW39" s="38">
        <f t="shared" si="55"/>
        <v>0.42</v>
      </c>
      <c r="BX39" s="38">
        <v>7.2</v>
      </c>
      <c r="BY39" s="39">
        <f t="shared" si="56"/>
        <v>43.2</v>
      </c>
    </row>
    <row r="40" spans="1:77" s="7" customFormat="1" ht="22.5" x14ac:dyDescent="0.2">
      <c r="A40" s="19">
        <v>5</v>
      </c>
      <c r="B40" s="27" t="s">
        <v>74</v>
      </c>
      <c r="C40" s="66">
        <v>1</v>
      </c>
      <c r="D40" s="470" t="s">
        <v>133</v>
      </c>
      <c r="E40" s="471"/>
      <c r="F40" s="28" t="s">
        <v>108</v>
      </c>
      <c r="G40" s="29">
        <f>G39</f>
        <v>100</v>
      </c>
      <c r="H40" s="178">
        <v>42586</v>
      </c>
      <c r="I40" s="178">
        <v>42594</v>
      </c>
      <c r="J40" s="179">
        <f t="shared" si="28"/>
        <v>9</v>
      </c>
      <c r="K40" s="170">
        <f t="shared" si="29"/>
        <v>11.111111111111111</v>
      </c>
      <c r="L40" s="33">
        <f t="shared" si="30"/>
        <v>9</v>
      </c>
      <c r="M40" s="30"/>
      <c r="N40" s="30">
        <v>1</v>
      </c>
      <c r="O40" s="35">
        <f t="shared" si="31"/>
        <v>0</v>
      </c>
      <c r="P40" s="35">
        <f t="shared" si="32"/>
        <v>63</v>
      </c>
      <c r="Q40" s="85">
        <v>5</v>
      </c>
      <c r="R40" s="83">
        <f>'Исходные данные'!$G$21</f>
        <v>197.57121135326915</v>
      </c>
      <c r="S40" s="184">
        <v>5</v>
      </c>
      <c r="T40" s="83">
        <f ca="1">IF(AND(N40&gt;0,P40&gt;0),SUMIF('Исходные данные'!$C$13:$J$29,S40,'Исходные данные'!$C$33:$J$39),IF(N40=0,0,IF(S40=0,"РОТ")))</f>
        <v>136.32413583375569</v>
      </c>
      <c r="U40" s="130">
        <f>O40*R40*'Исходные данные'!$C$37%</f>
        <v>0</v>
      </c>
      <c r="V40" s="130">
        <f ca="1">P40*T40*'Исходные данные'!$C$38%</f>
        <v>0</v>
      </c>
      <c r="W40" s="130">
        <f t="shared" si="33"/>
        <v>0</v>
      </c>
      <c r="X40" s="131">
        <f t="shared" ca="1" si="34"/>
        <v>0</v>
      </c>
      <c r="Y40" s="130">
        <f t="shared" si="35"/>
        <v>0</v>
      </c>
      <c r="Z40" s="131">
        <f t="shared" ca="1" si="36"/>
        <v>429.42102787633041</v>
      </c>
      <c r="AA40" s="130">
        <f t="shared" si="37"/>
        <v>0</v>
      </c>
      <c r="AB40" s="131">
        <f t="shared" ca="1" si="38"/>
        <v>0</v>
      </c>
      <c r="AC40" s="129">
        <v>5.5</v>
      </c>
      <c r="AD40" s="130">
        <f t="shared" si="39"/>
        <v>0</v>
      </c>
      <c r="AE40" s="130">
        <f t="shared" ca="1" si="40"/>
        <v>49598.128719716166</v>
      </c>
      <c r="AF40" s="35">
        <f t="shared" ca="1" si="41"/>
        <v>0</v>
      </c>
      <c r="AG40" s="73">
        <f t="shared" ca="1" si="41"/>
        <v>7411.2146362794265</v>
      </c>
      <c r="AH40" s="35">
        <f t="shared" ca="1" si="42"/>
        <v>0</v>
      </c>
      <c r="AI40" s="35">
        <f t="shared" ca="1" si="42"/>
        <v>57009.343355995588</v>
      </c>
      <c r="AJ40" s="35">
        <f t="shared" ca="1" si="43"/>
        <v>0</v>
      </c>
      <c r="AK40" s="73">
        <f t="shared" ca="1" si="43"/>
        <v>17102.803006798677</v>
      </c>
      <c r="AL40" s="35">
        <f t="shared" ca="1" si="44"/>
        <v>0</v>
      </c>
      <c r="AM40" s="73">
        <f t="shared" ca="1" si="45"/>
        <v>74112.146362794272</v>
      </c>
      <c r="AN40" s="171">
        <f>3628.8/G40</f>
        <v>36.288000000000004</v>
      </c>
      <c r="AO40" s="33">
        <f>'Исходные данные'!$C$53</f>
        <v>0.84</v>
      </c>
      <c r="AP40" s="79">
        <f t="shared" si="46"/>
        <v>30.481919999999999</v>
      </c>
      <c r="AQ40" s="33" t="s">
        <v>155</v>
      </c>
      <c r="AR40" s="83" t="e">
        <f>'Исходные данные'!#REF!</f>
        <v>#REF!</v>
      </c>
      <c r="AS40" s="36" t="e">
        <f t="shared" si="47"/>
        <v>#REF!</v>
      </c>
      <c r="AT40" s="23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36">
        <f t="shared" si="48"/>
        <v>0</v>
      </c>
      <c r="BK40" s="36">
        <f>аморт!$G$88</f>
        <v>114.406775</v>
      </c>
      <c r="BL40" s="36">
        <f t="shared" si="49"/>
        <v>1029.660975</v>
      </c>
      <c r="BM40" s="36"/>
      <c r="BN40" s="42"/>
      <c r="BO40" s="36">
        <f t="shared" si="50"/>
        <v>0</v>
      </c>
      <c r="BP40" s="42"/>
      <c r="BQ40" s="36">
        <f t="shared" si="51"/>
        <v>0</v>
      </c>
      <c r="BR40" s="42"/>
      <c r="BS40" s="36">
        <f t="shared" si="52"/>
        <v>0</v>
      </c>
      <c r="BT40" s="36">
        <f>аморт!$C$88*10%/аморт!$E$88*L40*7</f>
        <v>46128.811679999999</v>
      </c>
      <c r="BU40" s="36" t="e">
        <f t="shared" ca="1" si="53"/>
        <v>#REF!</v>
      </c>
      <c r="BV40" s="36" t="e">
        <f t="shared" ca="1" si="54"/>
        <v>#REF!</v>
      </c>
      <c r="BW40" s="38">
        <f t="shared" si="55"/>
        <v>0.63</v>
      </c>
      <c r="BX40" s="42"/>
      <c r="BY40" s="39">
        <f t="shared" si="56"/>
        <v>0</v>
      </c>
    </row>
    <row r="41" spans="1:77" s="7" customFormat="1" x14ac:dyDescent="0.2">
      <c r="A41" s="20">
        <f>A40+1</f>
        <v>6</v>
      </c>
      <c r="B41" s="27" t="s">
        <v>75</v>
      </c>
      <c r="C41" s="66">
        <v>1</v>
      </c>
      <c r="D41" s="30" t="s">
        <v>105</v>
      </c>
      <c r="E41" s="180" t="s">
        <v>134</v>
      </c>
      <c r="F41" s="28" t="s">
        <v>108</v>
      </c>
      <c r="G41" s="29">
        <f>G40</f>
        <v>100</v>
      </c>
      <c r="H41" s="178">
        <v>42586</v>
      </c>
      <c r="I41" s="178">
        <f>I40</f>
        <v>42594</v>
      </c>
      <c r="J41" s="179">
        <f t="shared" si="28"/>
        <v>9</v>
      </c>
      <c r="K41" s="170">
        <f t="shared" si="29"/>
        <v>11.111111111111111</v>
      </c>
      <c r="L41" s="33">
        <f t="shared" si="30"/>
        <v>9</v>
      </c>
      <c r="M41" s="30">
        <v>1</v>
      </c>
      <c r="N41" s="30"/>
      <c r="O41" s="35">
        <f t="shared" si="31"/>
        <v>63</v>
      </c>
      <c r="P41" s="35">
        <f t="shared" si="32"/>
        <v>0</v>
      </c>
      <c r="Q41" s="85">
        <v>5</v>
      </c>
      <c r="R41" s="83">
        <f>'Исходные данные'!$G$21</f>
        <v>197.57121135326915</v>
      </c>
      <c r="S41" s="184">
        <v>5</v>
      </c>
      <c r="T41" s="83">
        <f>IF(AND(N41&gt;0,P41&gt;0),SUMIF('Исходные данные'!$C$13:$J$29,S41,'Исходные данные'!$C$33:$J$39),IF(N41=0,0,IF(S41=0,"РОТ")))</f>
        <v>0</v>
      </c>
      <c r="U41" s="130">
        <f>O41*R41*'Исходные данные'!$C$37%</f>
        <v>0</v>
      </c>
      <c r="V41" s="130">
        <f>P41*T41*'Исходные данные'!$C$38%</f>
        <v>0</v>
      </c>
      <c r="W41" s="130">
        <f t="shared" si="33"/>
        <v>0</v>
      </c>
      <c r="X41" s="131">
        <f t="shared" si="34"/>
        <v>0</v>
      </c>
      <c r="Y41" s="130">
        <f t="shared" si="35"/>
        <v>1244.6986315255956</v>
      </c>
      <c r="Z41" s="131">
        <f t="shared" si="36"/>
        <v>0</v>
      </c>
      <c r="AA41" s="130">
        <f t="shared" si="37"/>
        <v>0</v>
      </c>
      <c r="AB41" s="131">
        <f t="shared" si="38"/>
        <v>0</v>
      </c>
      <c r="AC41" s="129">
        <v>6.5</v>
      </c>
      <c r="AD41" s="130">
        <f t="shared" si="39"/>
        <v>88995.952154080092</v>
      </c>
      <c r="AE41" s="130">
        <f t="shared" si="40"/>
        <v>0</v>
      </c>
      <c r="AF41" s="35">
        <f t="shared" ca="1" si="41"/>
        <v>13298.245724172886</v>
      </c>
      <c r="AG41" s="73">
        <f t="shared" ca="1" si="41"/>
        <v>0</v>
      </c>
      <c r="AH41" s="35">
        <f t="shared" ca="1" si="42"/>
        <v>102294.19787825298</v>
      </c>
      <c r="AI41" s="35">
        <f t="shared" ca="1" si="42"/>
        <v>0</v>
      </c>
      <c r="AJ41" s="35">
        <f t="shared" ca="1" si="43"/>
        <v>30688.259363475892</v>
      </c>
      <c r="AK41" s="73">
        <f t="shared" ca="1" si="43"/>
        <v>0</v>
      </c>
      <c r="AL41" s="35">
        <f t="shared" ca="1" si="44"/>
        <v>132982.45724172887</v>
      </c>
      <c r="AM41" s="73">
        <f t="shared" ca="1" si="45"/>
        <v>0</v>
      </c>
      <c r="AN41" s="171">
        <f>2160/G41</f>
        <v>21.6</v>
      </c>
      <c r="AO41" s="33">
        <f>'Исходные данные'!$C$53</f>
        <v>0.84</v>
      </c>
      <c r="AP41" s="79">
        <f t="shared" si="46"/>
        <v>18.143999999999998</v>
      </c>
      <c r="AQ41" s="33" t="s">
        <v>155</v>
      </c>
      <c r="AR41" s="83" t="e">
        <f>'Исходные данные'!#REF!</f>
        <v>#REF!</v>
      </c>
      <c r="AS41" s="36" t="e">
        <f t="shared" si="47"/>
        <v>#REF!</v>
      </c>
      <c r="AT41" s="23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36">
        <f>аморт!$G$8</f>
        <v>75.11864416666667</v>
      </c>
      <c r="BJ41" s="36">
        <f t="shared" si="48"/>
        <v>676.06779749999998</v>
      </c>
      <c r="BK41" s="36">
        <f>аморт!$G$42</f>
        <v>30.100819672131149</v>
      </c>
      <c r="BL41" s="36">
        <f t="shared" si="49"/>
        <v>270.90737704918035</v>
      </c>
      <c r="BM41" s="36"/>
      <c r="BN41" s="38">
        <v>113.7</v>
      </c>
      <c r="BO41" s="36">
        <f t="shared" si="50"/>
        <v>7367.76</v>
      </c>
      <c r="BP41" s="38">
        <v>12.5</v>
      </c>
      <c r="BQ41" s="36">
        <f t="shared" si="51"/>
        <v>810</v>
      </c>
      <c r="BR41" s="42"/>
      <c r="BS41" s="36">
        <f t="shared" si="52"/>
        <v>0</v>
      </c>
      <c r="BT41" s="36">
        <f>аморт!$C$42*10%/аморт!$E$42*L41*7</f>
        <v>8328.7764000000006</v>
      </c>
      <c r="BU41" s="36" t="e">
        <f t="shared" ca="1" si="53"/>
        <v>#REF!</v>
      </c>
      <c r="BV41" s="36" t="e">
        <f t="shared" ca="1" si="54"/>
        <v>#REF!</v>
      </c>
      <c r="BW41" s="38">
        <f t="shared" si="55"/>
        <v>0.63</v>
      </c>
      <c r="BX41" s="38">
        <v>7.2</v>
      </c>
      <c r="BY41" s="39">
        <f t="shared" si="56"/>
        <v>64.8</v>
      </c>
    </row>
    <row r="42" spans="1:77" s="54" customFormat="1" x14ac:dyDescent="0.2">
      <c r="A42" s="52"/>
      <c r="B42" s="53" t="s">
        <v>22</v>
      </c>
      <c r="C42" s="56"/>
      <c r="D42" s="56"/>
      <c r="E42" s="56"/>
      <c r="F42" s="55"/>
      <c r="G42" s="56"/>
      <c r="H42" s="56"/>
      <c r="I42" s="56"/>
      <c r="J42" s="65">
        <f>SUM(J36:J41)</f>
        <v>42</v>
      </c>
      <c r="K42" s="65"/>
      <c r="L42" s="65">
        <f>SUM(L36:L41)</f>
        <v>42</v>
      </c>
      <c r="M42" s="65">
        <f>SUM(M36:M41)</f>
        <v>3</v>
      </c>
      <c r="N42" s="65">
        <f>SUM(N36:N41)</f>
        <v>3</v>
      </c>
      <c r="O42" s="65">
        <f>SUM(O36:O41)</f>
        <v>147</v>
      </c>
      <c r="P42" s="65">
        <f>SUM(P36:P41)</f>
        <v>147</v>
      </c>
      <c r="Q42" s="65"/>
      <c r="R42" s="65"/>
      <c r="S42" s="65"/>
      <c r="T42" s="65"/>
      <c r="U42" s="65">
        <f t="shared" ref="U42:AA42" si="57">SUM(U36:U41)</f>
        <v>0</v>
      </c>
      <c r="V42" s="65">
        <f t="shared" ca="1" si="57"/>
        <v>0</v>
      </c>
      <c r="W42" s="65">
        <f t="shared" si="57"/>
        <v>0</v>
      </c>
      <c r="X42" s="65">
        <f t="shared" ca="1" si="57"/>
        <v>0</v>
      </c>
      <c r="Y42" s="65">
        <f t="shared" si="57"/>
        <v>2904.2968068930568</v>
      </c>
      <c r="Z42" s="65">
        <f t="shared" ca="1" si="57"/>
        <v>1001.9823983781043</v>
      </c>
      <c r="AA42" s="65">
        <f t="shared" si="57"/>
        <v>0</v>
      </c>
      <c r="AB42" s="65">
        <f ca="1">SUM(AB36:AB41)</f>
        <v>0</v>
      </c>
      <c r="AC42" s="65"/>
      <c r="AD42" s="65">
        <f>SUM(AD36:AD41)</f>
        <v>152890.48190572736</v>
      </c>
      <c r="AE42" s="65">
        <f ca="1">SUM(AE36:AE41)</f>
        <v>85669.495061327907</v>
      </c>
      <c r="AF42" s="65">
        <f ca="1">SUM(AF36:AF41)</f>
        <v>22845.70419280983</v>
      </c>
      <c r="AG42" s="65">
        <f t="shared" ref="AG42:AL42" ca="1" si="58">SUM(AG36:AG41)</f>
        <v>12801.188917209918</v>
      </c>
      <c r="AH42" s="65">
        <f t="shared" ca="1" si="58"/>
        <v>175736.18609853717</v>
      </c>
      <c r="AI42" s="65">
        <f t="shared" ca="1" si="58"/>
        <v>98470.683978537825</v>
      </c>
      <c r="AJ42" s="65">
        <f t="shared" ca="1" si="58"/>
        <v>52720.855829561144</v>
      </c>
      <c r="AK42" s="65">
        <f t="shared" ca="1" si="58"/>
        <v>29541.205193561349</v>
      </c>
      <c r="AL42" s="65">
        <f t="shared" ca="1" si="58"/>
        <v>228457.0419280983</v>
      </c>
      <c r="AM42" s="65">
        <f ca="1">SUM(AM36:AM41)</f>
        <v>128011.8891720992</v>
      </c>
      <c r="AN42" s="65"/>
      <c r="AO42" s="65"/>
      <c r="AP42" s="65">
        <f>SUM(AP36:AP41)</f>
        <v>113.45712</v>
      </c>
      <c r="AQ42" s="65"/>
      <c r="AR42" s="65"/>
      <c r="AS42" s="65" t="e">
        <f>SUM(AS36:AS41)</f>
        <v>#REF!</v>
      </c>
      <c r="AT42" s="65"/>
      <c r="AU42" s="65">
        <f>SUM(AU36:AU41)</f>
        <v>0</v>
      </c>
      <c r="AV42" s="65"/>
      <c r="AW42" s="65">
        <f>SUM(AW36:AW41)</f>
        <v>0</v>
      </c>
      <c r="AX42" s="65"/>
      <c r="AY42" s="65">
        <f>SUM(AY36:AY41)</f>
        <v>0</v>
      </c>
      <c r="AZ42" s="65">
        <f>SUM(AZ36:AZ41)</f>
        <v>0</v>
      </c>
      <c r="BA42" s="65">
        <f>SUM(BA36:BA41)</f>
        <v>0</v>
      </c>
      <c r="BB42" s="65"/>
      <c r="BC42" s="65">
        <f>SUM(BC36:BC41)</f>
        <v>0</v>
      </c>
      <c r="BD42" s="65"/>
      <c r="BE42" s="65">
        <f>SUM(BE36:BE41)</f>
        <v>0</v>
      </c>
      <c r="BF42" s="65"/>
      <c r="BG42" s="65"/>
      <c r="BH42" s="65"/>
      <c r="BI42" s="65"/>
      <c r="BJ42" s="65">
        <f>SUM(BJ36:BJ41)</f>
        <v>1577.4915274999998</v>
      </c>
      <c r="BK42" s="65"/>
      <c r="BL42" s="65">
        <f>SUM(BL36:BL41)</f>
        <v>3034.6594881147539</v>
      </c>
      <c r="BM42" s="65"/>
      <c r="BN42" s="65"/>
      <c r="BO42" s="65">
        <f>SUM(BO36:BO41)</f>
        <v>17061.840000000004</v>
      </c>
      <c r="BP42" s="65"/>
      <c r="BQ42" s="65">
        <f>SUM(BQ36:BQ41)</f>
        <v>1890</v>
      </c>
      <c r="BR42" s="65"/>
      <c r="BS42" s="65">
        <f>SUM(BS36:BS37)</f>
        <v>0</v>
      </c>
      <c r="BT42" s="65">
        <f>SUM(BT36:BT41)</f>
        <v>127067.70552</v>
      </c>
      <c r="BU42" s="65" t="e">
        <f ca="1">SUM(BU36:BU37)</f>
        <v>#REF!</v>
      </c>
      <c r="BV42" s="65"/>
      <c r="BW42" s="65"/>
      <c r="BX42" s="65"/>
      <c r="BY42" s="65">
        <f>SUM(BY36:BY41)</f>
        <v>151.19999999999999</v>
      </c>
    </row>
    <row r="43" spans="1:77" s="7" customFormat="1" ht="12.75" customHeight="1" x14ac:dyDescent="0.2">
      <c r="A43" s="21"/>
      <c r="B43" s="462" t="s">
        <v>84</v>
      </c>
      <c r="C43" s="462"/>
      <c r="D43" s="462"/>
      <c r="E43" s="462"/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5"/>
      <c r="AQ43" s="26"/>
      <c r="AR43" s="26"/>
      <c r="AS43" s="25"/>
      <c r="AT43" s="23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3"/>
    </row>
    <row r="44" spans="1:77" ht="22.5" x14ac:dyDescent="0.2">
      <c r="A44" s="19">
        <v>1</v>
      </c>
      <c r="B44" s="27" t="s">
        <v>433</v>
      </c>
      <c r="C44" s="66">
        <v>1</v>
      </c>
      <c r="D44" s="181" t="s">
        <v>501</v>
      </c>
      <c r="E44" s="182" t="s">
        <v>500</v>
      </c>
      <c r="F44" s="28" t="s">
        <v>108</v>
      </c>
      <c r="G44" s="29">
        <v>100</v>
      </c>
      <c r="H44" s="172">
        <v>42597</v>
      </c>
      <c r="I44" s="172">
        <v>42600</v>
      </c>
      <c r="J44" s="185">
        <f t="shared" ref="J44:J49" si="59">I44-H44</f>
        <v>3</v>
      </c>
      <c r="K44" s="170">
        <f>5*8</f>
        <v>40</v>
      </c>
      <c r="L44" s="33">
        <f t="shared" ref="L44:L49" si="60">G44/K44</f>
        <v>2.5</v>
      </c>
      <c r="M44" s="34">
        <v>1</v>
      </c>
      <c r="N44" s="34"/>
      <c r="O44" s="35">
        <f t="shared" ref="O44:O49" si="61">IF(M44=0,0,L44*$O$17)</f>
        <v>17.5</v>
      </c>
      <c r="P44" s="35">
        <f t="shared" ref="P44:P49" si="62">IF(N44=0,0,L44*$O$17)</f>
        <v>0</v>
      </c>
      <c r="Q44" s="34">
        <v>4</v>
      </c>
      <c r="R44" s="83">
        <f ca="1">IF(AND(O44&gt;0,Q44&gt;0),SUMIF('Исходные данные'!$C$13:H36,Q44,'Исходные данные'!$C$17:$H$17),IF(O44=0,0,IF(Q44=0,"РОТ")))</f>
        <v>156.08125696908263</v>
      </c>
      <c r="S44" s="34"/>
      <c r="T44" s="33"/>
      <c r="U44" s="130">
        <f ca="1">O44*R44*'Исходные данные'!$C$37%</f>
        <v>0</v>
      </c>
      <c r="V44" s="130">
        <f>P44*T44*'Исходные данные'!$C$38%</f>
        <v>0</v>
      </c>
      <c r="W44" s="130">
        <f t="shared" ref="W44:W49" ca="1" si="63">O44*R44*$W$17</f>
        <v>0</v>
      </c>
      <c r="X44" s="131">
        <f t="shared" ref="X44:X49" si="64">P44*T44*$W$17</f>
        <v>0</v>
      </c>
      <c r="Y44" s="130">
        <f t="shared" ref="Y44:Y49" ca="1" si="65">(O44*R44+U44+W44)*$Y$17</f>
        <v>273.14219969589465</v>
      </c>
      <c r="Z44" s="131">
        <f t="shared" ref="Z44:Z49" si="66">(P44*T44+V44+X44)*$Z$17</f>
        <v>0</v>
      </c>
      <c r="AA44" s="130">
        <f t="shared" ref="AA44:AA49" ca="1" si="67">(O44*R44+U44)*$AA$17</f>
        <v>0</v>
      </c>
      <c r="AB44" s="131">
        <f t="shared" ref="AB44:AB49" si="68">(P44*T44+V44)*$AA$17</f>
        <v>0</v>
      </c>
      <c r="AC44" s="129">
        <v>2.5</v>
      </c>
      <c r="AD44" s="130">
        <f t="shared" ref="AD44:AD49" ca="1" si="69">(O44*R44+U44+W44+Y44+AA44)*AC44</f>
        <v>7511.4104916371025</v>
      </c>
      <c r="AE44" s="130">
        <f t="shared" ref="AE44:AE49" si="70">(P44*T44+V44+X44+Z44+AB44)*AC44</f>
        <v>0</v>
      </c>
      <c r="AF44" s="35">
        <f ca="1">AD44*$AF$17</f>
        <v>1122.3946711641647</v>
      </c>
      <c r="AG44" s="73">
        <f ca="1">AE44*$AF$17</f>
        <v>0</v>
      </c>
      <c r="AH44" s="35">
        <f ca="1">AD44+AF44</f>
        <v>8633.8051628012672</v>
      </c>
      <c r="AI44" s="35">
        <f ca="1">AE44+AG44</f>
        <v>0</v>
      </c>
      <c r="AJ44" s="35">
        <f ca="1">AH44*$AJ$17</f>
        <v>2590.14154884038</v>
      </c>
      <c r="AK44" s="73">
        <f ca="1">AI44*$AJ$17</f>
        <v>0</v>
      </c>
      <c r="AL44" s="35">
        <f ca="1">AH44+AJ44</f>
        <v>11223.946711641647</v>
      </c>
      <c r="AM44" s="73">
        <f ca="1">AK44+AI44</f>
        <v>0</v>
      </c>
      <c r="AN44" s="171">
        <f>12.5/0.84</f>
        <v>14.880952380952381</v>
      </c>
      <c r="AO44" s="33">
        <f>'Исходные данные'!$C$53</f>
        <v>0.84</v>
      </c>
      <c r="AP44" s="79">
        <f>(G44*AN44)*AO44/100</f>
        <v>12.5</v>
      </c>
      <c r="AQ44" s="33" t="s">
        <v>155</v>
      </c>
      <c r="AR44" s="83" t="e">
        <f>'Исходные данные'!#REF!</f>
        <v>#REF!</v>
      </c>
      <c r="AS44" s="36" t="e">
        <f>AP44*AR44</f>
        <v>#REF!</v>
      </c>
      <c r="AT44" s="32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>
        <f>аморт!$G$11</f>
        <v>181.91312849162011</v>
      </c>
      <c r="BJ44" s="36">
        <f>BI44*L44</f>
        <v>454.78282122905028</v>
      </c>
      <c r="BK44" s="36">
        <f>аморт!G60</f>
        <v>41.864400000000003</v>
      </c>
      <c r="BL44" s="36">
        <f>BK44*L44</f>
        <v>104.661</v>
      </c>
      <c r="BM44" s="36"/>
      <c r="BN44" s="38">
        <v>82.4</v>
      </c>
      <c r="BO44" s="36">
        <f>BN44*BY44</f>
        <v>1050.6000000000001</v>
      </c>
      <c r="BP44" s="38">
        <v>13.9</v>
      </c>
      <c r="BQ44" s="36">
        <f>BP44*BY44</f>
        <v>177.22499999999999</v>
      </c>
      <c r="BR44" s="38">
        <f>4.8*1.045*1.054</f>
        <v>5.2868639999999996</v>
      </c>
      <c r="BS44" s="36">
        <f>BR44*BY44</f>
        <v>67.407516000000001</v>
      </c>
      <c r="BT44" s="36">
        <f>аморт!C56*10%/аморт!E56*L44*7</f>
        <v>7308.4759999999997</v>
      </c>
      <c r="BU44" s="36" t="e">
        <f t="shared" ref="BU44:BU49" ca="1" si="71">AL44+AM44+AS44+AW44+BA44+BE44+BH44+BJ44+BL44+BM44+BO44+BQ44+BS44+BT44</f>
        <v>#REF!</v>
      </c>
      <c r="BV44" s="36" t="e">
        <f t="shared" ref="BV44:BV49" ca="1" si="72">BU44/$D$6</f>
        <v>#REF!</v>
      </c>
      <c r="BW44" s="38">
        <f t="shared" ref="BW44:BW49" si="73">(O44+P44)/$D$6</f>
        <v>0.17499999999999999</v>
      </c>
      <c r="BX44" s="38">
        <v>5.0999999999999996</v>
      </c>
      <c r="BY44" s="39">
        <f>BX44*L44</f>
        <v>12.75</v>
      </c>
    </row>
    <row r="45" spans="1:77" ht="22.5" x14ac:dyDescent="0.2">
      <c r="A45" s="19">
        <v>2</v>
      </c>
      <c r="B45" s="27" t="s">
        <v>79</v>
      </c>
      <c r="C45" s="66">
        <v>5</v>
      </c>
      <c r="D45" s="19" t="s">
        <v>229</v>
      </c>
      <c r="E45" s="31"/>
      <c r="F45" s="28" t="s">
        <v>121</v>
      </c>
      <c r="G45" s="29">
        <f>D12/10</f>
        <v>1250</v>
      </c>
      <c r="H45" s="172">
        <v>42597</v>
      </c>
      <c r="I45" s="172">
        <f>I44</f>
        <v>42600</v>
      </c>
      <c r="J45" s="185">
        <f t="shared" si="59"/>
        <v>3</v>
      </c>
      <c r="K45" s="170">
        <v>80</v>
      </c>
      <c r="L45" s="33">
        <f t="shared" si="60"/>
        <v>15.625</v>
      </c>
      <c r="M45" s="34">
        <v>1</v>
      </c>
      <c r="N45" s="34"/>
      <c r="O45" s="35">
        <f t="shared" si="61"/>
        <v>109.375</v>
      </c>
      <c r="P45" s="35">
        <f t="shared" si="62"/>
        <v>0</v>
      </c>
      <c r="Q45" s="34">
        <v>5</v>
      </c>
      <c r="R45" s="83">
        <f>'Исходные данные'!G21</f>
        <v>197.57121135326915</v>
      </c>
      <c r="S45" s="34"/>
      <c r="T45" s="33"/>
      <c r="U45" s="130">
        <f>O45*R45*'Исходные данные'!$C$37%</f>
        <v>0</v>
      </c>
      <c r="V45" s="130">
        <f>P45*T45*'Исходные данные'!$C$38%</f>
        <v>0</v>
      </c>
      <c r="W45" s="130">
        <f t="shared" si="63"/>
        <v>0</v>
      </c>
      <c r="X45" s="131">
        <f t="shared" si="64"/>
        <v>0</v>
      </c>
      <c r="Y45" s="130">
        <f t="shared" si="65"/>
        <v>2160.9351241763811</v>
      </c>
      <c r="Z45" s="131">
        <f t="shared" si="66"/>
        <v>0</v>
      </c>
      <c r="AA45" s="130">
        <f t="shared" si="67"/>
        <v>0</v>
      </c>
      <c r="AB45" s="131">
        <f t="shared" si="68"/>
        <v>0</v>
      </c>
      <c r="AC45" s="129">
        <v>2.5</v>
      </c>
      <c r="AD45" s="130">
        <f t="shared" si="69"/>
        <v>59425.71591485048</v>
      </c>
      <c r="AE45" s="130">
        <f t="shared" si="70"/>
        <v>0</v>
      </c>
      <c r="AF45" s="35">
        <f ca="1">AD45*$AF$17</f>
        <v>8879.7046769316803</v>
      </c>
      <c r="AG45" s="73"/>
      <c r="AH45" s="35">
        <f ca="1">AD45+AF45</f>
        <v>68305.420591782167</v>
      </c>
      <c r="AI45" s="35"/>
      <c r="AJ45" s="35">
        <f ca="1">AH45*$AJ$17</f>
        <v>20491.62617753465</v>
      </c>
      <c r="AK45" s="73"/>
      <c r="AL45" s="35">
        <f ca="1">AH45+AJ45</f>
        <v>88797.046769316818</v>
      </c>
      <c r="AM45" s="73"/>
      <c r="AN45" s="32">
        <v>12.33</v>
      </c>
      <c r="AO45" s="33">
        <f>'Исходные данные'!$C$53</f>
        <v>0.84</v>
      </c>
      <c r="AP45" s="79">
        <f>(G45*AN45)*AO45/100</f>
        <v>129.465</v>
      </c>
      <c r="AQ45" s="33" t="s">
        <v>155</v>
      </c>
      <c r="AR45" s="83" t="e">
        <f>'Исходные данные'!#REF!</f>
        <v>#REF!</v>
      </c>
      <c r="AS45" s="36" t="e">
        <f>AP45*AR45</f>
        <v>#REF!</v>
      </c>
      <c r="AT45" s="32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>
        <f>аморт!$G$11</f>
        <v>181.91312849162011</v>
      </c>
      <c r="BJ45" s="36">
        <f>BI45*L45</f>
        <v>2842.3926326815645</v>
      </c>
      <c r="BK45" s="85">
        <f>аморт!$G$23</f>
        <v>48.426111111111105</v>
      </c>
      <c r="BL45" s="36">
        <f>BK45*L45</f>
        <v>756.65798611111097</v>
      </c>
      <c r="BM45" s="36"/>
      <c r="BN45" s="38">
        <v>82.4</v>
      </c>
      <c r="BO45" s="36">
        <f>BN45*BY45</f>
        <v>6566.25</v>
      </c>
      <c r="BP45" s="38">
        <v>13.9</v>
      </c>
      <c r="BQ45" s="36">
        <f>BP45*BY45</f>
        <v>1107.65625</v>
      </c>
      <c r="BR45" s="38">
        <f>4.8*1.045*1.054</f>
        <v>5.2868639999999996</v>
      </c>
      <c r="BS45" s="36">
        <f>BR45*BY45</f>
        <v>421.29697499999997</v>
      </c>
      <c r="BT45" s="36">
        <f>аморт!$C$23*10%/аморт!$E$23*L45*7</f>
        <v>120127.02187499999</v>
      </c>
      <c r="BU45" s="36" t="e">
        <f t="shared" ca="1" si="71"/>
        <v>#REF!</v>
      </c>
      <c r="BV45" s="36" t="e">
        <f t="shared" ca="1" si="72"/>
        <v>#REF!</v>
      </c>
      <c r="BW45" s="38">
        <f t="shared" si="73"/>
        <v>1.09375</v>
      </c>
      <c r="BX45" s="38">
        <v>5.0999999999999996</v>
      </c>
      <c r="BY45" s="39">
        <f>BX45*L45</f>
        <v>79.6875</v>
      </c>
    </row>
    <row r="46" spans="1:77" x14ac:dyDescent="0.2">
      <c r="A46" s="20">
        <f>A45+1</f>
        <v>3</v>
      </c>
      <c r="B46" s="27" t="s">
        <v>80</v>
      </c>
      <c r="C46" s="66">
        <v>1</v>
      </c>
      <c r="D46" s="463" t="s">
        <v>496</v>
      </c>
      <c r="E46" s="464"/>
      <c r="F46" s="28" t="s">
        <v>121</v>
      </c>
      <c r="G46" s="29">
        <f>D12/10</f>
        <v>1250</v>
      </c>
      <c r="H46" s="172">
        <v>42597</v>
      </c>
      <c r="I46" s="172">
        <f>I45</f>
        <v>42600</v>
      </c>
      <c r="J46" s="185">
        <f t="shared" si="59"/>
        <v>3</v>
      </c>
      <c r="K46" s="170">
        <f>G46/J46</f>
        <v>416.66666666666669</v>
      </c>
      <c r="L46" s="33">
        <f t="shared" si="60"/>
        <v>3</v>
      </c>
      <c r="M46" s="34">
        <v>1</v>
      </c>
      <c r="N46" s="34"/>
      <c r="O46" s="35">
        <f t="shared" si="61"/>
        <v>21</v>
      </c>
      <c r="P46" s="35">
        <f t="shared" si="62"/>
        <v>0</v>
      </c>
      <c r="Q46" s="34">
        <v>5</v>
      </c>
      <c r="R46" s="83">
        <f>'Исходные данные'!$G$21</f>
        <v>197.57121135326915</v>
      </c>
      <c r="S46" s="34"/>
      <c r="T46" s="33"/>
      <c r="U46" s="130">
        <f>O46*R46*'Исходные данные'!$C$37%</f>
        <v>0</v>
      </c>
      <c r="V46" s="130">
        <f>P46*T46*'Исходные данные'!$C$38%</f>
        <v>0</v>
      </c>
      <c r="W46" s="130">
        <f t="shared" si="63"/>
        <v>0</v>
      </c>
      <c r="X46" s="131">
        <f t="shared" si="64"/>
        <v>0</v>
      </c>
      <c r="Y46" s="130">
        <f t="shared" si="65"/>
        <v>414.89954384186524</v>
      </c>
      <c r="Z46" s="131">
        <f t="shared" si="66"/>
        <v>0</v>
      </c>
      <c r="AA46" s="130">
        <f t="shared" si="67"/>
        <v>0</v>
      </c>
      <c r="AB46" s="131">
        <f t="shared" si="68"/>
        <v>0</v>
      </c>
      <c r="AC46" s="129">
        <v>2.5</v>
      </c>
      <c r="AD46" s="130">
        <f t="shared" si="69"/>
        <v>11409.737455651293</v>
      </c>
      <c r="AE46" s="130">
        <f t="shared" si="70"/>
        <v>0</v>
      </c>
      <c r="AF46" s="35">
        <f ca="1">AD46*$AF$17</f>
        <v>1704.9032979708827</v>
      </c>
      <c r="AG46" s="73"/>
      <c r="AH46" s="35">
        <f ca="1">AD46+AF46</f>
        <v>13114.640753622176</v>
      </c>
      <c r="AI46" s="35"/>
      <c r="AJ46" s="35">
        <f ca="1">AH46*$AJ$17</f>
        <v>3934.3922260866525</v>
      </c>
      <c r="AK46" s="73"/>
      <c r="AL46" s="35">
        <f ca="1">AH46+AJ46</f>
        <v>17049.032979708827</v>
      </c>
      <c r="AM46" s="73"/>
      <c r="AN46" s="171">
        <v>10</v>
      </c>
      <c r="AO46" s="33">
        <f>'Исходные данные'!$C$53</f>
        <v>0.84</v>
      </c>
      <c r="AP46" s="79">
        <f>(G46*AN46)*AO46/100</f>
        <v>105</v>
      </c>
      <c r="AQ46" s="33" t="s">
        <v>155</v>
      </c>
      <c r="AR46" s="83" t="e">
        <f>'Исходные данные'!#REF!</f>
        <v>#REF!</v>
      </c>
      <c r="AS46" s="36" t="e">
        <f>AP46*AR46</f>
        <v>#REF!</v>
      </c>
      <c r="AT46" s="32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>
        <f>аморт!$G$8</f>
        <v>75.11864416666667</v>
      </c>
      <c r="BJ46" s="36">
        <f>BI46*L46</f>
        <v>225.35593249999999</v>
      </c>
      <c r="BK46" s="36">
        <f>аморт!$G$36</f>
        <v>294.73684210526318</v>
      </c>
      <c r="BL46" s="36">
        <f>BK46*L46</f>
        <v>884.21052631578959</v>
      </c>
      <c r="BM46" s="36">
        <f>(2596950)*6.7%</f>
        <v>173995.65000000002</v>
      </c>
      <c r="BN46" s="38">
        <v>111.7</v>
      </c>
      <c r="BO46" s="36">
        <f>BN46*BY46</f>
        <v>2412.7200000000003</v>
      </c>
      <c r="BP46" s="38">
        <v>12.5</v>
      </c>
      <c r="BQ46" s="36">
        <f>BP46*BY46</f>
        <v>270</v>
      </c>
      <c r="BR46" s="36"/>
      <c r="BS46" s="36">
        <f>BR46*BY46</f>
        <v>0</v>
      </c>
      <c r="BT46" s="36"/>
      <c r="BU46" s="36" t="e">
        <f t="shared" ca="1" si="71"/>
        <v>#REF!</v>
      </c>
      <c r="BV46" s="36" t="e">
        <f t="shared" ca="1" si="72"/>
        <v>#REF!</v>
      </c>
      <c r="BW46" s="38">
        <f t="shared" si="73"/>
        <v>0.21</v>
      </c>
      <c r="BX46" s="38">
        <v>7.2</v>
      </c>
      <c r="BY46" s="39">
        <f>BX46*L46</f>
        <v>21.6</v>
      </c>
    </row>
    <row r="47" spans="1:77" ht="33.75" x14ac:dyDescent="0.2">
      <c r="A47" s="20">
        <f>A46+1</f>
        <v>4</v>
      </c>
      <c r="B47" s="27" t="s">
        <v>81</v>
      </c>
      <c r="C47" s="66"/>
      <c r="D47" s="463" t="s">
        <v>120</v>
      </c>
      <c r="E47" s="464"/>
      <c r="F47" s="28" t="s">
        <v>121</v>
      </c>
      <c r="G47" s="38">
        <f>BC47</f>
        <v>2.5</v>
      </c>
      <c r="H47" s="173">
        <v>42597</v>
      </c>
      <c r="I47" s="172">
        <f>I46</f>
        <v>42600</v>
      </c>
      <c r="J47" s="185">
        <f t="shared" si="59"/>
        <v>3</v>
      </c>
      <c r="K47" s="170">
        <v>2</v>
      </c>
      <c r="L47" s="33">
        <f t="shared" si="60"/>
        <v>1.25</v>
      </c>
      <c r="M47" s="34"/>
      <c r="N47" s="34">
        <v>1</v>
      </c>
      <c r="O47" s="35">
        <f t="shared" si="61"/>
        <v>0</v>
      </c>
      <c r="P47" s="35">
        <f t="shared" si="62"/>
        <v>8.75</v>
      </c>
      <c r="Q47" s="34"/>
      <c r="R47" s="33"/>
      <c r="S47" s="34">
        <v>2</v>
      </c>
      <c r="T47" s="83">
        <f ca="1">IF(AND(N47&gt;0,P47&gt;0),SUMIF('Исходные данные'!$C$13:$J$29,S47,'Исходные данные'!$C$33:$J$39),IF(N47=0,0,IF(S47=0,"РОТ")))</f>
        <v>105.700598073999</v>
      </c>
      <c r="U47" s="130">
        <f>O47*R47*'Исходные данные'!$C$37%</f>
        <v>0</v>
      </c>
      <c r="V47" s="130">
        <f ca="1">P47*T47*'Исходные данные'!$C$38%</f>
        <v>0</v>
      </c>
      <c r="W47" s="130">
        <f t="shared" si="63"/>
        <v>0</v>
      </c>
      <c r="X47" s="131">
        <f t="shared" ca="1" si="64"/>
        <v>0</v>
      </c>
      <c r="Y47" s="130">
        <f t="shared" si="65"/>
        <v>0</v>
      </c>
      <c r="Z47" s="131">
        <f t="shared" ca="1" si="66"/>
        <v>46.244011657374564</v>
      </c>
      <c r="AA47" s="130">
        <f t="shared" si="67"/>
        <v>0</v>
      </c>
      <c r="AB47" s="131">
        <f t="shared" ca="1" si="68"/>
        <v>0</v>
      </c>
      <c r="AC47" s="129">
        <v>2.5</v>
      </c>
      <c r="AD47" s="130">
        <f t="shared" si="69"/>
        <v>0</v>
      </c>
      <c r="AE47" s="130">
        <f t="shared" ca="1" si="70"/>
        <v>2427.8106120121647</v>
      </c>
      <c r="AF47" s="35"/>
      <c r="AG47" s="73">
        <f ca="1">AE47*$AF$17</f>
        <v>362.77629834664526</v>
      </c>
      <c r="AH47" s="35"/>
      <c r="AI47" s="35">
        <f ca="1">AE47+AG47</f>
        <v>2790.5869103588102</v>
      </c>
      <c r="AJ47" s="35"/>
      <c r="AK47" s="73">
        <f ca="1">AI47*$AJ$17</f>
        <v>837.17607310764299</v>
      </c>
      <c r="AL47" s="35"/>
      <c r="AM47" s="73">
        <f ca="1">AK47+AI47</f>
        <v>3627.7629834664531</v>
      </c>
      <c r="AN47" s="33"/>
      <c r="AO47" s="32"/>
      <c r="AP47" s="36"/>
      <c r="AQ47" s="37"/>
      <c r="AR47" s="37"/>
      <c r="AS47" s="36"/>
      <c r="AT47" s="32"/>
      <c r="AU47" s="36"/>
      <c r="AV47" s="36"/>
      <c r="AW47" s="36"/>
      <c r="AX47" s="36"/>
      <c r="AY47" s="36"/>
      <c r="AZ47" s="36"/>
      <c r="BA47" s="36"/>
      <c r="BB47" s="36">
        <v>2</v>
      </c>
      <c r="BC47" s="38">
        <f>BB47*D12/10/1000</f>
        <v>2.5</v>
      </c>
      <c r="BD47" s="113">
        <v>12.5</v>
      </c>
      <c r="BE47" s="36">
        <f>BC47*BD47*1000</f>
        <v>31250</v>
      </c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>
        <f t="shared" ca="1" si="71"/>
        <v>34877.762983466455</v>
      </c>
      <c r="BV47" s="36">
        <f t="shared" ca="1" si="72"/>
        <v>348.77762983466454</v>
      </c>
      <c r="BW47" s="38">
        <f t="shared" si="73"/>
        <v>8.7499999999999994E-2</v>
      </c>
      <c r="BX47" s="38"/>
      <c r="BY47" s="39"/>
    </row>
    <row r="48" spans="1:77" ht="22.5" x14ac:dyDescent="0.2">
      <c r="A48" s="20">
        <v>5</v>
      </c>
      <c r="B48" s="27" t="s">
        <v>82</v>
      </c>
      <c r="C48" s="66"/>
      <c r="D48" s="463" t="s">
        <v>120</v>
      </c>
      <c r="E48" s="464"/>
      <c r="F48" s="28" t="s">
        <v>125</v>
      </c>
      <c r="G48" s="66">
        <f>D10*D9*2</f>
        <v>840</v>
      </c>
      <c r="H48" s="173">
        <v>42597</v>
      </c>
      <c r="I48" s="172">
        <f>I47</f>
        <v>42600</v>
      </c>
      <c r="J48" s="185">
        <f t="shared" si="59"/>
        <v>3</v>
      </c>
      <c r="K48" s="170">
        <f>G48/J48</f>
        <v>280</v>
      </c>
      <c r="L48" s="33">
        <f t="shared" si="60"/>
        <v>3</v>
      </c>
      <c r="M48" s="34"/>
      <c r="N48" s="34">
        <v>1</v>
      </c>
      <c r="O48" s="35">
        <f t="shared" si="61"/>
        <v>0</v>
      </c>
      <c r="P48" s="35">
        <f t="shared" si="62"/>
        <v>21</v>
      </c>
      <c r="Q48" s="34"/>
      <c r="R48" s="33"/>
      <c r="S48" s="34">
        <v>2</v>
      </c>
      <c r="T48" s="83">
        <f ca="1">IF(AND(N48&gt;0,P48&gt;0),SUMIF('Исходные данные'!$C$13:$J$29,S48,'Исходные данные'!$C$33:$J$39),IF(N48=0,0,IF(S48=0,"РОТ")))</f>
        <v>105.700598073999</v>
      </c>
      <c r="U48" s="130">
        <f>O48*R48*'Исходные данные'!$C$37%</f>
        <v>0</v>
      </c>
      <c r="V48" s="130">
        <f ca="1">P48*T48*'Исходные данные'!$C$38%</f>
        <v>0</v>
      </c>
      <c r="W48" s="130">
        <f t="shared" si="63"/>
        <v>0</v>
      </c>
      <c r="X48" s="131">
        <f t="shared" ca="1" si="64"/>
        <v>0</v>
      </c>
      <c r="Y48" s="130">
        <f t="shared" si="65"/>
        <v>0</v>
      </c>
      <c r="Z48" s="131">
        <f t="shared" ca="1" si="66"/>
        <v>110.98562797769897</v>
      </c>
      <c r="AA48" s="130">
        <f t="shared" si="67"/>
        <v>0</v>
      </c>
      <c r="AB48" s="131">
        <f t="shared" ca="1" si="68"/>
        <v>0</v>
      </c>
      <c r="AC48" s="129">
        <v>2.5</v>
      </c>
      <c r="AD48" s="130">
        <f t="shared" si="69"/>
        <v>0</v>
      </c>
      <c r="AE48" s="130">
        <f t="shared" ca="1" si="70"/>
        <v>5826.7454688291955</v>
      </c>
      <c r="AF48" s="35"/>
      <c r="AG48" s="73">
        <f ca="1">AE48*$AF$17</f>
        <v>870.66311603194868</v>
      </c>
      <c r="AH48" s="35"/>
      <c r="AI48" s="35">
        <f ca="1">AE48+AG48</f>
        <v>6697.4085848611439</v>
      </c>
      <c r="AJ48" s="35"/>
      <c r="AK48" s="73">
        <f ca="1">AI48*$AJ$17</f>
        <v>2009.222575458343</v>
      </c>
      <c r="AL48" s="35"/>
      <c r="AM48" s="73">
        <f ca="1">AK48+AI48</f>
        <v>8706.6311603194863</v>
      </c>
      <c r="AN48" s="32"/>
      <c r="AO48" s="32"/>
      <c r="AP48" s="36"/>
      <c r="AQ48" s="37"/>
      <c r="AR48" s="37"/>
      <c r="AS48" s="36"/>
      <c r="AT48" s="32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>
        <f>G48*1.13</f>
        <v>949.19999999999993</v>
      </c>
      <c r="BG48" s="38">
        <f>30*1.045*1.054</f>
        <v>33.042899999999996</v>
      </c>
      <c r="BH48" s="36">
        <f>BF48*BG48</f>
        <v>31364.320679999993</v>
      </c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>
        <f t="shared" ca="1" si="71"/>
        <v>40070.951840319482</v>
      </c>
      <c r="BV48" s="36">
        <f t="shared" ca="1" si="72"/>
        <v>400.70951840319481</v>
      </c>
      <c r="BW48" s="38">
        <f t="shared" si="73"/>
        <v>0.21</v>
      </c>
      <c r="BX48" s="38"/>
      <c r="BY48" s="39"/>
    </row>
    <row r="49" spans="1:77" ht="22.5" x14ac:dyDescent="0.2">
      <c r="A49" s="20">
        <v>6</v>
      </c>
      <c r="B49" s="27" t="s">
        <v>83</v>
      </c>
      <c r="C49" s="66"/>
      <c r="D49" s="463" t="s">
        <v>120</v>
      </c>
      <c r="E49" s="464"/>
      <c r="F49" s="28" t="s">
        <v>125</v>
      </c>
      <c r="G49" s="66">
        <f>G48</f>
        <v>840</v>
      </c>
      <c r="H49" s="173">
        <v>42597</v>
      </c>
      <c r="I49" s="172">
        <f>I48</f>
        <v>42600</v>
      </c>
      <c r="J49" s="185">
        <f t="shared" si="59"/>
        <v>3</v>
      </c>
      <c r="K49" s="170">
        <f>G49/J49</f>
        <v>280</v>
      </c>
      <c r="L49" s="33">
        <f t="shared" si="60"/>
        <v>3</v>
      </c>
      <c r="M49" s="34"/>
      <c r="N49" s="34">
        <v>1</v>
      </c>
      <c r="O49" s="35">
        <f t="shared" si="61"/>
        <v>0</v>
      </c>
      <c r="P49" s="35">
        <f t="shared" si="62"/>
        <v>21</v>
      </c>
      <c r="Q49" s="34"/>
      <c r="R49" s="33"/>
      <c r="S49" s="34">
        <v>2</v>
      </c>
      <c r="T49" s="83">
        <f ca="1">IF(AND(N49&gt;0,P49&gt;0),SUMIF('Исходные данные'!$C$13:$J$29,S49,'Исходные данные'!$C$33:$J$39),IF(N49=0,0,IF(S49=0,"РОТ")))</f>
        <v>105.700598073999</v>
      </c>
      <c r="U49" s="130">
        <f>O49*R49*'Исходные данные'!$C$37%</f>
        <v>0</v>
      </c>
      <c r="V49" s="130">
        <f ca="1">P49*T49*'Исходные данные'!$C$38%</f>
        <v>0</v>
      </c>
      <c r="W49" s="130">
        <f t="shared" si="63"/>
        <v>0</v>
      </c>
      <c r="X49" s="131">
        <f t="shared" ca="1" si="64"/>
        <v>0</v>
      </c>
      <c r="Y49" s="130">
        <f t="shared" si="65"/>
        <v>0</v>
      </c>
      <c r="Z49" s="131">
        <f t="shared" ca="1" si="66"/>
        <v>110.98562797769897</v>
      </c>
      <c r="AA49" s="130">
        <f t="shared" si="67"/>
        <v>0</v>
      </c>
      <c r="AB49" s="131">
        <f t="shared" ca="1" si="68"/>
        <v>0</v>
      </c>
      <c r="AC49" s="129">
        <v>2.5</v>
      </c>
      <c r="AD49" s="130">
        <f t="shared" si="69"/>
        <v>0</v>
      </c>
      <c r="AE49" s="130">
        <f t="shared" ca="1" si="70"/>
        <v>5826.7454688291955</v>
      </c>
      <c r="AF49" s="35"/>
      <c r="AG49" s="73">
        <f ca="1">AE49*$AF$17</f>
        <v>870.66311603194868</v>
      </c>
      <c r="AH49" s="35"/>
      <c r="AI49" s="35">
        <f ca="1">AE49+AG49</f>
        <v>6697.4085848611439</v>
      </c>
      <c r="AJ49" s="35"/>
      <c r="AK49" s="73">
        <f ca="1">AI49*$AJ$17</f>
        <v>2009.222575458343</v>
      </c>
      <c r="AL49" s="35"/>
      <c r="AM49" s="73">
        <f ca="1">AK49+AI49</f>
        <v>8706.6311603194863</v>
      </c>
      <c r="AN49" s="32"/>
      <c r="AO49" s="32"/>
      <c r="AP49" s="36"/>
      <c r="AQ49" s="37"/>
      <c r="AR49" s="37"/>
      <c r="AS49" s="36"/>
      <c r="AT49" s="32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>
        <f t="shared" ca="1" si="71"/>
        <v>8706.6311603194863</v>
      </c>
      <c r="BV49" s="36">
        <f t="shared" ca="1" si="72"/>
        <v>87.066311603194862</v>
      </c>
      <c r="BW49" s="38">
        <f t="shared" si="73"/>
        <v>0.21</v>
      </c>
      <c r="BX49" s="38"/>
      <c r="BY49" s="39"/>
    </row>
    <row r="50" spans="1:77" s="54" customFormat="1" x14ac:dyDescent="0.2">
      <c r="A50" s="52"/>
      <c r="B50" s="53" t="s">
        <v>22</v>
      </c>
      <c r="C50" s="56"/>
      <c r="D50" s="56"/>
      <c r="E50" s="56"/>
      <c r="F50" s="55"/>
      <c r="G50" s="56"/>
      <c r="H50" s="56"/>
      <c r="I50" s="56"/>
      <c r="J50" s="65">
        <f>SUM(J44:J49)</f>
        <v>18</v>
      </c>
      <c r="K50" s="65"/>
      <c r="L50" s="65">
        <f t="shared" ref="L50:BQ50" si="74">SUM(L44:L49)</f>
        <v>28.375</v>
      </c>
      <c r="M50" s="65">
        <f t="shared" si="74"/>
        <v>3</v>
      </c>
      <c r="N50" s="65">
        <f t="shared" si="74"/>
        <v>3</v>
      </c>
      <c r="O50" s="65">
        <f t="shared" si="74"/>
        <v>147.875</v>
      </c>
      <c r="P50" s="65">
        <f t="shared" si="74"/>
        <v>50.75</v>
      </c>
      <c r="Q50" s="65"/>
      <c r="R50" s="65"/>
      <c r="S50" s="65"/>
      <c r="T50" s="65"/>
      <c r="U50" s="65">
        <f t="shared" ca="1" si="74"/>
        <v>0</v>
      </c>
      <c r="V50" s="65">
        <f t="shared" ca="1" si="74"/>
        <v>0</v>
      </c>
      <c r="W50" s="65">
        <f t="shared" ca="1" si="74"/>
        <v>0</v>
      </c>
      <c r="X50" s="65">
        <f t="shared" ca="1" si="74"/>
        <v>0</v>
      </c>
      <c r="Y50" s="65">
        <f t="shared" ca="1" si="74"/>
        <v>2848.976867714141</v>
      </c>
      <c r="Z50" s="65">
        <f t="shared" ca="1" si="74"/>
        <v>268.21526761277249</v>
      </c>
      <c r="AA50" s="65">
        <f t="shared" ca="1" si="74"/>
        <v>0</v>
      </c>
      <c r="AB50" s="65">
        <f t="shared" ca="1" si="74"/>
        <v>0</v>
      </c>
      <c r="AC50" s="65"/>
      <c r="AD50" s="65">
        <f t="shared" ca="1" si="74"/>
        <v>78346.863862138882</v>
      </c>
      <c r="AE50" s="65">
        <f t="shared" ca="1" si="74"/>
        <v>14081.301549670556</v>
      </c>
      <c r="AF50" s="65">
        <f t="shared" ca="1" si="74"/>
        <v>11707.002646066729</v>
      </c>
      <c r="AG50" s="65">
        <f t="shared" ca="1" si="74"/>
        <v>2104.1025304105424</v>
      </c>
      <c r="AH50" s="65">
        <f t="shared" ca="1" si="74"/>
        <v>90053.86650820561</v>
      </c>
      <c r="AI50" s="65">
        <f t="shared" ca="1" si="74"/>
        <v>16185.404080081098</v>
      </c>
      <c r="AJ50" s="65">
        <f t="shared" ca="1" si="74"/>
        <v>27016.159952461683</v>
      </c>
      <c r="AK50" s="65">
        <f t="shared" ca="1" si="74"/>
        <v>4855.6212240243294</v>
      </c>
      <c r="AL50" s="65">
        <f t="shared" ca="1" si="74"/>
        <v>117070.02646066729</v>
      </c>
      <c r="AM50" s="65">
        <f t="shared" ca="1" si="74"/>
        <v>21041.025304105424</v>
      </c>
      <c r="AN50" s="65"/>
      <c r="AO50" s="65"/>
      <c r="AP50" s="65">
        <f t="shared" si="74"/>
        <v>246.965</v>
      </c>
      <c r="AQ50" s="65"/>
      <c r="AR50" s="65"/>
      <c r="AS50" s="65" t="e">
        <f t="shared" si="74"/>
        <v>#REF!</v>
      </c>
      <c r="AT50" s="65"/>
      <c r="AU50" s="65">
        <f t="shared" si="74"/>
        <v>0</v>
      </c>
      <c r="AV50" s="65"/>
      <c r="AW50" s="65">
        <f t="shared" si="74"/>
        <v>0</v>
      </c>
      <c r="AX50" s="65"/>
      <c r="AY50" s="65">
        <f t="shared" si="74"/>
        <v>0</v>
      </c>
      <c r="AZ50" s="65"/>
      <c r="BA50" s="65">
        <f t="shared" si="74"/>
        <v>0</v>
      </c>
      <c r="BB50" s="65"/>
      <c r="BC50" s="65">
        <f t="shared" si="74"/>
        <v>2.5</v>
      </c>
      <c r="BD50" s="65"/>
      <c r="BE50" s="65">
        <f t="shared" si="74"/>
        <v>31250</v>
      </c>
      <c r="BF50" s="65">
        <f>SUM(BF44:BF49)</f>
        <v>949.19999999999993</v>
      </c>
      <c r="BG50" s="65"/>
      <c r="BH50" s="65">
        <f>SUM(BH44:BH49)</f>
        <v>31364.320679999993</v>
      </c>
      <c r="BI50" s="65"/>
      <c r="BJ50" s="65">
        <f t="shared" si="74"/>
        <v>3522.5313864106147</v>
      </c>
      <c r="BK50" s="65"/>
      <c r="BL50" s="65">
        <f t="shared" si="74"/>
        <v>1745.5295124269005</v>
      </c>
      <c r="BM50" s="65">
        <f t="shared" si="74"/>
        <v>173995.65000000002</v>
      </c>
      <c r="BN50" s="65"/>
      <c r="BO50" s="65">
        <f t="shared" si="74"/>
        <v>10029.57</v>
      </c>
      <c r="BP50" s="65"/>
      <c r="BQ50" s="65">
        <f t="shared" si="74"/>
        <v>1554.8812499999999</v>
      </c>
      <c r="BR50" s="65"/>
      <c r="BS50" s="65">
        <f t="shared" ref="BS50:BY50" si="75">SUM(BS44:BS49)</f>
        <v>488.70449099999996</v>
      </c>
      <c r="BT50" s="65">
        <f t="shared" si="75"/>
        <v>127435.49787499999</v>
      </c>
      <c r="BU50" s="65" t="e">
        <f t="shared" ca="1" si="75"/>
        <v>#REF!</v>
      </c>
      <c r="BV50" s="65"/>
      <c r="BW50" s="65"/>
      <c r="BX50" s="65"/>
      <c r="BY50" s="65">
        <f t="shared" si="75"/>
        <v>114.03749999999999</v>
      </c>
    </row>
    <row r="51" spans="1:77" s="51" customFormat="1" x14ac:dyDescent="0.2">
      <c r="A51" s="48"/>
      <c r="B51" s="58" t="s">
        <v>30</v>
      </c>
      <c r="C51" s="50"/>
      <c r="D51" s="50"/>
      <c r="E51" s="50"/>
      <c r="F51" s="49"/>
      <c r="G51" s="50"/>
      <c r="H51" s="50"/>
      <c r="I51" s="50"/>
      <c r="J51" s="78">
        <f>J34+J42+J50</f>
        <v>93</v>
      </c>
      <c r="K51" s="78"/>
      <c r="L51" s="78">
        <f>L34+L42+L50</f>
        <v>127.73471926083866</v>
      </c>
      <c r="M51" s="78">
        <f>M34+M42+M50</f>
        <v>14</v>
      </c>
      <c r="N51" s="78">
        <f>N34+N42+N50</f>
        <v>13</v>
      </c>
      <c r="O51" s="78">
        <f>O34+O42+O50</f>
        <v>570.3930348258707</v>
      </c>
      <c r="P51" s="78">
        <f>P34+P42+P50</f>
        <v>462.80970149253733</v>
      </c>
      <c r="Q51" s="78"/>
      <c r="R51" s="78"/>
      <c r="S51" s="78"/>
      <c r="T51" s="78"/>
      <c r="U51" s="78">
        <f t="shared" ref="U51:AM51" ca="1" si="76">U34+U42+U50</f>
        <v>0</v>
      </c>
      <c r="V51" s="78">
        <f t="shared" ca="1" si="76"/>
        <v>0</v>
      </c>
      <c r="W51" s="78">
        <f t="shared" ca="1" si="76"/>
        <v>0</v>
      </c>
      <c r="X51" s="78">
        <f t="shared" ca="1" si="76"/>
        <v>0</v>
      </c>
      <c r="Y51" s="78">
        <f t="shared" ca="1" si="76"/>
        <v>10072.314472815851</v>
      </c>
      <c r="Z51" s="78">
        <f t="shared" ca="1" si="76"/>
        <v>2671.0461146447187</v>
      </c>
      <c r="AA51" s="78">
        <f t="shared" ca="1" si="76"/>
        <v>0</v>
      </c>
      <c r="AB51" s="78">
        <f t="shared" ca="1" si="76"/>
        <v>0</v>
      </c>
      <c r="AC51" s="78"/>
      <c r="AD51" s="78">
        <f t="shared" ca="1" si="76"/>
        <v>350010.9677186042</v>
      </c>
      <c r="AE51" s="78">
        <f t="shared" ca="1" si="76"/>
        <v>173295.34016532518</v>
      </c>
      <c r="AF51" s="78">
        <f t="shared" ca="1" si="76"/>
        <v>52300.489429216716</v>
      </c>
      <c r="AG51" s="78">
        <f t="shared" ca="1" si="76"/>
        <v>25894.706001715254</v>
      </c>
      <c r="AH51" s="78">
        <f t="shared" ca="1" si="76"/>
        <v>402311.45714782091</v>
      </c>
      <c r="AI51" s="78">
        <f t="shared" ca="1" si="76"/>
        <v>199190.04616704042</v>
      </c>
      <c r="AJ51" s="78">
        <f t="shared" ca="1" si="76"/>
        <v>120693.43714434627</v>
      </c>
      <c r="AK51" s="78">
        <f t="shared" ca="1" si="76"/>
        <v>59757.013850112126</v>
      </c>
      <c r="AL51" s="78">
        <f t="shared" ca="1" si="76"/>
        <v>523004.89429216716</v>
      </c>
      <c r="AM51" s="78">
        <f t="shared" ca="1" si="76"/>
        <v>258947.06001715257</v>
      </c>
      <c r="AN51" s="78"/>
      <c r="AO51" s="78"/>
      <c r="AP51" s="78">
        <f>AP34+AP42+AP50</f>
        <v>394.40199200000001</v>
      </c>
      <c r="AQ51" s="78"/>
      <c r="AR51" s="78"/>
      <c r="AS51" s="78" t="e">
        <f>AS34+AS42+AS50</f>
        <v>#REF!</v>
      </c>
      <c r="AT51" s="78"/>
      <c r="AU51" s="78">
        <f>AU34+AU42+AU50</f>
        <v>10.5</v>
      </c>
      <c r="AV51" s="78"/>
      <c r="AW51" s="78">
        <f>AW34+AW42+AW50</f>
        <v>220500</v>
      </c>
      <c r="AX51" s="78"/>
      <c r="AY51" s="78">
        <f>AY34+AY42+AY50</f>
        <v>50</v>
      </c>
      <c r="AZ51" s="78"/>
      <c r="BA51" s="78" t="e">
        <f>BA34+BA42+BA50</f>
        <v>#REF!</v>
      </c>
      <c r="BB51" s="78"/>
      <c r="BC51" s="78">
        <f>BC34+BC42+BC50</f>
        <v>2.5</v>
      </c>
      <c r="BD51" s="78"/>
      <c r="BE51" s="78">
        <f>BE34+BE42+BE50</f>
        <v>31250</v>
      </c>
      <c r="BF51" s="78">
        <f>BF34+BF42+BF50</f>
        <v>949.19999999999993</v>
      </c>
      <c r="BG51" s="78"/>
      <c r="BH51" s="78">
        <f>BH34+BH42+BH50</f>
        <v>31364.320679999993</v>
      </c>
      <c r="BI51" s="78"/>
      <c r="BJ51" s="78">
        <f>BJ34+BJ42+BJ50</f>
        <v>9184.2845259138885</v>
      </c>
      <c r="BK51" s="78"/>
      <c r="BL51" s="78">
        <f>BL34+BL42+BL50</f>
        <v>6997.0959725573293</v>
      </c>
      <c r="BM51" s="78">
        <f>BM34+BM42+BM50</f>
        <v>173995.65000000002</v>
      </c>
      <c r="BN51" s="78"/>
      <c r="BO51" s="78">
        <f>BO34+BO42+BO50</f>
        <v>50359.837707889128</v>
      </c>
      <c r="BP51" s="78"/>
      <c r="BQ51" s="78">
        <f>BQ34+BQ42+BQ50</f>
        <v>6439.9079984008531</v>
      </c>
      <c r="BR51" s="78"/>
      <c r="BS51" s="78">
        <f>BS34+BS42+BS50</f>
        <v>2356.7921579679105</v>
      </c>
      <c r="BT51" s="78">
        <f>BT34+BT42+BT50</f>
        <v>492850.889354204</v>
      </c>
      <c r="BU51" s="78" t="e">
        <f ca="1">BU34+BU42+BU50</f>
        <v>#REF!</v>
      </c>
      <c r="BV51" s="78"/>
      <c r="BW51" s="78"/>
      <c r="BX51" s="78"/>
      <c r="BY51" s="78">
        <f>BY34+BY42+BY50</f>
        <v>542.73813965884858</v>
      </c>
    </row>
  </sheetData>
  <mergeCells count="128">
    <mergeCell ref="D26:E26"/>
    <mergeCell ref="B20:E20"/>
    <mergeCell ref="B21:E21"/>
    <mergeCell ref="AF18:AF19"/>
    <mergeCell ref="M17:M19"/>
    <mergeCell ref="J15:J19"/>
    <mergeCell ref="AD17:AD19"/>
    <mergeCell ref="V17:V19"/>
    <mergeCell ref="AA18:AA19"/>
    <mergeCell ref="AB18:AB19"/>
    <mergeCell ref="H15:I16"/>
    <mergeCell ref="E18:E19"/>
    <mergeCell ref="O18:O19"/>
    <mergeCell ref="P18:P19"/>
    <mergeCell ref="Q18:Q19"/>
    <mergeCell ref="H17:H19"/>
    <mergeCell ref="I17:I19"/>
    <mergeCell ref="U17:U19"/>
    <mergeCell ref="U15:V16"/>
    <mergeCell ref="AE17:AE19"/>
    <mergeCell ref="AA15:AB16"/>
    <mergeCell ref="Y15:Z16"/>
    <mergeCell ref="AC15:AE16"/>
    <mergeCell ref="AC17:AC19"/>
    <mergeCell ref="AH15:AI16"/>
    <mergeCell ref="AJ15:AK16"/>
    <mergeCell ref="AG18:AG19"/>
    <mergeCell ref="AJ18:AJ19"/>
    <mergeCell ref="AK18:AK19"/>
    <mergeCell ref="AI17:AI19"/>
    <mergeCell ref="AJ17:AK17"/>
    <mergeCell ref="AL17:AL19"/>
    <mergeCell ref="AL15:AM16"/>
    <mergeCell ref="AF15:AG16"/>
    <mergeCell ref="AF17:AG17"/>
    <mergeCell ref="D48:E48"/>
    <mergeCell ref="D49:E49"/>
    <mergeCell ref="D36:E36"/>
    <mergeCell ref="D28:E28"/>
    <mergeCell ref="D29:E29"/>
    <mergeCell ref="D31:E31"/>
    <mergeCell ref="D47:E47"/>
    <mergeCell ref="B43:E43"/>
    <mergeCell ref="B35:E35"/>
    <mergeCell ref="D46:E46"/>
    <mergeCell ref="D38:E38"/>
    <mergeCell ref="D40:E40"/>
    <mergeCell ref="BB15:BE16"/>
    <mergeCell ref="AX17:AX19"/>
    <mergeCell ref="BF15:BH16"/>
    <mergeCell ref="AZ17:AZ19"/>
    <mergeCell ref="BR17:BS17"/>
    <mergeCell ref="BN18:BN19"/>
    <mergeCell ref="BO18:BO19"/>
    <mergeCell ref="BF17:BF19"/>
    <mergeCell ref="BG17:BG19"/>
    <mergeCell ref="BS18:BS19"/>
    <mergeCell ref="BI17:BJ17"/>
    <mergeCell ref="BK17:BL17"/>
    <mergeCell ref="BI18:BI19"/>
    <mergeCell ref="BJ18:BJ19"/>
    <mergeCell ref="BK18:BK19"/>
    <mergeCell ref="BY17:BY19"/>
    <mergeCell ref="BP18:BP19"/>
    <mergeCell ref="AS17:AS19"/>
    <mergeCell ref="AT17:AT19"/>
    <mergeCell ref="BU17:BU19"/>
    <mergeCell ref="BX17:BX19"/>
    <mergeCell ref="BU15:BV16"/>
    <mergeCell ref="BW15:BW19"/>
    <mergeCell ref="AU17:AU19"/>
    <mergeCell ref="AY17:AY19"/>
    <mergeCell ref="BH17:BH19"/>
    <mergeCell ref="BL18:BL19"/>
    <mergeCell ref="BB17:BB19"/>
    <mergeCell ref="BC17:BC19"/>
    <mergeCell ref="BQ18:BQ19"/>
    <mergeCell ref="BR18:BR19"/>
    <mergeCell ref="BX15:BY16"/>
    <mergeCell ref="AN15:AS16"/>
    <mergeCell ref="AT15:AW16"/>
    <mergeCell ref="AX15:BA16"/>
    <mergeCell ref="BN15:BT16"/>
    <mergeCell ref="AW17:AW19"/>
    <mergeCell ref="BI15:BM16"/>
    <mergeCell ref="AV17:AV19"/>
    <mergeCell ref="W18:W19"/>
    <mergeCell ref="X18:X19"/>
    <mergeCell ref="W17:X17"/>
    <mergeCell ref="BN17:BO17"/>
    <mergeCell ref="BP17:BQ17"/>
    <mergeCell ref="BT17:BT19"/>
    <mergeCell ref="BV17:BV19"/>
    <mergeCell ref="BD17:BD19"/>
    <mergeCell ref="BE17:BE19"/>
    <mergeCell ref="BM17:BM19"/>
    <mergeCell ref="AM17:AM19"/>
    <mergeCell ref="AH17:AH19"/>
    <mergeCell ref="BA17:BA19"/>
    <mergeCell ref="AN17:AN19"/>
    <mergeCell ref="AO17:AO19"/>
    <mergeCell ref="AP17:AP19"/>
    <mergeCell ref="AQ17:AQ19"/>
    <mergeCell ref="AR17:AR19"/>
    <mergeCell ref="A15:A19"/>
    <mergeCell ref="B15:E16"/>
    <mergeCell ref="F15:F19"/>
    <mergeCell ref="G15:G19"/>
    <mergeCell ref="B17:B19"/>
    <mergeCell ref="C17:E17"/>
    <mergeCell ref="O17:P17"/>
    <mergeCell ref="O15:P16"/>
    <mergeCell ref="AA17:AB17"/>
    <mergeCell ref="L15:L19"/>
    <mergeCell ref="Y18:Y19"/>
    <mergeCell ref="Z18:Z19"/>
    <mergeCell ref="T18:T19"/>
    <mergeCell ref="W15:X16"/>
    <mergeCell ref="K15:K19"/>
    <mergeCell ref="M15:N16"/>
    <mergeCell ref="N17:N19"/>
    <mergeCell ref="S18:S19"/>
    <mergeCell ref="Q15:T16"/>
    <mergeCell ref="Q17:R17"/>
    <mergeCell ref="R18:R19"/>
    <mergeCell ref="S17:T17"/>
    <mergeCell ref="C18:C19"/>
    <mergeCell ref="D18:D19"/>
  </mergeCells>
  <phoneticPr fontId="4" type="noConversion"/>
  <conditionalFormatting sqref="AO47:AS49 AN48:AN49 AR26:AS26 AO26:AP26 AO28:AP29 AR28:AS29 AP27 AS27 AR31:AS31 AO31:AP31 AP30 AS30 AP32:AP33 AS32:AS33 AN35:AS35 T45:T46 AS25 AS22:BY24 G21:BY21 G50:BY51 R47:R49 G34:G35 G42:G43 K35 R35 O35:P35 K34:BY34 T33 S45:S49 U45:AM49 T25 S25:S33 T35:AE35 U25:AM33 AP22:AP25 Q22:Q33 L22:N33 S22:AM24 AS45:AS46 AT25:BY33 AP44:AP46 S44:AM44 AS44:BQ44 AT45:BQ49 BR44:BY49 H22:J49 L35:N41 Q35:Q41 S35:S41 U36:AE41 AF35:AM41 AP36:AP41 AS36:AS41 K42:BY43 AT35:BY41 Q44:Q49 L44:N49">
    <cfRule type="cellIs" dxfId="167" priority="41" stopIfTrue="1" operator="greaterThan">
      <formula>0</formula>
    </cfRule>
  </conditionalFormatting>
  <conditionalFormatting sqref="AN36:AN41 K22:K33 AN22:AN33 AN44:AN47 K36:K41 K44:K49">
    <cfRule type="cellIs" dxfId="166" priority="42" stopIfTrue="1" operator="greaterThan">
      <formula>0</formula>
    </cfRule>
  </conditionalFormatting>
  <conditionalFormatting sqref="E22:E25 E32:E33 E27 E30 E37:E41 E44:E45">
    <cfRule type="cellIs" dxfId="165" priority="43" stopIfTrue="1" operator="equal">
      <formula>0</formula>
    </cfRule>
  </conditionalFormatting>
  <conditionalFormatting sqref="O22:P33 O44:P49 O36:P41">
    <cfRule type="cellIs" dxfId="164" priority="44" stopIfTrue="1" operator="greaterThan">
      <formula>0</formula>
    </cfRule>
  </conditionalFormatting>
  <conditionalFormatting sqref="E32">
    <cfRule type="cellIs" dxfId="163" priority="40" stopIfTrue="1" operator="equal">
      <formula>0</formula>
    </cfRule>
  </conditionalFormatting>
  <conditionalFormatting sqref="E44">
    <cfRule type="cellIs" dxfId="162" priority="39" stopIfTrue="1" operator="equal">
      <formula>0</formula>
    </cfRule>
  </conditionalFormatting>
  <conditionalFormatting sqref="E44">
    <cfRule type="cellIs" dxfId="161" priority="38" stopIfTrue="1" operator="equal">
      <formula>0</formula>
    </cfRule>
  </conditionalFormatting>
  <conditionalFormatting sqref="E32">
    <cfRule type="cellIs" dxfId="160" priority="37" stopIfTrue="1" operator="equal">
      <formula>0</formula>
    </cfRule>
  </conditionalFormatting>
  <conditionalFormatting sqref="E44">
    <cfRule type="cellIs" dxfId="159" priority="36" stopIfTrue="1" operator="equal">
      <formula>0</formula>
    </cfRule>
  </conditionalFormatting>
  <conditionalFormatting sqref="E44">
    <cfRule type="cellIs" dxfId="158" priority="35" stopIfTrue="1" operator="equal">
      <formula>0</formula>
    </cfRule>
  </conditionalFormatting>
  <conditionalFormatting sqref="E44">
    <cfRule type="cellIs" dxfId="157" priority="34" stopIfTrue="1" operator="equal">
      <formula>0</formula>
    </cfRule>
  </conditionalFormatting>
  <conditionalFormatting sqref="E39">
    <cfRule type="cellIs" dxfId="156" priority="33" stopIfTrue="1" operator="equal">
      <formula>0</formula>
    </cfRule>
  </conditionalFormatting>
  <conditionalFormatting sqref="J36:J41">
    <cfRule type="cellIs" dxfId="155" priority="32" stopIfTrue="1" operator="greaterThan">
      <formula>0</formula>
    </cfRule>
  </conditionalFormatting>
  <conditionalFormatting sqref="L36:L39">
    <cfRule type="cellIs" dxfId="154" priority="31" stopIfTrue="1" operator="greaterThan">
      <formula>0</formula>
    </cfRule>
  </conditionalFormatting>
  <conditionalFormatting sqref="H38:I39">
    <cfRule type="cellIs" dxfId="153" priority="30" stopIfTrue="1" operator="greaterThan">
      <formula>0</formula>
    </cfRule>
  </conditionalFormatting>
  <conditionalFormatting sqref="L40:L41">
    <cfRule type="cellIs" dxfId="152" priority="29" stopIfTrue="1" operator="greaterThan">
      <formula>0</formula>
    </cfRule>
  </conditionalFormatting>
  <conditionalFormatting sqref="E41">
    <cfRule type="cellIs" dxfId="151" priority="28" stopIfTrue="1" operator="equal">
      <formula>0</formula>
    </cfRule>
  </conditionalFormatting>
  <conditionalFormatting sqref="H40:I41">
    <cfRule type="cellIs" dxfId="150" priority="27" stopIfTrue="1" operator="greaterThan">
      <formula>0</formula>
    </cfRule>
  </conditionalFormatting>
  <conditionalFormatting sqref="K36:K41">
    <cfRule type="cellIs" dxfId="149" priority="26" stopIfTrue="1" operator="greaterThan">
      <formula>0</formula>
    </cfRule>
  </conditionalFormatting>
  <conditionalFormatting sqref="H36:I37">
    <cfRule type="cellIs" dxfId="148" priority="25" stopIfTrue="1" operator="greaterThan">
      <formula>0</formula>
    </cfRule>
  </conditionalFormatting>
  <conditionalFormatting sqref="H22:I32">
    <cfRule type="cellIs" dxfId="147" priority="24" stopIfTrue="1" operator="greaterThan">
      <formula>0</formula>
    </cfRule>
  </conditionalFormatting>
  <conditionalFormatting sqref="E25">
    <cfRule type="cellIs" dxfId="146" priority="23" stopIfTrue="1" operator="equal">
      <formula>0</formula>
    </cfRule>
  </conditionalFormatting>
  <conditionalFormatting sqref="K32">
    <cfRule type="cellIs" dxfId="145" priority="22" stopIfTrue="1" operator="greaterThan">
      <formula>0</formula>
    </cfRule>
  </conditionalFormatting>
  <conditionalFormatting sqref="AT32">
    <cfRule type="cellIs" dxfId="144" priority="21" stopIfTrue="1" operator="greaterThan">
      <formula>0</formula>
    </cfRule>
  </conditionalFormatting>
  <conditionalFormatting sqref="K22">
    <cfRule type="cellIs" dxfId="143" priority="20" stopIfTrue="1" operator="greaterThan">
      <formula>0</formula>
    </cfRule>
  </conditionalFormatting>
  <conditionalFormatting sqref="K23:K24">
    <cfRule type="cellIs" dxfId="142" priority="19" stopIfTrue="1" operator="greaterThan">
      <formula>0</formula>
    </cfRule>
  </conditionalFormatting>
  <conditionalFormatting sqref="J22">
    <cfRule type="cellIs" dxfId="141" priority="18" stopIfTrue="1" operator="greaterThan">
      <formula>0</formula>
    </cfRule>
  </conditionalFormatting>
  <conditionalFormatting sqref="J23:J24">
    <cfRule type="cellIs" dxfId="140" priority="17" stopIfTrue="1" operator="greaterThan">
      <formula>0</formula>
    </cfRule>
  </conditionalFormatting>
  <conditionalFormatting sqref="J32">
    <cfRule type="cellIs" dxfId="139" priority="16" stopIfTrue="1" operator="greaterThan">
      <formula>0</formula>
    </cfRule>
  </conditionalFormatting>
  <conditionalFormatting sqref="H44:I49">
    <cfRule type="cellIs" dxfId="138" priority="15" stopIfTrue="1" operator="greaterThan">
      <formula>0</formula>
    </cfRule>
  </conditionalFormatting>
  <conditionalFormatting sqref="K44">
    <cfRule type="cellIs" dxfId="137" priority="14" stopIfTrue="1" operator="greaterThan">
      <formula>0</formula>
    </cfRule>
  </conditionalFormatting>
  <conditionalFormatting sqref="K45">
    <cfRule type="cellIs" dxfId="136" priority="13" stopIfTrue="1" operator="greaterThan">
      <formula>0</formula>
    </cfRule>
  </conditionalFormatting>
  <conditionalFormatting sqref="K46">
    <cfRule type="cellIs" dxfId="135" priority="12" stopIfTrue="1" operator="greaterThan">
      <formula>0</formula>
    </cfRule>
  </conditionalFormatting>
  <conditionalFormatting sqref="J44:J49">
    <cfRule type="cellIs" dxfId="134" priority="11" stopIfTrue="1" operator="greaterThan">
      <formula>0</formula>
    </cfRule>
  </conditionalFormatting>
  <conditionalFormatting sqref="K48:K49">
    <cfRule type="cellIs" dxfId="133" priority="10" stopIfTrue="1" operator="greaterThan">
      <formula>0</formula>
    </cfRule>
  </conditionalFormatting>
  <conditionalFormatting sqref="K23:K31">
    <cfRule type="cellIs" dxfId="132" priority="9" stopIfTrue="1" operator="greaterThan">
      <formula>0</formula>
    </cfRule>
  </conditionalFormatting>
  <conditionalFormatting sqref="J22:J32">
    <cfRule type="cellIs" dxfId="131" priority="8" stopIfTrue="1" operator="greaterThan">
      <formula>0</formula>
    </cfRule>
  </conditionalFormatting>
  <conditionalFormatting sqref="AN36:AN41">
    <cfRule type="cellIs" dxfId="130" priority="7" stopIfTrue="1" operator="greaterThan">
      <formula>0</formula>
    </cfRule>
  </conditionalFormatting>
  <conditionalFormatting sqref="AN22:AN32">
    <cfRule type="cellIs" dxfId="129" priority="6" stopIfTrue="1" operator="greaterThan">
      <formula>0</formula>
    </cfRule>
  </conditionalFormatting>
  <conditionalFormatting sqref="AN44">
    <cfRule type="cellIs" dxfId="128" priority="5" stopIfTrue="1" operator="greaterThan">
      <formula>0</formula>
    </cfRule>
  </conditionalFormatting>
  <conditionalFormatting sqref="AN46">
    <cfRule type="cellIs" dxfId="127" priority="4" stopIfTrue="1" operator="greaterThan">
      <formula>0</formula>
    </cfRule>
  </conditionalFormatting>
  <conditionalFormatting sqref="BD47">
    <cfRule type="cellIs" dxfId="126" priority="3" stopIfTrue="1" operator="greaterThan">
      <formula>0</formula>
    </cfRule>
  </conditionalFormatting>
  <conditionalFormatting sqref="AV32">
    <cfRule type="cellIs" dxfId="125" priority="2" stopIfTrue="1" operator="greaterThan">
      <formula>0</formula>
    </cfRule>
  </conditionalFormatting>
  <conditionalFormatting sqref="K47">
    <cfRule type="cellIs" dxfId="124" priority="1" stopIfTrue="1" operator="greaterThan">
      <formula>0</formula>
    </cfRule>
  </conditionalFormatting>
  <dataValidations count="1">
    <dataValidation type="list" allowBlank="1" showInputMessage="1" showErrorMessage="1" sqref="AQ47:AR49">
      <formula1>#REF!</formula1>
    </dataValidation>
  </dataValidations>
  <pageMargins left="0.19685039370078741" right="0.19685039370078741" top="0.39370078740157483" bottom="0.27559055118110237" header="0.19685039370078741" footer="0.15748031496062992"/>
  <pageSetup paperSize="9" scale="54" fitToWidth="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12</vt:i4>
      </vt:variant>
    </vt:vector>
  </HeadingPairs>
  <TitlesOfParts>
    <vt:vector size="30" baseType="lpstr">
      <vt:lpstr>Содержание</vt:lpstr>
      <vt:lpstr>Нормы</vt:lpstr>
      <vt:lpstr>Исходные данные</vt:lpstr>
      <vt:lpstr>аморт</vt:lpstr>
      <vt:lpstr>Лист2</vt:lpstr>
      <vt:lpstr>сенаж бп омич</vt:lpstr>
      <vt:lpstr>сенаж бп-себ омич</vt:lpstr>
      <vt:lpstr>силос бп</vt:lpstr>
      <vt:lpstr>силос сп рапс</vt:lpstr>
      <vt:lpstr>силос сп-себ рапс</vt:lpstr>
      <vt:lpstr>силос сп кукур</vt:lpstr>
      <vt:lpstr>силос сп-себ кукур</vt:lpstr>
      <vt:lpstr>силос бп-себ</vt:lpstr>
      <vt:lpstr>силос сп</vt:lpstr>
      <vt:lpstr>силос сп-себ овес</vt:lpstr>
      <vt:lpstr>сеноАЗ СВЗ</vt:lpstr>
      <vt:lpstr>сеноЮЗ</vt:lpstr>
      <vt:lpstr>Урожайность</vt:lpstr>
      <vt:lpstr>аморт!Заголовки_для_печати</vt:lpstr>
      <vt:lpstr>'сенаж бп омич'!Заголовки_для_печати</vt:lpstr>
      <vt:lpstr>'сеноАЗ СВЗ'!Заголовки_для_печати</vt:lpstr>
      <vt:lpstr>сеноЮЗ!Заголовки_для_печати</vt:lpstr>
      <vt:lpstr>'силос бп'!Заголовки_для_печати</vt:lpstr>
      <vt:lpstr>'силос сп'!Заголовки_для_печати</vt:lpstr>
      <vt:lpstr>'силос сп кукур'!Заголовки_для_печати</vt:lpstr>
      <vt:lpstr>'силос сп рапс'!Заголовки_для_печати</vt:lpstr>
      <vt:lpstr>аморт!Область_печати</vt:lpstr>
      <vt:lpstr>'Исходные данные'!Область_печати</vt:lpstr>
      <vt:lpstr>Нормы!Область_печати</vt:lpstr>
      <vt:lpstr>'силос сп-себ овес'!Область_печати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econ03</dc:creator>
  <cp:lastModifiedBy>Любовь</cp:lastModifiedBy>
  <cp:lastPrinted>2021-11-18T02:50:56Z</cp:lastPrinted>
  <dcterms:created xsi:type="dcterms:W3CDTF">2010-11-22T02:43:08Z</dcterms:created>
  <dcterms:modified xsi:type="dcterms:W3CDTF">2022-12-05T01:45:30Z</dcterms:modified>
</cp:coreProperties>
</file>