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85" yWindow="-30" windowWidth="12900" windowHeight="12825" tabRatio="881" activeTab="6"/>
  </bookViews>
  <sheets>
    <sheet name="Содержание" sheetId="89" r:id="rId1"/>
    <sheet name="Нормы" sheetId="90" r:id="rId2"/>
    <sheet name="Исходные данные" sheetId="27" r:id="rId3"/>
    <sheet name="аморт" sheetId="35" r:id="rId4"/>
    <sheet name="Лист2" sheetId="100" state="hidden" r:id="rId5"/>
    <sheet name="Картофель" sheetId="103" r:id="rId6"/>
    <sheet name="Картофель себ" sheetId="106" r:id="rId7"/>
    <sheet name="сенаж бп омич" sheetId="87" state="hidden" r:id="rId8"/>
    <sheet name="сенаж бп-себ омич" sheetId="88" state="hidden" r:id="rId9"/>
    <sheet name="силос сп рапс" sheetId="31" state="hidden" r:id="rId10"/>
    <sheet name="силос сп-себ рапс" sheetId="56" state="hidden" r:id="rId11"/>
    <sheet name="силос сп кукур" sheetId="83" state="hidden" r:id="rId12"/>
    <sheet name="силос сп-себ кукур" sheetId="84" state="hidden" r:id="rId13"/>
    <sheet name="сеноАЗ СВЗ" sheetId="32" state="hidden" r:id="rId14"/>
    <sheet name="сеноЮЗ" sheetId="68" state="hidden" r:id="rId15"/>
    <sheet name="Урожайность" sheetId="81" state="hidden" r:id="rId16"/>
  </sheets>
  <definedNames>
    <definedName name="_xlnm.Print_Titles" localSheetId="3">аморт!$4:$6</definedName>
    <definedName name="_xlnm.Print_Titles" localSheetId="7">'сенаж бп омич'!$A:$A</definedName>
    <definedName name="_xlnm.Print_Titles" localSheetId="13">'сеноАЗ СВЗ'!$B:$E</definedName>
    <definedName name="_xlnm.Print_Titles" localSheetId="14">сеноЮЗ!$B:$E</definedName>
    <definedName name="_xlnm.Print_Titles" localSheetId="11">'силос сп кукур'!$A:$A</definedName>
    <definedName name="_xlnm.Print_Titles" localSheetId="9">'силос сп рапс'!$A:$A</definedName>
    <definedName name="_xlnm.Print_Area" localSheetId="3">аморт!$A$1:$G$98</definedName>
    <definedName name="_xlnm.Print_Area" localSheetId="2">'Исходные данные'!$A$1:$K$143</definedName>
    <definedName name="_xlnm.Print_Area" localSheetId="5">Картофель!$A$1:$BQ$57</definedName>
    <definedName name="_xlnm.Print_Area" localSheetId="6">'Картофель себ'!$A$1:$D$39</definedName>
    <definedName name="_xlnm.Print_Area" localSheetId="1">Нормы!$A$1:$C$40</definedName>
  </definedNames>
  <calcPr calcId="144525"/>
</workbook>
</file>

<file path=xl/calcChain.xml><?xml version="1.0" encoding="utf-8"?>
<calcChain xmlns="http://schemas.openxmlformats.org/spreadsheetml/2006/main">
  <c r="AU26" i="103" l="1"/>
  <c r="AW26" i="103"/>
  <c r="C93" i="27" l="1"/>
  <c r="D93" i="27"/>
  <c r="E93" i="27"/>
  <c r="F93" i="27"/>
  <c r="G93" i="27"/>
  <c r="H93" i="27"/>
  <c r="B93" i="27"/>
  <c r="C88" i="27"/>
  <c r="D88" i="27"/>
  <c r="D99" i="27" s="1"/>
  <c r="E88" i="27"/>
  <c r="F88" i="27"/>
  <c r="F99" i="27" s="1"/>
  <c r="G88" i="27"/>
  <c r="H88" i="27"/>
  <c r="H99" i="27" s="1"/>
  <c r="B88" i="27"/>
  <c r="C78" i="27"/>
  <c r="D78" i="27"/>
  <c r="E78" i="27"/>
  <c r="F78" i="27"/>
  <c r="G78" i="27"/>
  <c r="H78" i="27"/>
  <c r="I78" i="27"/>
  <c r="B78" i="27"/>
  <c r="B99" i="27" l="1"/>
  <c r="G99" i="27"/>
  <c r="E99" i="27"/>
  <c r="C99" i="27"/>
  <c r="BP47" i="103"/>
  <c r="BP46" i="103"/>
  <c r="BP43" i="103"/>
  <c r="BP41" i="103"/>
  <c r="BP40" i="103"/>
  <c r="BP30" i="103"/>
  <c r="BP29" i="103"/>
  <c r="BP26" i="103"/>
  <c r="BP25" i="103"/>
  <c r="BP24" i="103"/>
  <c r="BP21" i="103"/>
  <c r="BP20" i="103"/>
  <c r="BP18" i="103"/>
  <c r="BP15" i="103"/>
  <c r="BP52" i="103"/>
  <c r="BP37" i="103"/>
  <c r="BP36" i="103"/>
  <c r="BP35" i="103"/>
  <c r="BP34" i="103"/>
  <c r="BP17" i="103"/>
  <c r="BP16" i="103"/>
  <c r="BP14" i="103"/>
  <c r="BP13" i="103"/>
  <c r="BP12" i="103"/>
  <c r="BP11" i="103"/>
  <c r="BJ47" i="103"/>
  <c r="BJ46" i="103"/>
  <c r="BJ43" i="103"/>
  <c r="BJ41" i="103"/>
  <c r="BJ40" i="103"/>
  <c r="BJ30" i="103"/>
  <c r="BJ29" i="103"/>
  <c r="BJ26" i="103"/>
  <c r="BJ25" i="103"/>
  <c r="BJ24" i="103"/>
  <c r="BJ21" i="103"/>
  <c r="BJ20" i="103"/>
  <c r="BJ18" i="103"/>
  <c r="BJ15" i="103"/>
  <c r="BJ52" i="103"/>
  <c r="BJ37" i="103"/>
  <c r="BJ36" i="103"/>
  <c r="BJ35" i="103"/>
  <c r="BJ34" i="103"/>
  <c r="BJ17" i="103"/>
  <c r="BJ16" i="103"/>
  <c r="BJ14" i="103"/>
  <c r="BJ13" i="103"/>
  <c r="BJ12" i="103"/>
  <c r="BJ11" i="103"/>
  <c r="BH47" i="103"/>
  <c r="BH46" i="103"/>
  <c r="BH43" i="103"/>
  <c r="BH41" i="103"/>
  <c r="BH40" i="103"/>
  <c r="BH30" i="103"/>
  <c r="BH29" i="103"/>
  <c r="BH26" i="103"/>
  <c r="BH25" i="103"/>
  <c r="BH24" i="103"/>
  <c r="BH21" i="103"/>
  <c r="BH20" i="103"/>
  <c r="BH18" i="103"/>
  <c r="BH15" i="103"/>
  <c r="BH37" i="103"/>
  <c r="BH36" i="103"/>
  <c r="BH35" i="103"/>
  <c r="BH34" i="103"/>
  <c r="BH52" i="103"/>
  <c r="BH17" i="103"/>
  <c r="BH16" i="103"/>
  <c r="BH14" i="103"/>
  <c r="BH13" i="103"/>
  <c r="BH12" i="103"/>
  <c r="BH11" i="103"/>
  <c r="BF47" i="103"/>
  <c r="BF46" i="103"/>
  <c r="BF43" i="103"/>
  <c r="BF41" i="103"/>
  <c r="BF40" i="103"/>
  <c r="BF30" i="103"/>
  <c r="BF29" i="103"/>
  <c r="BF26" i="103"/>
  <c r="BF25" i="103"/>
  <c r="BF24" i="103"/>
  <c r="BF21" i="103"/>
  <c r="BF20" i="103"/>
  <c r="BF18" i="103"/>
  <c r="BF15" i="103"/>
  <c r="BF52" i="103"/>
  <c r="BF37" i="103"/>
  <c r="BF36" i="103"/>
  <c r="BF35" i="103"/>
  <c r="BF34" i="103"/>
  <c r="BF17" i="103"/>
  <c r="BF16" i="103"/>
  <c r="BF14" i="103"/>
  <c r="BF13" i="103"/>
  <c r="BF12" i="103"/>
  <c r="BF11" i="103"/>
  <c r="D69" i="27"/>
  <c r="C69" i="27"/>
  <c r="B65" i="27"/>
  <c r="B64" i="27"/>
  <c r="E79" i="27" l="1"/>
  <c r="D79" i="27"/>
  <c r="F79" i="27"/>
  <c r="H79" i="27"/>
  <c r="B79" i="27"/>
  <c r="C79" i="27"/>
  <c r="G79" i="27"/>
  <c r="I79" i="27"/>
  <c r="F80" i="27"/>
  <c r="C80" i="27"/>
  <c r="E80" i="27"/>
  <c r="G80" i="27"/>
  <c r="I80" i="27"/>
  <c r="D80" i="27"/>
  <c r="H80" i="27"/>
  <c r="B80" i="27"/>
  <c r="B5" i="106"/>
  <c r="G81" i="27" l="1"/>
  <c r="G84" i="27" s="1"/>
  <c r="B81" i="27"/>
  <c r="G83" i="27"/>
  <c r="B84" i="27"/>
  <c r="B83" i="27"/>
  <c r="F81" i="27"/>
  <c r="E81" i="27"/>
  <c r="I81" i="27"/>
  <c r="C81" i="27"/>
  <c r="H81" i="27"/>
  <c r="D81" i="27"/>
  <c r="A12" i="103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R43" i="103" l="1"/>
  <c r="AR46" i="103"/>
  <c r="AR30" i="103"/>
  <c r="AR21" i="103"/>
  <c r="AR47" i="103"/>
  <c r="AR29" i="103"/>
  <c r="AR12" i="103"/>
  <c r="AR41" i="103"/>
  <c r="AR26" i="103"/>
  <c r="AR18" i="103"/>
  <c r="AR40" i="103"/>
  <c r="AR24" i="103"/>
  <c r="AR15" i="103"/>
  <c r="AR20" i="103"/>
  <c r="D84" i="27"/>
  <c r="D83" i="27"/>
  <c r="C83" i="27"/>
  <c r="C84" i="27"/>
  <c r="E84" i="27"/>
  <c r="E83" i="27"/>
  <c r="H84" i="27"/>
  <c r="H83" i="27"/>
  <c r="I83" i="27"/>
  <c r="I84" i="27"/>
  <c r="F84" i="27"/>
  <c r="F83" i="27"/>
  <c r="G37" i="103"/>
  <c r="G36" i="103"/>
  <c r="G35" i="103"/>
  <c r="G34" i="103"/>
  <c r="C40" i="90"/>
  <c r="B40" i="90"/>
  <c r="C34" i="90"/>
  <c r="B34" i="90"/>
  <c r="C28" i="90"/>
  <c r="B28" i="90"/>
  <c r="C22" i="90"/>
  <c r="B22" i="90"/>
  <c r="C16" i="90"/>
  <c r="B16" i="90"/>
  <c r="G33" i="103"/>
  <c r="AR17" i="103" l="1"/>
  <c r="AR16" i="103"/>
  <c r="AR11" i="103"/>
  <c r="AR52" i="103"/>
  <c r="AR13" i="103"/>
  <c r="AR14" i="103"/>
  <c r="B8" i="27"/>
  <c r="E31" i="35"/>
  <c r="J30" i="103" l="1"/>
  <c r="C91" i="35" l="1"/>
  <c r="C88" i="35"/>
  <c r="C73" i="35"/>
  <c r="C34" i="35"/>
  <c r="C26" i="35"/>
  <c r="C22" i="35"/>
  <c r="C15" i="35"/>
  <c r="F91" i="35" l="1"/>
  <c r="F74" i="35"/>
  <c r="F26" i="35"/>
  <c r="E8" i="35"/>
  <c r="G8" i="35" s="1"/>
  <c r="E9" i="35"/>
  <c r="G9" i="35" s="1"/>
  <c r="E10" i="35"/>
  <c r="G10" i="35" s="1"/>
  <c r="E11" i="35"/>
  <c r="G11" i="35" s="1"/>
  <c r="E12" i="35"/>
  <c r="G12" i="35" s="1"/>
  <c r="E13" i="35"/>
  <c r="G13" i="35" s="1"/>
  <c r="E14" i="35"/>
  <c r="G14" i="35" s="1"/>
  <c r="E15" i="35"/>
  <c r="G15" i="35" s="1"/>
  <c r="E16" i="35"/>
  <c r="G16" i="35" s="1"/>
  <c r="E17" i="35"/>
  <c r="G17" i="35" s="1"/>
  <c r="E18" i="35"/>
  <c r="G18" i="35" s="1"/>
  <c r="E19" i="35"/>
  <c r="G19" i="35" s="1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G26" i="35" s="1"/>
  <c r="E27" i="35"/>
  <c r="G27" i="35" s="1"/>
  <c r="E28" i="35"/>
  <c r="G28" i="35" s="1"/>
  <c r="E29" i="35"/>
  <c r="G29" i="35" s="1"/>
  <c r="E30" i="35"/>
  <c r="G30" i="35" s="1"/>
  <c r="G31" i="35"/>
  <c r="E32" i="35"/>
  <c r="G32" i="35" s="1"/>
  <c r="E33" i="35"/>
  <c r="G33" i="35" s="1"/>
  <c r="E34" i="35"/>
  <c r="G34" i="35" s="1"/>
  <c r="E35" i="35"/>
  <c r="G35" i="35" s="1"/>
  <c r="E36" i="35"/>
  <c r="G36" i="35" s="1"/>
  <c r="E37" i="35"/>
  <c r="G37" i="35" s="1"/>
  <c r="E38" i="35"/>
  <c r="G38" i="35" s="1"/>
  <c r="E39" i="35"/>
  <c r="G39" i="35" s="1"/>
  <c r="E40" i="35"/>
  <c r="G40" i="35" s="1"/>
  <c r="E41" i="35"/>
  <c r="G41" i="35" s="1"/>
  <c r="E42" i="35"/>
  <c r="G42" i="35" s="1"/>
  <c r="E43" i="35"/>
  <c r="G43" i="35" s="1"/>
  <c r="E44" i="35"/>
  <c r="G44" i="35" s="1"/>
  <c r="E45" i="35"/>
  <c r="G45" i="35" s="1"/>
  <c r="E46" i="35"/>
  <c r="G46" i="35" s="1"/>
  <c r="E47" i="35"/>
  <c r="G47" i="35" s="1"/>
  <c r="E48" i="35"/>
  <c r="G48" i="35" s="1"/>
  <c r="E49" i="35"/>
  <c r="G49" i="35" s="1"/>
  <c r="E50" i="35"/>
  <c r="G50" i="35" s="1"/>
  <c r="E51" i="35"/>
  <c r="G51" i="35" s="1"/>
  <c r="E52" i="35"/>
  <c r="G52" i="35" s="1"/>
  <c r="E53" i="35"/>
  <c r="G53" i="35" s="1"/>
  <c r="E54" i="35"/>
  <c r="G54" i="35" s="1"/>
  <c r="E55" i="35"/>
  <c r="G55" i="35" s="1"/>
  <c r="E56" i="35"/>
  <c r="G56" i="35" s="1"/>
  <c r="E57" i="35"/>
  <c r="G57" i="35" s="1"/>
  <c r="E58" i="35"/>
  <c r="G58" i="35" s="1"/>
  <c r="E59" i="35"/>
  <c r="G59" i="35" s="1"/>
  <c r="E60" i="35"/>
  <c r="G60" i="35" s="1"/>
  <c r="E61" i="35"/>
  <c r="G61" i="35" s="1"/>
  <c r="E62" i="35"/>
  <c r="G62" i="35" s="1"/>
  <c r="E63" i="35"/>
  <c r="G63" i="35" s="1"/>
  <c r="E64" i="35"/>
  <c r="G64" i="35" s="1"/>
  <c r="E65" i="35"/>
  <c r="G65" i="35" s="1"/>
  <c r="E66" i="35"/>
  <c r="G66" i="35" s="1"/>
  <c r="E67" i="35"/>
  <c r="G67" i="35" s="1"/>
  <c r="E68" i="35"/>
  <c r="G68" i="35" s="1"/>
  <c r="E69" i="35"/>
  <c r="G69" i="35" s="1"/>
  <c r="E70" i="35"/>
  <c r="G70" i="35" s="1"/>
  <c r="E71" i="35"/>
  <c r="G71" i="35" s="1"/>
  <c r="E72" i="35"/>
  <c r="G72" i="35" s="1"/>
  <c r="E73" i="35"/>
  <c r="G73" i="35" s="1"/>
  <c r="E74" i="35"/>
  <c r="G74" i="35" s="1"/>
  <c r="E75" i="35"/>
  <c r="G75" i="35" s="1"/>
  <c r="E76" i="35"/>
  <c r="G76" i="35" s="1"/>
  <c r="E77" i="35"/>
  <c r="G77" i="35" s="1"/>
  <c r="E78" i="35"/>
  <c r="G78" i="35" s="1"/>
  <c r="E79" i="35"/>
  <c r="G79" i="35" s="1"/>
  <c r="E80" i="35"/>
  <c r="G80" i="35" s="1"/>
  <c r="E81" i="35"/>
  <c r="G81" i="35" s="1"/>
  <c r="E82" i="35"/>
  <c r="G82" i="35" s="1"/>
  <c r="E83" i="35"/>
  <c r="G83" i="35" s="1"/>
  <c r="E84" i="35"/>
  <c r="G84" i="35" s="1"/>
  <c r="E85" i="35"/>
  <c r="G85" i="35" s="1"/>
  <c r="E86" i="35"/>
  <c r="G86" i="35" s="1"/>
  <c r="E87" i="35"/>
  <c r="G87" i="35" s="1"/>
  <c r="E88" i="35"/>
  <c r="G88" i="35" s="1"/>
  <c r="E89" i="35"/>
  <c r="G89" i="35" s="1"/>
  <c r="E90" i="35"/>
  <c r="G90" i="35" s="1"/>
  <c r="E91" i="35"/>
  <c r="G91" i="35" s="1"/>
  <c r="E92" i="35"/>
  <c r="G92" i="35" s="1"/>
  <c r="E93" i="35"/>
  <c r="G93" i="35" s="1"/>
  <c r="E94" i="35"/>
  <c r="G94" i="35" s="1"/>
  <c r="E95" i="35"/>
  <c r="G95" i="35" s="1"/>
  <c r="E96" i="35"/>
  <c r="G96" i="35" s="1"/>
  <c r="E97" i="35"/>
  <c r="G97" i="35" s="1"/>
  <c r="E98" i="35"/>
  <c r="G98" i="35" s="1"/>
  <c r="E7" i="35"/>
  <c r="G7" i="35" s="1"/>
  <c r="A5" i="89" l="1"/>
  <c r="A6" i="89" s="1"/>
  <c r="I2" i="103" l="1"/>
  <c r="M2" i="103" s="1"/>
  <c r="J11" i="103"/>
  <c r="B6" i="106" l="1"/>
  <c r="B24" i="106" s="1"/>
  <c r="C14" i="106"/>
  <c r="C24" i="106" l="1"/>
  <c r="B23" i="106"/>
  <c r="C23" i="106" s="1"/>
  <c r="AZ21" i="103" l="1"/>
  <c r="AZ15" i="103"/>
  <c r="AV26" i="103"/>
  <c r="AX15" i="103"/>
  <c r="AT26" i="103"/>
  <c r="AO52" i="103"/>
  <c r="AO47" i="103"/>
  <c r="AO46" i="103"/>
  <c r="AO43" i="103"/>
  <c r="AO41" i="103"/>
  <c r="AO40" i="103"/>
  <c r="AO37" i="103"/>
  <c r="AO36" i="103"/>
  <c r="AO35" i="103"/>
  <c r="AO34" i="103"/>
  <c r="AO33" i="103"/>
  <c r="AO30" i="103"/>
  <c r="AO29" i="103"/>
  <c r="AO12" i="103"/>
  <c r="AO13" i="103"/>
  <c r="AO14" i="103"/>
  <c r="AO15" i="103"/>
  <c r="AO16" i="103"/>
  <c r="AO17" i="103"/>
  <c r="AO18" i="103"/>
  <c r="AO19" i="103"/>
  <c r="AO20" i="103"/>
  <c r="AO21" i="103"/>
  <c r="AO22" i="103"/>
  <c r="AO23" i="103"/>
  <c r="AO24" i="103"/>
  <c r="AO25" i="103"/>
  <c r="AO26" i="103"/>
  <c r="AO11" i="103"/>
  <c r="Q56" i="103"/>
  <c r="R56" i="103"/>
  <c r="S56" i="103"/>
  <c r="Q53" i="103"/>
  <c r="S53" i="103"/>
  <c r="T53" i="103"/>
  <c r="Q50" i="103"/>
  <c r="S50" i="103"/>
  <c r="Q38" i="103"/>
  <c r="S38" i="103"/>
  <c r="T38" i="103"/>
  <c r="Q31" i="103"/>
  <c r="S31" i="103"/>
  <c r="T31" i="103"/>
  <c r="Q27" i="103"/>
  <c r="S27" i="103"/>
  <c r="S57" i="103" s="1"/>
  <c r="BQ56" i="103"/>
  <c r="BL56" i="103"/>
  <c r="BK56" i="103"/>
  <c r="BI56" i="103"/>
  <c r="BG56" i="103"/>
  <c r="BE56" i="103"/>
  <c r="BA56" i="103"/>
  <c r="AY56" i="103"/>
  <c r="AW56" i="103"/>
  <c r="AU56" i="103"/>
  <c r="AS56" i="103"/>
  <c r="AP56" i="103"/>
  <c r="M56" i="103"/>
  <c r="O55" i="103"/>
  <c r="U55" i="103" s="1"/>
  <c r="L55" i="103"/>
  <c r="J55" i="103"/>
  <c r="BA53" i="103"/>
  <c r="AY53" i="103"/>
  <c r="AW53" i="103"/>
  <c r="AU53" i="103"/>
  <c r="N53" i="103"/>
  <c r="P52" i="103"/>
  <c r="J52" i="103"/>
  <c r="J53" i="103" s="1"/>
  <c r="G52" i="103"/>
  <c r="BA50" i="103"/>
  <c r="AY50" i="103"/>
  <c r="AW50" i="103"/>
  <c r="AU50" i="103"/>
  <c r="O49" i="103"/>
  <c r="J49" i="103"/>
  <c r="BE49" i="103" s="1"/>
  <c r="O48" i="103"/>
  <c r="U48" i="103" s="1"/>
  <c r="J48" i="103"/>
  <c r="BC48" i="103" s="1"/>
  <c r="J47" i="103"/>
  <c r="J46" i="103"/>
  <c r="O45" i="103"/>
  <c r="U45" i="103" s="1"/>
  <c r="J45" i="103"/>
  <c r="BC45" i="103" s="1"/>
  <c r="O44" i="103"/>
  <c r="U44" i="103" s="1"/>
  <c r="J44" i="103"/>
  <c r="BC44" i="103" s="1"/>
  <c r="G44" i="103"/>
  <c r="L44" i="103" s="1"/>
  <c r="P43" i="103"/>
  <c r="V43" i="103" s="1"/>
  <c r="J43" i="103"/>
  <c r="G43" i="103"/>
  <c r="O42" i="103"/>
  <c r="U42" i="103" s="1"/>
  <c r="J42" i="103"/>
  <c r="BC42" i="103" s="1"/>
  <c r="P41" i="103"/>
  <c r="V41" i="103" s="1"/>
  <c r="J41" i="103"/>
  <c r="P40" i="103"/>
  <c r="J40" i="103"/>
  <c r="G40" i="103"/>
  <c r="AP40" i="103" s="1"/>
  <c r="BA38" i="103"/>
  <c r="AY38" i="103"/>
  <c r="AW38" i="103"/>
  <c r="AU38" i="103"/>
  <c r="N38" i="103"/>
  <c r="P37" i="103"/>
  <c r="V37" i="103" s="1"/>
  <c r="J37" i="103"/>
  <c r="L37" i="103"/>
  <c r="P36" i="103"/>
  <c r="J36" i="103"/>
  <c r="L36" i="103"/>
  <c r="P35" i="103"/>
  <c r="J35" i="103"/>
  <c r="L35" i="103"/>
  <c r="M35" i="103" s="1"/>
  <c r="C35" i="103" s="1"/>
  <c r="P34" i="103"/>
  <c r="V34" i="103" s="1"/>
  <c r="J34" i="103"/>
  <c r="L34" i="103"/>
  <c r="A34" i="103"/>
  <c r="A35" i="103" s="1"/>
  <c r="A36" i="103" s="1"/>
  <c r="A37" i="103" s="1"/>
  <c r="P33" i="103"/>
  <c r="V33" i="103" s="1"/>
  <c r="J33" i="103"/>
  <c r="BA31" i="103"/>
  <c r="AY31" i="103"/>
  <c r="AW31" i="103"/>
  <c r="AU31" i="103"/>
  <c r="N31" i="103"/>
  <c r="P30" i="103"/>
  <c r="V30" i="103" s="1"/>
  <c r="G30" i="103"/>
  <c r="L30" i="103" s="1"/>
  <c r="M30" i="103" s="1"/>
  <c r="C30" i="103" s="1"/>
  <c r="P29" i="103"/>
  <c r="V29" i="103" s="1"/>
  <c r="V31" i="103" s="1"/>
  <c r="J29" i="103"/>
  <c r="J31" i="103" s="1"/>
  <c r="G29" i="103"/>
  <c r="L29" i="103" s="1"/>
  <c r="J26" i="103"/>
  <c r="G26" i="103"/>
  <c r="AP26" i="103" s="1"/>
  <c r="J25" i="103"/>
  <c r="J24" i="103"/>
  <c r="J23" i="103"/>
  <c r="O22" i="103"/>
  <c r="J22" i="103"/>
  <c r="J21" i="103"/>
  <c r="G21" i="103"/>
  <c r="J20" i="103"/>
  <c r="O19" i="103"/>
  <c r="U19" i="103" s="1"/>
  <c r="J19" i="103"/>
  <c r="J18" i="103"/>
  <c r="P17" i="103"/>
  <c r="V17" i="103" s="1"/>
  <c r="J17" i="103"/>
  <c r="J16" i="103"/>
  <c r="P15" i="103"/>
  <c r="V15" i="103" s="1"/>
  <c r="J15" i="103"/>
  <c r="G15" i="103"/>
  <c r="P14" i="103"/>
  <c r="V14" i="103" s="1"/>
  <c r="J14" i="103"/>
  <c r="G14" i="103"/>
  <c r="AP14" i="103" s="1"/>
  <c r="P13" i="103"/>
  <c r="V13" i="103" s="1"/>
  <c r="J13" i="103"/>
  <c r="P12" i="103"/>
  <c r="V12" i="103" s="1"/>
  <c r="J12" i="103"/>
  <c r="P11" i="103"/>
  <c r="V11" i="103" s="1"/>
  <c r="G9" i="103"/>
  <c r="H9" i="103" s="1"/>
  <c r="I9" i="103" s="1"/>
  <c r="J9" i="103" s="1"/>
  <c r="K9" i="103" s="1"/>
  <c r="L9" i="103" s="1"/>
  <c r="M9" i="103" s="1"/>
  <c r="N9" i="103" s="1"/>
  <c r="O9" i="103" s="1"/>
  <c r="P9" i="103" s="1"/>
  <c r="Q9" i="103" s="1"/>
  <c r="R9" i="103" s="1"/>
  <c r="S9" i="103" s="1"/>
  <c r="T9" i="103" s="1"/>
  <c r="U9" i="103" s="1"/>
  <c r="V9" i="103" s="1"/>
  <c r="W9" i="103" s="1"/>
  <c r="X9" i="103" s="1"/>
  <c r="Y9" i="103" s="1"/>
  <c r="Z9" i="103" s="1"/>
  <c r="AA9" i="103" s="1"/>
  <c r="AB9" i="103" s="1"/>
  <c r="AC9" i="103" s="1"/>
  <c r="AD9" i="103" s="1"/>
  <c r="AE9" i="103" s="1"/>
  <c r="AF9" i="103" s="1"/>
  <c r="AG9" i="103" s="1"/>
  <c r="AH9" i="103" s="1"/>
  <c r="AI9" i="103" s="1"/>
  <c r="AJ9" i="103" s="1"/>
  <c r="AK9" i="103" s="1"/>
  <c r="AL9" i="103" s="1"/>
  <c r="AM9" i="103" s="1"/>
  <c r="AN9" i="103" s="1"/>
  <c r="AO9" i="103" s="1"/>
  <c r="AP9" i="103" s="1"/>
  <c r="AQ9" i="103" s="1"/>
  <c r="AR9" i="103" s="1"/>
  <c r="AS9" i="103" s="1"/>
  <c r="AT9" i="103" s="1"/>
  <c r="AU9" i="103" s="1"/>
  <c r="AV9" i="103" s="1"/>
  <c r="AW9" i="103" s="1"/>
  <c r="AX9" i="103" s="1"/>
  <c r="AY9" i="103" s="1"/>
  <c r="AZ9" i="103" s="1"/>
  <c r="BA9" i="103" s="1"/>
  <c r="BB9" i="103" s="1"/>
  <c r="BC9" i="103" s="1"/>
  <c r="BD9" i="103" s="1"/>
  <c r="BE9" i="103" s="1"/>
  <c r="BF9" i="103" s="1"/>
  <c r="BG9" i="103" s="1"/>
  <c r="BH9" i="103" s="1"/>
  <c r="BI9" i="103" s="1"/>
  <c r="BJ9" i="103" s="1"/>
  <c r="BK9" i="103" s="1"/>
  <c r="BL9" i="103" s="1"/>
  <c r="BM9" i="103" s="1"/>
  <c r="BN9" i="103" s="1"/>
  <c r="BO9" i="103" s="1"/>
  <c r="BP9" i="103" s="1"/>
  <c r="BQ9" i="103" s="1"/>
  <c r="B9" i="103"/>
  <c r="A9" i="103"/>
  <c r="B7" i="106"/>
  <c r="B8" i="106" s="1"/>
  <c r="M37" i="103" l="1"/>
  <c r="C37" i="103" s="1"/>
  <c r="B9" i="106"/>
  <c r="N44" i="103"/>
  <c r="M34" i="103"/>
  <c r="C34" i="103" s="1"/>
  <c r="V40" i="103"/>
  <c r="AB40" i="103" s="1"/>
  <c r="BE48" i="103"/>
  <c r="W49" i="103"/>
  <c r="U49" i="103"/>
  <c r="AA49" i="103" s="1"/>
  <c r="P53" i="103"/>
  <c r="V52" i="103"/>
  <c r="V53" i="103" s="1"/>
  <c r="R22" i="103"/>
  <c r="U22" i="103" s="1"/>
  <c r="AA22" i="103" s="1"/>
  <c r="M36" i="103"/>
  <c r="C36" i="103" s="1"/>
  <c r="BC49" i="103"/>
  <c r="N55" i="103"/>
  <c r="N56" i="103" s="1"/>
  <c r="L56" i="103"/>
  <c r="V36" i="103"/>
  <c r="AB36" i="103" s="1"/>
  <c r="X35" i="103"/>
  <c r="V35" i="103"/>
  <c r="AB35" i="103" s="1"/>
  <c r="M29" i="103"/>
  <c r="M31" i="103" s="1"/>
  <c r="P31" i="103"/>
  <c r="AP35" i="103"/>
  <c r="Q57" i="103"/>
  <c r="AP52" i="103"/>
  <c r="AP53" i="103" s="1"/>
  <c r="P38" i="103"/>
  <c r="BQ34" i="103"/>
  <c r="BK34" i="103" s="1"/>
  <c r="BQ36" i="103"/>
  <c r="BI36" i="103" s="1"/>
  <c r="L33" i="103"/>
  <c r="M33" i="103" s="1"/>
  <c r="AP21" i="103"/>
  <c r="AY15" i="103"/>
  <c r="AY21" i="103"/>
  <c r="AU27" i="103"/>
  <c r="AU57" i="103" s="1"/>
  <c r="X34" i="103"/>
  <c r="Z34" i="103" s="1"/>
  <c r="AB34" i="103"/>
  <c r="AP34" i="103"/>
  <c r="X36" i="103"/>
  <c r="X37" i="103"/>
  <c r="Z37" i="103" s="1"/>
  <c r="AB37" i="103"/>
  <c r="AP37" i="103"/>
  <c r="X33" i="103"/>
  <c r="Z33" i="103" s="1"/>
  <c r="AB33" i="103"/>
  <c r="AP33" i="103"/>
  <c r="AP36" i="103"/>
  <c r="AB15" i="103"/>
  <c r="X15" i="103"/>
  <c r="Z15" i="103" s="1"/>
  <c r="G42" i="103"/>
  <c r="L42" i="103" s="1"/>
  <c r="N42" i="103" s="1"/>
  <c r="G45" i="103"/>
  <c r="J27" i="103"/>
  <c r="X11" i="103"/>
  <c r="Z11" i="103" s="1"/>
  <c r="AB11" i="103"/>
  <c r="X12" i="103"/>
  <c r="Z12" i="103" s="1"/>
  <c r="AB12" i="103"/>
  <c r="AB14" i="103"/>
  <c r="X14" i="103"/>
  <c r="G16" i="103"/>
  <c r="G17" i="103" s="1"/>
  <c r="AP15" i="103"/>
  <c r="L15" i="103"/>
  <c r="M15" i="103" s="1"/>
  <c r="C15" i="103" s="1"/>
  <c r="AB17" i="103"/>
  <c r="X17" i="103"/>
  <c r="L21" i="103"/>
  <c r="L31" i="103"/>
  <c r="BQ29" i="103"/>
  <c r="BQ30" i="103"/>
  <c r="BK30" i="103" s="1"/>
  <c r="L14" i="103"/>
  <c r="M14" i="103" s="1"/>
  <c r="C14" i="103" s="1"/>
  <c r="W19" i="103"/>
  <c r="BE19" i="103"/>
  <c r="BG34" i="103"/>
  <c r="L26" i="103"/>
  <c r="X29" i="103"/>
  <c r="Z29" i="103" s="1"/>
  <c r="AB29" i="103"/>
  <c r="AP29" i="103"/>
  <c r="X30" i="103"/>
  <c r="AB30" i="103"/>
  <c r="AP30" i="103"/>
  <c r="J38" i="103"/>
  <c r="BQ35" i="103"/>
  <c r="BQ37" i="103"/>
  <c r="J50" i="103"/>
  <c r="X40" i="103"/>
  <c r="G41" i="103"/>
  <c r="AP43" i="103"/>
  <c r="AA44" i="103"/>
  <c r="W44" i="103"/>
  <c r="L40" i="103"/>
  <c r="M40" i="103" s="1"/>
  <c r="AB41" i="103"/>
  <c r="X41" i="103"/>
  <c r="Z41" i="103" s="1"/>
  <c r="AA42" i="103"/>
  <c r="W42" i="103"/>
  <c r="L43" i="103"/>
  <c r="M43" i="103" s="1"/>
  <c r="C43" i="103" s="1"/>
  <c r="W45" i="103"/>
  <c r="Y45" i="103" s="1"/>
  <c r="AA45" i="103"/>
  <c r="W48" i="103"/>
  <c r="Y48" i="103" s="1"/>
  <c r="AA48" i="103"/>
  <c r="X52" i="103"/>
  <c r="X53" i="103" s="1"/>
  <c r="L52" i="103"/>
  <c r="M52" i="103" s="1"/>
  <c r="J56" i="103"/>
  <c r="BC55" i="103"/>
  <c r="BC56" i="103" s="1"/>
  <c r="O56" i="103"/>
  <c r="AA55" i="103"/>
  <c r="AA56" i="103" s="1"/>
  <c r="W55" i="103"/>
  <c r="W56" i="103" s="1"/>
  <c r="BD33" i="103"/>
  <c r="BD15" i="103"/>
  <c r="BD21" i="103"/>
  <c r="BD12" i="103"/>
  <c r="Z36" i="103" l="1"/>
  <c r="AE36" i="103" s="1"/>
  <c r="W22" i="103"/>
  <c r="Y49" i="103"/>
  <c r="AD49" i="103" s="1"/>
  <c r="AB52" i="103"/>
  <c r="AB53" i="103" s="1"/>
  <c r="BI34" i="103"/>
  <c r="Y22" i="103"/>
  <c r="AD22" i="103" s="1"/>
  <c r="BG36" i="103"/>
  <c r="BK36" i="103"/>
  <c r="Z35" i="103"/>
  <c r="AE35" i="103" s="1"/>
  <c r="L38" i="103"/>
  <c r="V38" i="103"/>
  <c r="C29" i="103"/>
  <c r="C40" i="103"/>
  <c r="M38" i="103"/>
  <c r="C33" i="103"/>
  <c r="C52" i="103"/>
  <c r="M53" i="103"/>
  <c r="N26" i="103"/>
  <c r="M26" i="103"/>
  <c r="C26" i="103" s="1"/>
  <c r="N21" i="103"/>
  <c r="M21" i="103"/>
  <c r="C21" i="103" s="1"/>
  <c r="AY27" i="103"/>
  <c r="BB47" i="103"/>
  <c r="BB43" i="103"/>
  <c r="BB40" i="103"/>
  <c r="BB29" i="103"/>
  <c r="BB25" i="103"/>
  <c r="BB12" i="103"/>
  <c r="BB21" i="103"/>
  <c r="BB18" i="103"/>
  <c r="BB46" i="103"/>
  <c r="BB41" i="103"/>
  <c r="BB30" i="103"/>
  <c r="BB26" i="103"/>
  <c r="BB24" i="103"/>
  <c r="BB20" i="103"/>
  <c r="BB15" i="103"/>
  <c r="BB37" i="103"/>
  <c r="BB35" i="103"/>
  <c r="BB16" i="103"/>
  <c r="BB14" i="103"/>
  <c r="BB52" i="103"/>
  <c r="BB36" i="103"/>
  <c r="BB34" i="103"/>
  <c r="BB17" i="103"/>
  <c r="BB13" i="103"/>
  <c r="BB11" i="103"/>
  <c r="BD40" i="103"/>
  <c r="BD16" i="103"/>
  <c r="BD29" i="103"/>
  <c r="BD11" i="103"/>
  <c r="BD36" i="103"/>
  <c r="BD34" i="103"/>
  <c r="BD35" i="103"/>
  <c r="BD37" i="103"/>
  <c r="BD18" i="103"/>
  <c r="BD30" i="103"/>
  <c r="BD26" i="103"/>
  <c r="BD14" i="103"/>
  <c r="BA15" i="103"/>
  <c r="AB38" i="103"/>
  <c r="AE15" i="103"/>
  <c r="AE12" i="103"/>
  <c r="G11" i="103"/>
  <c r="G12" i="103" s="1"/>
  <c r="AW27" i="103"/>
  <c r="AW57" i="103" s="1"/>
  <c r="B12" i="106" s="1"/>
  <c r="AP38" i="103"/>
  <c r="AE41" i="103"/>
  <c r="AE34" i="103"/>
  <c r="AD48" i="103"/>
  <c r="Y55" i="103"/>
  <c r="Y56" i="103" s="1"/>
  <c r="AE37" i="103"/>
  <c r="Z52" i="103"/>
  <c r="Z53" i="103" s="1"/>
  <c r="AE33" i="103"/>
  <c r="X38" i="103"/>
  <c r="AE29" i="103"/>
  <c r="AY57" i="103"/>
  <c r="G22" i="103"/>
  <c r="BA21" i="103"/>
  <c r="BA27" i="103" s="1"/>
  <c r="BA57" i="103" s="1"/>
  <c r="B13" i="106" s="1"/>
  <c r="C13" i="106" s="1"/>
  <c r="G18" i="103"/>
  <c r="AP41" i="103"/>
  <c r="L41" i="103"/>
  <c r="M41" i="103" s="1"/>
  <c r="C41" i="103" s="1"/>
  <c r="BI37" i="103"/>
  <c r="BK37" i="103"/>
  <c r="BG37" i="103"/>
  <c r="BK35" i="103"/>
  <c r="BK38" i="103" s="1"/>
  <c r="BG35" i="103"/>
  <c r="BI35" i="103"/>
  <c r="BQ26" i="103"/>
  <c r="BQ14" i="103"/>
  <c r="BG30" i="103"/>
  <c r="BI30" i="103"/>
  <c r="BQ31" i="103"/>
  <c r="BG29" i="103"/>
  <c r="BI29" i="103"/>
  <c r="BQ21" i="103"/>
  <c r="J57" i="103"/>
  <c r="AE11" i="103"/>
  <c r="L53" i="103"/>
  <c r="BQ52" i="103"/>
  <c r="AD45" i="103"/>
  <c r="AB43" i="103"/>
  <c r="X43" i="103"/>
  <c r="Z43" i="103" s="1"/>
  <c r="BQ43" i="103"/>
  <c r="Y42" i="103"/>
  <c r="AD42" i="103" s="1"/>
  <c r="BQ40" i="103"/>
  <c r="Y44" i="103"/>
  <c r="AD44" i="103" s="1"/>
  <c r="Z40" i="103"/>
  <c r="Z30" i="103"/>
  <c r="AE30" i="103" s="1"/>
  <c r="AP31" i="103"/>
  <c r="AB31" i="103"/>
  <c r="X31" i="103"/>
  <c r="AB13" i="103"/>
  <c r="X13" i="103"/>
  <c r="Z13" i="103" s="1"/>
  <c r="BQ38" i="103"/>
  <c r="Y19" i="103"/>
  <c r="BK29" i="103"/>
  <c r="BK31" i="103" s="1"/>
  <c r="AA19" i="103"/>
  <c r="Z17" i="103"/>
  <c r="AE17" i="103" s="1"/>
  <c r="BQ15" i="103"/>
  <c r="AP16" i="103"/>
  <c r="L16" i="103"/>
  <c r="Z14" i="103"/>
  <c r="AE14" i="103" s="1"/>
  <c r="G46" i="103"/>
  <c r="L45" i="103"/>
  <c r="N45" i="103" s="1"/>
  <c r="A112" i="100"/>
  <c r="A113" i="100" s="1"/>
  <c r="A114" i="100" s="1"/>
  <c r="A115" i="100" s="1"/>
  <c r="A95" i="100"/>
  <c r="A96" i="100" s="1"/>
  <c r="A97" i="100" s="1"/>
  <c r="A98" i="100" s="1"/>
  <c r="A99" i="100" s="1"/>
  <c r="A90" i="100"/>
  <c r="A91" i="100" s="1"/>
  <c r="A92" i="100" s="1"/>
  <c r="A93" i="100" s="1"/>
  <c r="A94" i="100" s="1"/>
  <c r="A85" i="100"/>
  <c r="A86" i="100" s="1"/>
  <c r="E84" i="100"/>
  <c r="E83" i="100"/>
  <c r="A81" i="100"/>
  <c r="A77" i="100"/>
  <c r="E76" i="100"/>
  <c r="E74" i="100"/>
  <c r="E73" i="100"/>
  <c r="E72" i="100"/>
  <c r="E71" i="100"/>
  <c r="E67" i="100"/>
  <c r="E66" i="100"/>
  <c r="E65" i="100"/>
  <c r="A65" i="100"/>
  <c r="A66" i="100" s="1"/>
  <c r="A67" i="100" s="1"/>
  <c r="A68" i="100" s="1"/>
  <c r="A69" i="100" s="1"/>
  <c r="A70" i="100" s="1"/>
  <c r="A71" i="100" s="1"/>
  <c r="A72" i="100" s="1"/>
  <c r="A73" i="100" s="1"/>
  <c r="A74" i="100" s="1"/>
  <c r="E64" i="100"/>
  <c r="A59" i="100"/>
  <c r="A60" i="100" s="1"/>
  <c r="A61" i="100" s="1"/>
  <c r="A62" i="100" s="1"/>
  <c r="A45" i="100"/>
  <c r="A46" i="100" s="1"/>
  <c r="A47" i="100" s="1"/>
  <c r="A48" i="100" s="1"/>
  <c r="A49" i="100" s="1"/>
  <c r="A50" i="100" s="1"/>
  <c r="A51" i="100" s="1"/>
  <c r="A52" i="100" s="1"/>
  <c r="A38" i="100"/>
  <c r="A39" i="100" s="1"/>
  <c r="A40" i="100" s="1"/>
  <c r="A41" i="100" s="1"/>
  <c r="A42" i="100" s="1"/>
  <c r="A35" i="100"/>
  <c r="A23" i="100"/>
  <c r="A24" i="100" s="1"/>
  <c r="A25" i="100" s="1"/>
  <c r="A26" i="100" s="1"/>
  <c r="A27" i="100" s="1"/>
  <c r="A28" i="100" s="1"/>
  <c r="A29" i="100" s="1"/>
  <c r="A30" i="100" s="1"/>
  <c r="A31" i="100" s="1"/>
  <c r="A32" i="100" s="1"/>
  <c r="A16" i="100"/>
  <c r="A17" i="100" s="1"/>
  <c r="A18" i="100" s="1"/>
  <c r="A19" i="100" s="1"/>
  <c r="A20" i="100" s="1"/>
  <c r="A4" i="100"/>
  <c r="A5" i="100" s="1"/>
  <c r="A6" i="100" s="1"/>
  <c r="A7" i="100" s="1"/>
  <c r="A8" i="100" s="1"/>
  <c r="A9" i="100" s="1"/>
  <c r="A10" i="100" s="1"/>
  <c r="A11" i="100" s="1"/>
  <c r="A12" i="100" s="1"/>
  <c r="A13" i="100" s="1"/>
  <c r="B3" i="27"/>
  <c r="D32" i="27" s="1"/>
  <c r="B6" i="27"/>
  <c r="B10" i="27" s="1"/>
  <c r="BG38" i="103" l="1"/>
  <c r="C12" i="106"/>
  <c r="L11" i="103"/>
  <c r="M11" i="103" s="1"/>
  <c r="C11" i="103" s="1"/>
  <c r="Z38" i="103"/>
  <c r="BI38" i="103"/>
  <c r="G23" i="103"/>
  <c r="L22" i="103"/>
  <c r="N16" i="103"/>
  <c r="M16" i="103"/>
  <c r="C16" i="103" s="1"/>
  <c r="BG31" i="103"/>
  <c r="BD43" i="103"/>
  <c r="BD41" i="103"/>
  <c r="BD47" i="103"/>
  <c r="BD25" i="103"/>
  <c r="BD20" i="103"/>
  <c r="BD13" i="103"/>
  <c r="BD46" i="103"/>
  <c r="BD24" i="103"/>
  <c r="BD52" i="103"/>
  <c r="BD17" i="103"/>
  <c r="G24" i="27"/>
  <c r="G26" i="27" s="1"/>
  <c r="C20" i="27"/>
  <c r="E28" i="27"/>
  <c r="E30" i="27" s="1"/>
  <c r="AD55" i="103"/>
  <c r="AD56" i="103" s="1"/>
  <c r="AP11" i="103"/>
  <c r="N22" i="103"/>
  <c r="AE52" i="103"/>
  <c r="AE53" i="103" s="1"/>
  <c r="AE38" i="103"/>
  <c r="AD19" i="103"/>
  <c r="BI31" i="103"/>
  <c r="G19" i="103"/>
  <c r="AP18" i="103"/>
  <c r="L18" i="103"/>
  <c r="AE31" i="103"/>
  <c r="BQ16" i="103"/>
  <c r="BI15" i="103"/>
  <c r="BG15" i="103"/>
  <c r="BK15" i="103"/>
  <c r="BG26" i="103"/>
  <c r="BI26" i="103"/>
  <c r="BK26" i="103"/>
  <c r="BQ41" i="103"/>
  <c r="AE13" i="103"/>
  <c r="AP46" i="103"/>
  <c r="L46" i="103"/>
  <c r="G47" i="103"/>
  <c r="AP17" i="103"/>
  <c r="L17" i="103"/>
  <c r="BI40" i="103"/>
  <c r="BG40" i="103"/>
  <c r="BK40" i="103"/>
  <c r="AE40" i="103"/>
  <c r="BI43" i="103"/>
  <c r="BG43" i="103"/>
  <c r="BK43" i="103"/>
  <c r="BQ53" i="103"/>
  <c r="BI52" i="103"/>
  <c r="BI53" i="103" s="1"/>
  <c r="BK52" i="103"/>
  <c r="BK53" i="103" s="1"/>
  <c r="BG52" i="103"/>
  <c r="BG53" i="103" s="1"/>
  <c r="BG21" i="103"/>
  <c r="BK21" i="103"/>
  <c r="BI21" i="103"/>
  <c r="G24" i="103"/>
  <c r="L23" i="103"/>
  <c r="N23" i="103" s="1"/>
  <c r="BI14" i="103"/>
  <c r="BG14" i="103"/>
  <c r="BK14" i="103"/>
  <c r="Z31" i="103"/>
  <c r="AE43" i="103"/>
  <c r="H16" i="27"/>
  <c r="E20" i="27"/>
  <c r="E22" i="27" s="1"/>
  <c r="C28" i="27"/>
  <c r="C30" i="27" s="1"/>
  <c r="G32" i="27"/>
  <c r="G34" i="27" s="1"/>
  <c r="C22" i="27"/>
  <c r="C16" i="27"/>
  <c r="C18" i="27" s="1"/>
  <c r="F16" i="27"/>
  <c r="F17" i="27" s="1"/>
  <c r="G20" i="27"/>
  <c r="G22" i="27" s="1"/>
  <c r="C24" i="27"/>
  <c r="C26" i="27" s="1"/>
  <c r="E24" i="27"/>
  <c r="E26" i="27" s="1"/>
  <c r="G28" i="27"/>
  <c r="G30" i="27" s="1"/>
  <c r="C32" i="27"/>
  <c r="C34" i="27" s="1"/>
  <c r="E32" i="27"/>
  <c r="E34" i="27" s="1"/>
  <c r="E77" i="100"/>
  <c r="E78" i="100"/>
  <c r="E88" i="100"/>
  <c r="E85" i="100"/>
  <c r="E87" i="100"/>
  <c r="D34" i="27"/>
  <c r="D33" i="27"/>
  <c r="D16" i="27"/>
  <c r="G16" i="27"/>
  <c r="E16" i="27"/>
  <c r="H20" i="27"/>
  <c r="F20" i="27"/>
  <c r="D20" i="27"/>
  <c r="H24" i="27"/>
  <c r="F24" i="27"/>
  <c r="D24" i="27"/>
  <c r="H28" i="27"/>
  <c r="F28" i="27"/>
  <c r="D28" i="27"/>
  <c r="H32" i="27"/>
  <c r="F32" i="27"/>
  <c r="C21" i="27"/>
  <c r="H17" i="27" l="1"/>
  <c r="H18" i="27"/>
  <c r="E29" i="27"/>
  <c r="M17" i="103"/>
  <c r="C17" i="103" s="1"/>
  <c r="N46" i="103"/>
  <c r="M46" i="103"/>
  <c r="N18" i="103"/>
  <c r="M18" i="103"/>
  <c r="C18" i="103" s="1"/>
  <c r="F18" i="27"/>
  <c r="G25" i="27"/>
  <c r="O6" i="103"/>
  <c r="BQ11" i="103"/>
  <c r="BQ18" i="103"/>
  <c r="L19" i="103"/>
  <c r="G20" i="103"/>
  <c r="BQ46" i="103"/>
  <c r="BG46" i="103" s="1"/>
  <c r="G25" i="103"/>
  <c r="L25" i="103" s="1"/>
  <c r="AP24" i="103"/>
  <c r="L24" i="103"/>
  <c r="BQ17" i="103"/>
  <c r="AP47" i="103"/>
  <c r="L47" i="103"/>
  <c r="G48" i="103"/>
  <c r="BI41" i="103"/>
  <c r="BG41" i="103"/>
  <c r="BK41" i="103"/>
  <c r="BI16" i="103"/>
  <c r="BK16" i="103"/>
  <c r="BG16" i="103"/>
  <c r="E33" i="27"/>
  <c r="C29" i="27"/>
  <c r="C25" i="27"/>
  <c r="G33" i="27"/>
  <c r="G29" i="27"/>
  <c r="E21" i="27"/>
  <c r="C33" i="27"/>
  <c r="E25" i="27"/>
  <c r="G21" i="27"/>
  <c r="C17" i="27"/>
  <c r="E79" i="100"/>
  <c r="H34" i="27"/>
  <c r="H33" i="27"/>
  <c r="F30" i="27"/>
  <c r="F29" i="27"/>
  <c r="D26" i="27"/>
  <c r="D25" i="27"/>
  <c r="H26" i="27"/>
  <c r="H25" i="27"/>
  <c r="F22" i="27"/>
  <c r="F21" i="27"/>
  <c r="E18" i="27"/>
  <c r="E17" i="27"/>
  <c r="D18" i="27"/>
  <c r="D17" i="27"/>
  <c r="F34" i="27"/>
  <c r="F33" i="27"/>
  <c r="D30" i="27"/>
  <c r="D29" i="27"/>
  <c r="H30" i="27"/>
  <c r="H29" i="27"/>
  <c r="F26" i="27"/>
  <c r="F25" i="27"/>
  <c r="D22" i="27"/>
  <c r="D21" i="27"/>
  <c r="H22" i="27"/>
  <c r="H21" i="27"/>
  <c r="G18" i="27"/>
  <c r="G17" i="27"/>
  <c r="O46" i="103" l="1"/>
  <c r="P46" i="103"/>
  <c r="T46" i="103" s="1"/>
  <c r="BE24" i="103"/>
  <c r="BL11" i="103"/>
  <c r="BL47" i="103"/>
  <c r="O17" i="103"/>
  <c r="R17" i="103" s="1"/>
  <c r="BE52" i="103"/>
  <c r="BE53" i="103" s="1"/>
  <c r="BE43" i="103"/>
  <c r="BE20" i="103"/>
  <c r="BL46" i="103"/>
  <c r="BE25" i="103"/>
  <c r="BL35" i="103"/>
  <c r="BL16" i="103"/>
  <c r="BL43" i="103"/>
  <c r="BL40" i="103"/>
  <c r="BL36" i="103"/>
  <c r="BL34" i="103"/>
  <c r="BL30" i="103"/>
  <c r="BL26" i="103"/>
  <c r="BL24" i="103"/>
  <c r="BL17" i="103"/>
  <c r="BL15" i="103"/>
  <c r="BL52" i="103"/>
  <c r="BL53" i="103" s="1"/>
  <c r="BL41" i="103"/>
  <c r="BL50" i="103" s="1"/>
  <c r="BL37" i="103"/>
  <c r="BL33" i="103"/>
  <c r="BL29" i="103"/>
  <c r="BL25" i="103"/>
  <c r="BL21" i="103"/>
  <c r="BL18" i="103"/>
  <c r="BL14" i="103"/>
  <c r="BE44" i="103"/>
  <c r="BE22" i="103"/>
  <c r="BC22" i="103"/>
  <c r="BE45" i="103"/>
  <c r="BE42" i="103"/>
  <c r="BC19" i="103"/>
  <c r="BE23" i="103"/>
  <c r="BC23" i="103"/>
  <c r="BE33" i="103"/>
  <c r="BE15" i="103"/>
  <c r="BE21" i="103"/>
  <c r="BE12" i="103"/>
  <c r="O52" i="103"/>
  <c r="R52" i="103" s="1"/>
  <c r="BE26" i="103"/>
  <c r="BE35" i="103"/>
  <c r="BC11" i="103"/>
  <c r="BC36" i="103"/>
  <c r="BC16" i="103"/>
  <c r="BC20" i="103"/>
  <c r="BC41" i="103"/>
  <c r="BC12" i="103"/>
  <c r="BC43" i="103"/>
  <c r="BE30" i="103"/>
  <c r="BE34" i="103"/>
  <c r="BE29" i="103"/>
  <c r="BE31" i="103" s="1"/>
  <c r="BC13" i="103"/>
  <c r="BC52" i="103"/>
  <c r="BC35" i="103"/>
  <c r="BC24" i="103"/>
  <c r="BC46" i="103"/>
  <c r="BC25" i="103"/>
  <c r="BC47" i="103"/>
  <c r="BE18" i="103"/>
  <c r="BE36" i="103"/>
  <c r="BE16" i="103"/>
  <c r="BC17" i="103"/>
  <c r="BC37" i="103"/>
  <c r="BC26" i="103"/>
  <c r="BC18" i="103"/>
  <c r="BC29" i="103"/>
  <c r="BE14" i="103"/>
  <c r="BE37" i="103"/>
  <c r="BE11" i="103"/>
  <c r="BE40" i="103"/>
  <c r="BC34" i="103"/>
  <c r="BC14" i="103"/>
  <c r="BC15" i="103"/>
  <c r="BC30" i="103"/>
  <c r="BC21" i="103"/>
  <c r="BC40" i="103"/>
  <c r="O11" i="103"/>
  <c r="BE47" i="103"/>
  <c r="BE46" i="103"/>
  <c r="BE41" i="103"/>
  <c r="BE13" i="103"/>
  <c r="BE17" i="103"/>
  <c r="M47" i="103"/>
  <c r="C47" i="103" s="1"/>
  <c r="N47" i="103"/>
  <c r="P47" i="103" s="1"/>
  <c r="N24" i="103"/>
  <c r="P24" i="103" s="1"/>
  <c r="M24" i="103"/>
  <c r="C24" i="103" s="1"/>
  <c r="N25" i="103"/>
  <c r="P25" i="103" s="1"/>
  <c r="M25" i="103"/>
  <c r="C25" i="103" s="1"/>
  <c r="C46" i="103"/>
  <c r="N19" i="103"/>
  <c r="P22" i="103"/>
  <c r="V22" i="103" s="1"/>
  <c r="O33" i="103"/>
  <c r="R11" i="103"/>
  <c r="R46" i="103"/>
  <c r="W46" i="103" s="1"/>
  <c r="O23" i="103"/>
  <c r="P18" i="103"/>
  <c r="P23" i="103"/>
  <c r="O18" i="103"/>
  <c r="O35" i="103"/>
  <c r="O36" i="103"/>
  <c r="O34" i="103"/>
  <c r="O37" i="103"/>
  <c r="O29" i="103"/>
  <c r="O30" i="103"/>
  <c r="P44" i="103"/>
  <c r="V44" i="103" s="1"/>
  <c r="P55" i="103"/>
  <c r="V55" i="103" s="1"/>
  <c r="P42" i="103"/>
  <c r="V42" i="103" s="1"/>
  <c r="P26" i="103"/>
  <c r="V26" i="103" s="1"/>
  <c r="O14" i="103"/>
  <c r="P21" i="103"/>
  <c r="V21" i="103" s="1"/>
  <c r="O43" i="103"/>
  <c r="O26" i="103"/>
  <c r="O21" i="103"/>
  <c r="O40" i="103"/>
  <c r="O15" i="103"/>
  <c r="P45" i="103"/>
  <c r="V45" i="103" s="1"/>
  <c r="O16" i="103"/>
  <c r="O41" i="103"/>
  <c r="P16" i="103"/>
  <c r="V16" i="103" s="1"/>
  <c r="BK11" i="103"/>
  <c r="BI11" i="103"/>
  <c r="BG11" i="103"/>
  <c r="G13" i="103"/>
  <c r="L12" i="103"/>
  <c r="BL12" i="103" s="1"/>
  <c r="AP12" i="103"/>
  <c r="L20" i="103"/>
  <c r="BL20" i="103" s="1"/>
  <c r="AP20" i="103"/>
  <c r="BG18" i="103"/>
  <c r="BI18" i="103"/>
  <c r="BK18" i="103"/>
  <c r="G49" i="103"/>
  <c r="L49" i="103" s="1"/>
  <c r="L48" i="103"/>
  <c r="N48" i="103" s="1"/>
  <c r="BO17" i="103"/>
  <c r="BI17" i="103"/>
  <c r="BG17" i="103"/>
  <c r="BK17" i="103"/>
  <c r="BQ47" i="103"/>
  <c r="BQ50" i="103" s="1"/>
  <c r="BQ24" i="103"/>
  <c r="O24" i="103"/>
  <c r="BQ25" i="103"/>
  <c r="BI46" i="103"/>
  <c r="BK46" i="103"/>
  <c r="AP50" i="103"/>
  <c r="E68" i="100"/>
  <c r="E80" i="100"/>
  <c r="A3" i="89"/>
  <c r="A4" i="89" s="1"/>
  <c r="BO46" i="103" l="1"/>
  <c r="O47" i="103"/>
  <c r="BO22" i="103"/>
  <c r="V46" i="103"/>
  <c r="AB46" i="103" s="1"/>
  <c r="X46" i="103"/>
  <c r="T22" i="103"/>
  <c r="BE50" i="103"/>
  <c r="T47" i="103"/>
  <c r="V47" i="103"/>
  <c r="W17" i="103"/>
  <c r="R24" i="103"/>
  <c r="U24" i="103" s="1"/>
  <c r="AA24" i="103" s="1"/>
  <c r="R41" i="103"/>
  <c r="U41" i="103" s="1"/>
  <c r="AA41" i="103" s="1"/>
  <c r="R40" i="103"/>
  <c r="U40" i="103" s="1"/>
  <c r="R43" i="103"/>
  <c r="U43" i="103" s="1"/>
  <c r="R29" i="103"/>
  <c r="U29" i="103" s="1"/>
  <c r="T23" i="103"/>
  <c r="X23" i="103" s="1"/>
  <c r="V23" i="103"/>
  <c r="R23" i="103"/>
  <c r="U23" i="103" s="1"/>
  <c r="O25" i="103"/>
  <c r="BO25" i="103" s="1"/>
  <c r="R16" i="103"/>
  <c r="U16" i="103" s="1"/>
  <c r="AA16" i="103" s="1"/>
  <c r="R15" i="103"/>
  <c r="U15" i="103" s="1"/>
  <c r="AA15" i="103" s="1"/>
  <c r="R26" i="103"/>
  <c r="U26" i="103" s="1"/>
  <c r="AA26" i="103" s="1"/>
  <c r="R30" i="103"/>
  <c r="U30" i="103" s="1"/>
  <c r="AA30" i="103" s="1"/>
  <c r="R18" i="103"/>
  <c r="U18" i="103" s="1"/>
  <c r="T18" i="103"/>
  <c r="X18" i="103" s="1"/>
  <c r="V18" i="103"/>
  <c r="U11" i="103"/>
  <c r="U52" i="103"/>
  <c r="U53" i="103" s="1"/>
  <c r="BL31" i="103"/>
  <c r="T25" i="103"/>
  <c r="X25" i="103" s="1"/>
  <c r="V25" i="103"/>
  <c r="T24" i="103"/>
  <c r="V24" i="103"/>
  <c r="R47" i="103"/>
  <c r="U47" i="103" s="1"/>
  <c r="AA47" i="103" s="1"/>
  <c r="R21" i="103"/>
  <c r="U21" i="103" s="1"/>
  <c r="R14" i="103"/>
  <c r="U14" i="103" s="1"/>
  <c r="AA14" i="103" s="1"/>
  <c r="U17" i="103"/>
  <c r="AA17" i="103" s="1"/>
  <c r="U46" i="103"/>
  <c r="AA46" i="103" s="1"/>
  <c r="R37" i="103"/>
  <c r="U37" i="103" s="1"/>
  <c r="R36" i="103"/>
  <c r="U36" i="103" s="1"/>
  <c r="AA36" i="103" s="1"/>
  <c r="R35" i="103"/>
  <c r="U35" i="103" s="1"/>
  <c r="R34" i="103"/>
  <c r="U34" i="103" s="1"/>
  <c r="AA34" i="103" s="1"/>
  <c r="R33" i="103"/>
  <c r="U33" i="103" s="1"/>
  <c r="M50" i="103"/>
  <c r="BL38" i="103"/>
  <c r="BE27" i="103"/>
  <c r="BE38" i="103"/>
  <c r="N49" i="103"/>
  <c r="N50" i="103" s="1"/>
  <c r="N20" i="103"/>
  <c r="N27" i="103" s="1"/>
  <c r="M20" i="103"/>
  <c r="C20" i="103" s="1"/>
  <c r="M12" i="103"/>
  <c r="C12" i="103" s="1"/>
  <c r="P19" i="103"/>
  <c r="V19" i="103" s="1"/>
  <c r="AA11" i="103"/>
  <c r="W18" i="103"/>
  <c r="W11" i="103"/>
  <c r="W23" i="103"/>
  <c r="BO23" i="103"/>
  <c r="BO18" i="103"/>
  <c r="BO11" i="103"/>
  <c r="O50" i="103"/>
  <c r="BO41" i="103"/>
  <c r="T45" i="103"/>
  <c r="X45" i="103" s="1"/>
  <c r="BO45" i="103"/>
  <c r="BO40" i="103"/>
  <c r="W40" i="103"/>
  <c r="BO21" i="103"/>
  <c r="BO43" i="103"/>
  <c r="BO14" i="103"/>
  <c r="BO42" i="103"/>
  <c r="T42" i="103"/>
  <c r="BO44" i="103"/>
  <c r="T44" i="103"/>
  <c r="BO30" i="103"/>
  <c r="BO37" i="103"/>
  <c r="BO36" i="103"/>
  <c r="AB22" i="103"/>
  <c r="X22" i="103"/>
  <c r="Z22" i="103" s="1"/>
  <c r="AR37" i="103"/>
  <c r="AS37" i="103" s="1"/>
  <c r="AR35" i="103"/>
  <c r="AS35" i="103" s="1"/>
  <c r="AR33" i="103"/>
  <c r="AS33" i="103" s="1"/>
  <c r="AS52" i="103"/>
  <c r="AS53" i="103" s="1"/>
  <c r="AR36" i="103"/>
  <c r="AS36" i="103" s="1"/>
  <c r="AR34" i="103"/>
  <c r="AS34" i="103" s="1"/>
  <c r="AS16" i="103"/>
  <c r="AS17" i="103"/>
  <c r="AS14" i="103"/>
  <c r="AS11" i="103"/>
  <c r="T16" i="103"/>
  <c r="AB16" i="103" s="1"/>
  <c r="BO16" i="103"/>
  <c r="BO15" i="103"/>
  <c r="W15" i="103"/>
  <c r="W52" i="103"/>
  <c r="W53" i="103" s="1"/>
  <c r="BO52" i="103"/>
  <c r="O53" i="103"/>
  <c r="BO26" i="103"/>
  <c r="T21" i="103"/>
  <c r="AB21" i="103" s="1"/>
  <c r="T26" i="103"/>
  <c r="X26" i="103" s="1"/>
  <c r="T55" i="103"/>
  <c r="T56" i="103" s="1"/>
  <c r="BO55" i="103"/>
  <c r="P56" i="103"/>
  <c r="O38" i="103"/>
  <c r="BO33" i="103"/>
  <c r="R31" i="103"/>
  <c r="BO29" i="103"/>
  <c r="O31" i="103"/>
  <c r="BO34" i="103"/>
  <c r="BO35" i="103"/>
  <c r="BQ12" i="103"/>
  <c r="AP13" i="103"/>
  <c r="L13" i="103"/>
  <c r="BQ20" i="103"/>
  <c r="O20" i="103"/>
  <c r="AB25" i="103"/>
  <c r="BG25" i="103"/>
  <c r="BI25" i="103"/>
  <c r="BK25" i="103"/>
  <c r="X24" i="103"/>
  <c r="Z24" i="103" s="1"/>
  <c r="X47" i="103"/>
  <c r="Z47" i="103" s="1"/>
  <c r="BO24" i="103"/>
  <c r="BK24" i="103"/>
  <c r="BI24" i="103"/>
  <c r="BG24" i="103"/>
  <c r="BO47" i="103"/>
  <c r="BG47" i="103"/>
  <c r="BG50" i="103" s="1"/>
  <c r="BK47" i="103"/>
  <c r="BK50" i="103" s="1"/>
  <c r="BI47" i="103"/>
  <c r="BI50" i="103" s="1"/>
  <c r="Z46" i="103"/>
  <c r="P48" i="103"/>
  <c r="L50" i="103"/>
  <c r="E69" i="100"/>
  <c r="E81" i="100"/>
  <c r="Z23" i="103" l="1"/>
  <c r="AB47" i="103"/>
  <c r="Z18" i="103"/>
  <c r="AB23" i="103"/>
  <c r="AE23" i="103" s="1"/>
  <c r="W24" i="103"/>
  <c r="Y24" i="103" s="1"/>
  <c r="Y17" i="103"/>
  <c r="AB24" i="103"/>
  <c r="AE24" i="103" s="1"/>
  <c r="W47" i="103"/>
  <c r="Y46" i="103"/>
  <c r="Y15" i="103"/>
  <c r="AD46" i="103"/>
  <c r="Y18" i="103"/>
  <c r="AA18" i="103"/>
  <c r="U50" i="103"/>
  <c r="L27" i="103"/>
  <c r="L57" i="103" s="1"/>
  <c r="BL13" i="103"/>
  <c r="T48" i="103"/>
  <c r="X48" i="103" s="1"/>
  <c r="V48" i="103"/>
  <c r="BR24" i="103"/>
  <c r="AD17" i="103"/>
  <c r="R20" i="103"/>
  <c r="U20" i="103" s="1"/>
  <c r="AA20" i="103" s="1"/>
  <c r="P20" i="103"/>
  <c r="V20" i="103" s="1"/>
  <c r="V27" i="103" s="1"/>
  <c r="AS13" i="103"/>
  <c r="O12" i="103"/>
  <c r="W21" i="103"/>
  <c r="Y21" i="103" s="1"/>
  <c r="Y23" i="103"/>
  <c r="AB18" i="103"/>
  <c r="AE18" i="103" s="1"/>
  <c r="R25" i="103"/>
  <c r="AA23" i="103"/>
  <c r="Y40" i="103"/>
  <c r="U31" i="103"/>
  <c r="Y11" i="103"/>
  <c r="AD11" i="103" s="1"/>
  <c r="W37" i="103"/>
  <c r="AA37" i="103"/>
  <c r="AA35" i="103"/>
  <c r="W34" i="103"/>
  <c r="Y34" i="103" s="1"/>
  <c r="AD34" i="103" s="1"/>
  <c r="U38" i="103"/>
  <c r="AA33" i="103"/>
  <c r="BE57" i="103"/>
  <c r="B18" i="106" s="1"/>
  <c r="C18" i="106" s="1"/>
  <c r="N57" i="103"/>
  <c r="P49" i="103"/>
  <c r="V49" i="103" s="1"/>
  <c r="BL27" i="103"/>
  <c r="BL57" i="103" s="1"/>
  <c r="B21" i="106" s="1"/>
  <c r="M13" i="103"/>
  <c r="T19" i="103"/>
  <c r="X19" i="103" s="1"/>
  <c r="Z19" i="103" s="1"/>
  <c r="BO19" i="103"/>
  <c r="AB19" i="103"/>
  <c r="AA52" i="103"/>
  <c r="AA53" i="103" s="1"/>
  <c r="X55" i="103"/>
  <c r="X56" i="103" s="1"/>
  <c r="AB55" i="103"/>
  <c r="AB56" i="103" s="1"/>
  <c r="AP27" i="103"/>
  <c r="AP57" i="103" s="1"/>
  <c r="AB26" i="103"/>
  <c r="X21" i="103"/>
  <c r="Z21" i="103" s="1"/>
  <c r="Z26" i="103"/>
  <c r="AE26" i="103" s="1"/>
  <c r="W36" i="103"/>
  <c r="Y36" i="103" s="1"/>
  <c r="AD36" i="103" s="1"/>
  <c r="AA21" i="103"/>
  <c r="AD21" i="103" s="1"/>
  <c r="AB45" i="103"/>
  <c r="W41" i="103"/>
  <c r="Y41" i="103" s="1"/>
  <c r="AD41" i="103" s="1"/>
  <c r="AD15" i="103"/>
  <c r="W16" i="103"/>
  <c r="Y16" i="103" s="1"/>
  <c r="AD16" i="103" s="1"/>
  <c r="AE22" i="103"/>
  <c r="W30" i="103"/>
  <c r="Y30" i="103" s="1"/>
  <c r="AD30" i="103" s="1"/>
  <c r="W14" i="103"/>
  <c r="Y14" i="103" s="1"/>
  <c r="AD14" i="103" s="1"/>
  <c r="Y52" i="103"/>
  <c r="Y53" i="103" s="1"/>
  <c r="X16" i="103"/>
  <c r="Z16" i="103" s="1"/>
  <c r="W33" i="103"/>
  <c r="W35" i="103"/>
  <c r="Y35" i="103" s="1"/>
  <c r="AA29" i="103"/>
  <c r="AA31" i="103" s="1"/>
  <c r="W29" i="103"/>
  <c r="Y33" i="103"/>
  <c r="W26" i="103"/>
  <c r="Y37" i="103"/>
  <c r="AD37" i="103" s="1"/>
  <c r="Z45" i="103"/>
  <c r="AE45" i="103" s="1"/>
  <c r="R38" i="103"/>
  <c r="R53" i="103"/>
  <c r="AS40" i="103"/>
  <c r="AS43" i="103"/>
  <c r="AS30" i="103"/>
  <c r="AS26" i="103"/>
  <c r="AS24" i="103"/>
  <c r="AS20" i="103"/>
  <c r="AS15" i="103"/>
  <c r="AS47" i="103"/>
  <c r="AS46" i="103"/>
  <c r="AS41" i="103"/>
  <c r="AS29" i="103"/>
  <c r="AS31" i="103" s="1"/>
  <c r="AS21" i="103"/>
  <c r="AS18" i="103"/>
  <c r="AS12" i="103"/>
  <c r="X44" i="103"/>
  <c r="Z44" i="103" s="1"/>
  <c r="AB44" i="103"/>
  <c r="AB42" i="103"/>
  <c r="X42" i="103"/>
  <c r="Z42" i="103" s="1"/>
  <c r="AA43" i="103"/>
  <c r="W43" i="103"/>
  <c r="R50" i="103"/>
  <c r="AA40" i="103"/>
  <c r="AS38" i="103"/>
  <c r="P27" i="103"/>
  <c r="O13" i="103"/>
  <c r="BQ13" i="103"/>
  <c r="BI12" i="103"/>
  <c r="BG12" i="103"/>
  <c r="BK12" i="103"/>
  <c r="BO12" i="103"/>
  <c r="Y47" i="103"/>
  <c r="AD47" i="103" s="1"/>
  <c r="AE47" i="103"/>
  <c r="BI20" i="103"/>
  <c r="BK20" i="103"/>
  <c r="BG20" i="103"/>
  <c r="AB48" i="103"/>
  <c r="BO48" i="103"/>
  <c r="Z25" i="103"/>
  <c r="AE46" i="103"/>
  <c r="E70" i="100"/>
  <c r="W20" i="103" l="1"/>
  <c r="AD24" i="103"/>
  <c r="AD18" i="103"/>
  <c r="Z48" i="103"/>
  <c r="Y20" i="103"/>
  <c r="AD20" i="103" s="1"/>
  <c r="R13" i="103"/>
  <c r="U13" i="103" s="1"/>
  <c r="W25" i="103"/>
  <c r="AD23" i="103"/>
  <c r="R12" i="103"/>
  <c r="U12" i="103" s="1"/>
  <c r="P50" i="103"/>
  <c r="BO20" i="103"/>
  <c r="T20" i="103"/>
  <c r="X20" i="103" s="1"/>
  <c r="AD35" i="103"/>
  <c r="AA38" i="103"/>
  <c r="U25" i="103"/>
  <c r="Y25" i="103" s="1"/>
  <c r="V50" i="103"/>
  <c r="V57" i="103" s="1"/>
  <c r="Z55" i="103"/>
  <c r="Z56" i="103" s="1"/>
  <c r="T27" i="103"/>
  <c r="C13" i="103"/>
  <c r="M27" i="103"/>
  <c r="M57" i="103" s="1"/>
  <c r="T49" i="103"/>
  <c r="BO49" i="103"/>
  <c r="AE19" i="103"/>
  <c r="AE21" i="103"/>
  <c r="AE16" i="103"/>
  <c r="AD52" i="103"/>
  <c r="AD53" i="103" s="1"/>
  <c r="W31" i="103"/>
  <c r="AA50" i="103"/>
  <c r="AE42" i="103"/>
  <c r="AE44" i="103"/>
  <c r="W38" i="103"/>
  <c r="Y29" i="103"/>
  <c r="AD40" i="103"/>
  <c r="Y43" i="103"/>
  <c r="AD43" i="103" s="1"/>
  <c r="AS50" i="103"/>
  <c r="AS27" i="103"/>
  <c r="Y26" i="103"/>
  <c r="AD26" i="103" s="1"/>
  <c r="AD33" i="103"/>
  <c r="Y38" i="103"/>
  <c r="W50" i="103"/>
  <c r="C21" i="106"/>
  <c r="P57" i="103"/>
  <c r="BG13" i="103"/>
  <c r="BG27" i="103" s="1"/>
  <c r="BG57" i="103" s="1"/>
  <c r="BI13" i="103"/>
  <c r="BI27" i="103" s="1"/>
  <c r="BI57" i="103" s="1"/>
  <c r="BK13" i="103"/>
  <c r="W13" i="103"/>
  <c r="O27" i="103"/>
  <c r="O57" i="103" s="1"/>
  <c r="BO13" i="103"/>
  <c r="BK27" i="103"/>
  <c r="BK57" i="103" s="1"/>
  <c r="BQ27" i="103"/>
  <c r="BQ57" i="103" s="1"/>
  <c r="AE48" i="103"/>
  <c r="BC53" i="103"/>
  <c r="BC38" i="103"/>
  <c r="BC27" i="103"/>
  <c r="AE25" i="103"/>
  <c r="AB20" i="103" l="1"/>
  <c r="AB27" i="103" s="1"/>
  <c r="W12" i="103"/>
  <c r="Y12" i="103" s="1"/>
  <c r="Z20" i="103"/>
  <c r="AE20" i="103" s="1"/>
  <c r="AE27" i="103" s="1"/>
  <c r="X27" i="103"/>
  <c r="U27" i="103"/>
  <c r="U57" i="103" s="1"/>
  <c r="AA12" i="103"/>
  <c r="AD38" i="103"/>
  <c r="AA25" i="103"/>
  <c r="AD25" i="103" s="1"/>
  <c r="AE55" i="103"/>
  <c r="AE56" i="103" s="1"/>
  <c r="T50" i="103"/>
  <c r="T57" i="103" s="1"/>
  <c r="X49" i="103"/>
  <c r="X50" i="103" s="1"/>
  <c r="AB49" i="103"/>
  <c r="AB50" i="103" s="1"/>
  <c r="Y50" i="103"/>
  <c r="B31" i="106"/>
  <c r="AD50" i="103"/>
  <c r="AS57" i="103"/>
  <c r="B22" i="106" s="1"/>
  <c r="C22" i="106" s="1"/>
  <c r="Y31" i="103"/>
  <c r="AD29" i="103"/>
  <c r="AD31" i="103" s="1"/>
  <c r="AA13" i="103"/>
  <c r="AA27" i="103" s="1"/>
  <c r="AA57" i="103" s="1"/>
  <c r="B20" i="106"/>
  <c r="Y13" i="103"/>
  <c r="R27" i="103"/>
  <c r="R57" i="103" s="1"/>
  <c r="B27" i="88"/>
  <c r="B7" i="88"/>
  <c r="B6" i="88"/>
  <c r="B25" i="88" s="1"/>
  <c r="C25" i="88" s="1"/>
  <c r="BA36" i="87"/>
  <c r="AY36" i="87"/>
  <c r="AW36" i="87"/>
  <c r="AU36" i="87"/>
  <c r="N36" i="87"/>
  <c r="M36" i="87"/>
  <c r="BN35" i="87"/>
  <c r="AO35" i="87"/>
  <c r="P35" i="87"/>
  <c r="J35" i="87"/>
  <c r="BN34" i="87"/>
  <c r="AO34" i="87"/>
  <c r="P34" i="87"/>
  <c r="T34" i="87" s="1"/>
  <c r="J34" i="87"/>
  <c r="BN33" i="87"/>
  <c r="AO33" i="87"/>
  <c r="T33" i="87"/>
  <c r="P33" i="87"/>
  <c r="J33" i="87"/>
  <c r="BN32" i="87"/>
  <c r="AO32" i="87"/>
  <c r="P32" i="87"/>
  <c r="T32" i="87" s="1"/>
  <c r="X32" i="87" s="1"/>
  <c r="J32" i="87"/>
  <c r="BN31" i="87"/>
  <c r="AO31" i="87"/>
  <c r="P31" i="87"/>
  <c r="J31" i="87"/>
  <c r="A31" i="87"/>
  <c r="A32" i="87" s="1"/>
  <c r="A33" i="87" s="1"/>
  <c r="A34" i="87" s="1"/>
  <c r="A35" i="87" s="1"/>
  <c r="BN30" i="87"/>
  <c r="AO30" i="87"/>
  <c r="P30" i="87"/>
  <c r="J30" i="87"/>
  <c r="J36" i="87"/>
  <c r="G30" i="87"/>
  <c r="AP30" i="87" s="1"/>
  <c r="BE28" i="87"/>
  <c r="BC28" i="87"/>
  <c r="N28" i="87"/>
  <c r="N37" i="87" s="1"/>
  <c r="M28" i="87"/>
  <c r="M37" i="87"/>
  <c r="BN27" i="87"/>
  <c r="AZ27" i="87"/>
  <c r="AO27" i="87"/>
  <c r="P27" i="87"/>
  <c r="T27" i="87" s="1"/>
  <c r="V27" i="87" s="1"/>
  <c r="I27" i="87"/>
  <c r="H27" i="87"/>
  <c r="J27" i="87" s="1"/>
  <c r="G27" i="87"/>
  <c r="AY27" i="87" s="1"/>
  <c r="AO26" i="87"/>
  <c r="O26" i="87"/>
  <c r="J26" i="87"/>
  <c r="BN25" i="87"/>
  <c r="AO25" i="87"/>
  <c r="J25" i="87"/>
  <c r="O24" i="87"/>
  <c r="J24" i="87"/>
  <c r="O23" i="87"/>
  <c r="J23" i="87"/>
  <c r="BN22" i="87"/>
  <c r="AO22" i="87"/>
  <c r="J22" i="87"/>
  <c r="AO21" i="87"/>
  <c r="O21" i="87"/>
  <c r="J21" i="87"/>
  <c r="BN20" i="87"/>
  <c r="AO20" i="87"/>
  <c r="P20" i="87"/>
  <c r="J20" i="87"/>
  <c r="G20" i="87"/>
  <c r="AP20" i="87"/>
  <c r="BN19" i="87"/>
  <c r="AO19" i="87"/>
  <c r="P19" i="87"/>
  <c r="T19" i="87" s="1"/>
  <c r="X19" i="87" s="1"/>
  <c r="J19" i="87"/>
  <c r="G19" i="87"/>
  <c r="A19" i="87"/>
  <c r="A20" i="87" s="1"/>
  <c r="A21" i="87" s="1"/>
  <c r="A22" i="87" s="1"/>
  <c r="A23" i="87" s="1"/>
  <c r="A24" i="87" s="1"/>
  <c r="A25" i="87" s="1"/>
  <c r="A26" i="87" s="1"/>
  <c r="A27" i="87" s="1"/>
  <c r="BN18" i="87"/>
  <c r="AO18" i="87"/>
  <c r="T18" i="87"/>
  <c r="P18" i="87"/>
  <c r="J18" i="87"/>
  <c r="G18" i="87"/>
  <c r="A18" i="87"/>
  <c r="BN17" i="87"/>
  <c r="AR17" i="87"/>
  <c r="AR22" i="87" s="1"/>
  <c r="AO17" i="87"/>
  <c r="AP17" i="87" s="1"/>
  <c r="P17" i="87"/>
  <c r="O17" i="87"/>
  <c r="L17" i="87"/>
  <c r="BU17" i="87" s="1"/>
  <c r="J17" i="87"/>
  <c r="BQ15" i="87"/>
  <c r="BR15" i="87" s="1"/>
  <c r="BS15" i="87" s="1"/>
  <c r="BT15" i="87" s="1"/>
  <c r="BU15" i="87" s="1"/>
  <c r="H15" i="87"/>
  <c r="I15" i="87" s="1"/>
  <c r="J15" i="87" s="1"/>
  <c r="K15" i="87" s="1"/>
  <c r="L15" i="87" s="1"/>
  <c r="M15" i="87" s="1"/>
  <c r="N15" i="87" s="1"/>
  <c r="O15" i="87" s="1"/>
  <c r="P15" i="87" s="1"/>
  <c r="Q15" i="87" s="1"/>
  <c r="R15" i="87" s="1"/>
  <c r="S15" i="87" s="1"/>
  <c r="T15" i="87" s="1"/>
  <c r="U15" i="87" s="1"/>
  <c r="V15" i="87" s="1"/>
  <c r="W15" i="87" s="1"/>
  <c r="X15" i="87" s="1"/>
  <c r="Y15" i="87" s="1"/>
  <c r="Z15" i="87" s="1"/>
  <c r="AA15" i="87" s="1"/>
  <c r="AB15" i="87" s="1"/>
  <c r="AC15" i="87" s="1"/>
  <c r="AD15" i="87" s="1"/>
  <c r="AE15" i="87" s="1"/>
  <c r="AF15" i="87" s="1"/>
  <c r="AG15" i="87" s="1"/>
  <c r="AH15" i="87" s="1"/>
  <c r="AI15" i="87" s="1"/>
  <c r="AJ15" i="87" s="1"/>
  <c r="AK15" i="87" s="1"/>
  <c r="AL15" i="87" s="1"/>
  <c r="AM15" i="87" s="1"/>
  <c r="AN15" i="87" s="1"/>
  <c r="AO15" i="87" s="1"/>
  <c r="AP15" i="87" s="1"/>
  <c r="AQ15" i="87" s="1"/>
  <c r="AR15" i="87" s="1"/>
  <c r="AS15" i="87" s="1"/>
  <c r="AT15" i="87" s="1"/>
  <c r="AU15" i="87" s="1"/>
  <c r="AV15" i="87" s="1"/>
  <c r="AW15" i="87" s="1"/>
  <c r="AX15" i="87" s="1"/>
  <c r="AY15" i="87" s="1"/>
  <c r="AZ15" i="87" s="1"/>
  <c r="BA15" i="87" s="1"/>
  <c r="BB15" i="87" s="1"/>
  <c r="BC15" i="87" s="1"/>
  <c r="BD15" i="87" s="1"/>
  <c r="BE15" i="87" s="1"/>
  <c r="BF15" i="87" s="1"/>
  <c r="BG15" i="87" s="1"/>
  <c r="BH15" i="87" s="1"/>
  <c r="BI15" i="87" s="1"/>
  <c r="BJ15" i="87" s="1"/>
  <c r="BK15" i="87" s="1"/>
  <c r="BL15" i="87" s="1"/>
  <c r="BM15" i="87" s="1"/>
  <c r="BN15" i="87" s="1"/>
  <c r="BO15" i="87" s="1"/>
  <c r="BP15" i="87" s="1"/>
  <c r="G15" i="87"/>
  <c r="B15" i="87"/>
  <c r="A15" i="87"/>
  <c r="D7" i="87"/>
  <c r="G33" i="87" s="1"/>
  <c r="L33" i="87" s="1"/>
  <c r="C27" i="88"/>
  <c r="D8" i="87"/>
  <c r="R23" i="87"/>
  <c r="W23" i="87" s="1"/>
  <c r="T31" i="87"/>
  <c r="X31" i="87" s="1"/>
  <c r="L27" i="87"/>
  <c r="O27" i="87" s="1"/>
  <c r="BS27" i="87" s="1"/>
  <c r="G31" i="87"/>
  <c r="L20" i="87"/>
  <c r="R24" i="87"/>
  <c r="R26" i="87"/>
  <c r="W26" i="87" s="1"/>
  <c r="L30" i="87"/>
  <c r="T30" i="87"/>
  <c r="X30" i="87" s="1"/>
  <c r="BP30" i="87"/>
  <c r="H32" i="83"/>
  <c r="B29" i="84"/>
  <c r="C29" i="84" s="1"/>
  <c r="B26" i="84"/>
  <c r="C26" i="84" s="1"/>
  <c r="B7" i="84"/>
  <c r="B8" i="84" s="1"/>
  <c r="B9" i="84"/>
  <c r="A4" i="84"/>
  <c r="BA50" i="83"/>
  <c r="AY50" i="83"/>
  <c r="AW50" i="83"/>
  <c r="AU50" i="83"/>
  <c r="N50" i="83"/>
  <c r="M50" i="83"/>
  <c r="O49" i="83"/>
  <c r="O48" i="83"/>
  <c r="U48" i="83" s="1"/>
  <c r="G48" i="83"/>
  <c r="BF48" i="83" s="1"/>
  <c r="O47" i="83"/>
  <c r="W47" i="83" s="1"/>
  <c r="BM46" i="83"/>
  <c r="BM50" i="83" s="1"/>
  <c r="BM51" i="83" s="1"/>
  <c r="B20" i="84" s="1"/>
  <c r="AR46" i="83"/>
  <c r="AO46" i="83"/>
  <c r="P46" i="83"/>
  <c r="A46" i="83"/>
  <c r="A47" i="83" s="1"/>
  <c r="BR45" i="83"/>
  <c r="AR45" i="83"/>
  <c r="AO45" i="83"/>
  <c r="P45" i="83"/>
  <c r="X45" i="83" s="1"/>
  <c r="I45" i="83"/>
  <c r="BR44" i="83"/>
  <c r="AR44" i="83"/>
  <c r="AO44" i="83"/>
  <c r="AP44" i="83" s="1"/>
  <c r="AN44" i="83"/>
  <c r="P44" i="83"/>
  <c r="X44" i="83" s="1"/>
  <c r="K44" i="83"/>
  <c r="L44" i="83" s="1"/>
  <c r="J44" i="83"/>
  <c r="BE42" i="83"/>
  <c r="BC42" i="83"/>
  <c r="BA42" i="83"/>
  <c r="AZ42" i="83"/>
  <c r="AY42" i="83"/>
  <c r="AW42" i="83"/>
  <c r="AU42" i="83"/>
  <c r="N42" i="83"/>
  <c r="M42" i="83"/>
  <c r="AR41" i="83"/>
  <c r="AO41" i="83"/>
  <c r="P41" i="83"/>
  <c r="I41" i="83"/>
  <c r="J41" i="83" s="1"/>
  <c r="A41" i="83"/>
  <c r="AR40" i="83"/>
  <c r="AO40" i="83"/>
  <c r="O40" i="83"/>
  <c r="J40" i="83"/>
  <c r="AR39" i="83"/>
  <c r="AO39" i="83"/>
  <c r="P39" i="83"/>
  <c r="J39" i="83"/>
  <c r="G39" i="83"/>
  <c r="G40" i="83" s="1"/>
  <c r="AR38" i="83"/>
  <c r="AO38" i="83"/>
  <c r="AN38" i="83"/>
  <c r="O38" i="83"/>
  <c r="J38" i="83"/>
  <c r="G38" i="83"/>
  <c r="AR37" i="83"/>
  <c r="AO37" i="83"/>
  <c r="AN37" i="83"/>
  <c r="P37" i="83"/>
  <c r="I37" i="83"/>
  <c r="H37" i="83"/>
  <c r="A37" i="83"/>
  <c r="AR36" i="83"/>
  <c r="AO36" i="83"/>
  <c r="AN36" i="83"/>
  <c r="O36" i="83"/>
  <c r="J36" i="83"/>
  <c r="K36" i="83"/>
  <c r="L36" i="83" s="1"/>
  <c r="BE34" i="83"/>
  <c r="BC34" i="83"/>
  <c r="N34" i="83"/>
  <c r="N51" i="83" s="1"/>
  <c r="M34" i="83"/>
  <c r="M51" i="83" s="1"/>
  <c r="BR32" i="83"/>
  <c r="AZ32" i="83"/>
  <c r="AR32" i="83"/>
  <c r="AO32" i="83"/>
  <c r="K32" i="83"/>
  <c r="J32" i="83"/>
  <c r="G32" i="83"/>
  <c r="AY32" i="83" s="1"/>
  <c r="AY34" i="83" s="1"/>
  <c r="AY51" i="83" s="1"/>
  <c r="O31" i="83"/>
  <c r="K31" i="83"/>
  <c r="J31" i="83"/>
  <c r="BR30" i="83"/>
  <c r="AR30" i="83"/>
  <c r="AO30" i="83"/>
  <c r="K30" i="83"/>
  <c r="J30" i="83"/>
  <c r="O29" i="83"/>
  <c r="R29" i="83" s="1"/>
  <c r="K29" i="83"/>
  <c r="J29" i="83"/>
  <c r="O28" i="83"/>
  <c r="J28" i="83"/>
  <c r="BR27" i="83"/>
  <c r="AR27" i="83"/>
  <c r="AO27" i="83"/>
  <c r="J27" i="83"/>
  <c r="J26" i="83"/>
  <c r="BR25" i="83"/>
  <c r="AR25" i="83"/>
  <c r="AO25" i="83"/>
  <c r="P25" i="83"/>
  <c r="K25" i="83"/>
  <c r="J25" i="83"/>
  <c r="G25" i="83"/>
  <c r="AP25" i="83" s="1"/>
  <c r="BR24" i="83"/>
  <c r="AR24" i="83"/>
  <c r="AO24" i="83"/>
  <c r="P24" i="83"/>
  <c r="K24" i="83"/>
  <c r="L24" i="83" s="1"/>
  <c r="J24" i="83"/>
  <c r="G24" i="83"/>
  <c r="BR23" i="83"/>
  <c r="AR23" i="83"/>
  <c r="AO23" i="83"/>
  <c r="P23" i="83"/>
  <c r="K23" i="83"/>
  <c r="J23" i="83"/>
  <c r="A23" i="83"/>
  <c r="A24" i="83" s="1"/>
  <c r="A25" i="83" s="1"/>
  <c r="A26" i="83" s="1"/>
  <c r="A27" i="83" s="1"/>
  <c r="A28" i="83" s="1"/>
  <c r="A29" i="83" s="1"/>
  <c r="A30" i="83" s="1"/>
  <c r="A31" i="83" s="1"/>
  <c r="A32" i="83" s="1"/>
  <c r="BR22" i="83"/>
  <c r="AR22" i="83"/>
  <c r="AO22" i="83"/>
  <c r="V22" i="83"/>
  <c r="AB22" i="83" s="1"/>
  <c r="P22" i="83"/>
  <c r="X22" i="83" s="1"/>
  <c r="K22" i="83"/>
  <c r="J22" i="83"/>
  <c r="G22" i="83"/>
  <c r="G23" i="83" s="1"/>
  <c r="K20" i="83"/>
  <c r="L20" i="83" s="1"/>
  <c r="M20" i="83" s="1"/>
  <c r="N20" i="83" s="1"/>
  <c r="O20" i="83" s="1"/>
  <c r="P20" i="83" s="1"/>
  <c r="Q20" i="83" s="1"/>
  <c r="R20" i="83" s="1"/>
  <c r="S20" i="83" s="1"/>
  <c r="T20" i="83" s="1"/>
  <c r="U20" i="83" s="1"/>
  <c r="V20" i="83" s="1"/>
  <c r="W20" i="83" s="1"/>
  <c r="X20" i="83" s="1"/>
  <c r="Y20" i="83" s="1"/>
  <c r="Z20" i="83" s="1"/>
  <c r="AA20" i="83" s="1"/>
  <c r="AB20" i="83" s="1"/>
  <c r="AC20" i="83" s="1"/>
  <c r="AD20" i="83" s="1"/>
  <c r="AE20" i="83" s="1"/>
  <c r="AF20" i="83" s="1"/>
  <c r="AG20" i="83" s="1"/>
  <c r="AH20" i="83" s="1"/>
  <c r="AI20" i="83" s="1"/>
  <c r="AJ20" i="83" s="1"/>
  <c r="AK20" i="83" s="1"/>
  <c r="AL20" i="83" s="1"/>
  <c r="AM20" i="83" s="1"/>
  <c r="AN20" i="83" s="1"/>
  <c r="AO20" i="83" s="1"/>
  <c r="AP20" i="83" s="1"/>
  <c r="AQ20" i="83" s="1"/>
  <c r="AR20" i="83" s="1"/>
  <c r="AS20" i="83" s="1"/>
  <c r="AT20" i="83" s="1"/>
  <c r="AU20" i="83" s="1"/>
  <c r="AV20" i="83" s="1"/>
  <c r="AW20" i="83" s="1"/>
  <c r="AX20" i="83" s="1"/>
  <c r="AY20" i="83" s="1"/>
  <c r="AZ20" i="83" s="1"/>
  <c r="BA20" i="83" s="1"/>
  <c r="BB20" i="83" s="1"/>
  <c r="BC20" i="83" s="1"/>
  <c r="BD20" i="83" s="1"/>
  <c r="BE20" i="83" s="1"/>
  <c r="BF20" i="83" s="1"/>
  <c r="BG20" i="83" s="1"/>
  <c r="BH20" i="83" s="1"/>
  <c r="BI20" i="83" s="1"/>
  <c r="BJ20" i="83" s="1"/>
  <c r="BK20" i="83" s="1"/>
  <c r="BL20" i="83" s="1"/>
  <c r="BM20" i="83" s="1"/>
  <c r="BN20" i="83" s="1"/>
  <c r="BO20" i="83" s="1"/>
  <c r="BP20" i="83" s="1"/>
  <c r="BQ20" i="83" s="1"/>
  <c r="BR20" i="83" s="1"/>
  <c r="BS20" i="83" s="1"/>
  <c r="BT20" i="83" s="1"/>
  <c r="BU20" i="83" s="1"/>
  <c r="BV20" i="83" s="1"/>
  <c r="BW20" i="83" s="1"/>
  <c r="BX20" i="83" s="1"/>
  <c r="BY20" i="83" s="1"/>
  <c r="G20" i="83"/>
  <c r="H20" i="83" s="1"/>
  <c r="I20" i="83" s="1"/>
  <c r="J20" i="83" s="1"/>
  <c r="B20" i="83"/>
  <c r="A20" i="83"/>
  <c r="D12" i="83"/>
  <c r="BC47" i="83" s="1"/>
  <c r="D11" i="83"/>
  <c r="G48" i="31"/>
  <c r="G49" i="31" s="1"/>
  <c r="J22" i="31"/>
  <c r="B7" i="56"/>
  <c r="A4" i="56"/>
  <c r="BE42" i="31"/>
  <c r="BC42" i="31"/>
  <c r="BA42" i="31"/>
  <c r="AZ42" i="31"/>
  <c r="AY42" i="31"/>
  <c r="AW42" i="31"/>
  <c r="AU42" i="31"/>
  <c r="AR22" i="31"/>
  <c r="AR23" i="31"/>
  <c r="AR24" i="31"/>
  <c r="AR25" i="31"/>
  <c r="AR27" i="31"/>
  <c r="AR30" i="31"/>
  <c r="AR32" i="31"/>
  <c r="AR36" i="31"/>
  <c r="AR38" i="31"/>
  <c r="AR40" i="31"/>
  <c r="AR37" i="31"/>
  <c r="AR39" i="31"/>
  <c r="AR41" i="31"/>
  <c r="AR46" i="31"/>
  <c r="AR44" i="31"/>
  <c r="AR45" i="31"/>
  <c r="AN44" i="31"/>
  <c r="AO38" i="31"/>
  <c r="AO39" i="31"/>
  <c r="AO40" i="31"/>
  <c r="AO41" i="31"/>
  <c r="AN37" i="31"/>
  <c r="AN36" i="31"/>
  <c r="J31" i="31"/>
  <c r="J30" i="31"/>
  <c r="J29" i="31"/>
  <c r="J28" i="31"/>
  <c r="J27" i="31"/>
  <c r="J26" i="31"/>
  <c r="J25" i="31"/>
  <c r="J24" i="31"/>
  <c r="J23" i="31"/>
  <c r="K31" i="31"/>
  <c r="K30" i="31"/>
  <c r="K29" i="31"/>
  <c r="K25" i="31"/>
  <c r="K24" i="31"/>
  <c r="K23" i="31"/>
  <c r="J44" i="31"/>
  <c r="K44" i="31"/>
  <c r="I45" i="31"/>
  <c r="I46" i="31" s="1"/>
  <c r="J46" i="31" s="1"/>
  <c r="P41" i="31"/>
  <c r="T41" i="31" s="1"/>
  <c r="V41" i="31" s="1"/>
  <c r="AB41" i="31" s="1"/>
  <c r="O40" i="31"/>
  <c r="P39" i="31"/>
  <c r="O38" i="31"/>
  <c r="M42" i="31"/>
  <c r="N42" i="31"/>
  <c r="K22" i="31"/>
  <c r="AT32" i="31"/>
  <c r="K32" i="31"/>
  <c r="H32" i="31"/>
  <c r="J32" i="31" s="1"/>
  <c r="J36" i="31"/>
  <c r="I37" i="31"/>
  <c r="J37" i="31" s="1"/>
  <c r="H37" i="31"/>
  <c r="I41" i="31"/>
  <c r="J41" i="31" s="1"/>
  <c r="A41" i="31"/>
  <c r="J40" i="31"/>
  <c r="J39" i="31"/>
  <c r="J38" i="31"/>
  <c r="G38" i="31"/>
  <c r="AN38" i="31" s="1"/>
  <c r="L20" i="32"/>
  <c r="O20" i="32"/>
  <c r="AO50" i="32"/>
  <c r="AO49" i="32"/>
  <c r="AP49" i="32" s="1"/>
  <c r="AO48" i="32"/>
  <c r="AP48" i="32" s="1"/>
  <c r="AO40" i="32"/>
  <c r="AP40" i="32" s="1"/>
  <c r="AO39" i="32"/>
  <c r="AP39" i="32" s="1"/>
  <c r="AO38" i="32"/>
  <c r="AP38" i="32" s="1"/>
  <c r="AP46" i="32" s="1"/>
  <c r="AO35" i="32"/>
  <c r="AO34" i="32"/>
  <c r="AP34" i="32" s="1"/>
  <c r="AO33" i="32"/>
  <c r="AP33" i="32" s="1"/>
  <c r="AO32" i="32"/>
  <c r="AP32" i="32" s="1"/>
  <c r="AO31" i="32"/>
  <c r="AO30" i="32"/>
  <c r="AP30" i="32" s="1"/>
  <c r="AO29" i="32"/>
  <c r="AP29" i="32" s="1"/>
  <c r="AO28" i="32"/>
  <c r="AO21" i="32"/>
  <c r="AO22" i="32"/>
  <c r="AP22" i="32" s="1"/>
  <c r="AO23" i="32"/>
  <c r="AP23" i="32" s="1"/>
  <c r="AO24" i="32"/>
  <c r="AO25" i="32"/>
  <c r="AO20" i="32"/>
  <c r="AP20" i="32" s="1"/>
  <c r="AR50" i="68"/>
  <c r="AR49" i="68"/>
  <c r="AR48" i="68"/>
  <c r="AO50" i="68"/>
  <c r="AO49" i="68"/>
  <c r="AP49" i="68" s="1"/>
  <c r="AO48" i="68"/>
  <c r="AR50" i="32"/>
  <c r="AR49" i="32"/>
  <c r="AR48" i="32"/>
  <c r="AP50" i="32"/>
  <c r="R17" i="87"/>
  <c r="L58" i="32"/>
  <c r="AT31" i="32"/>
  <c r="AU31" i="32" s="1"/>
  <c r="L53" i="32"/>
  <c r="J53" i="32" s="1"/>
  <c r="J20" i="32"/>
  <c r="AV31" i="68"/>
  <c r="AT31" i="68"/>
  <c r="G60" i="68"/>
  <c r="G61" i="68" s="1"/>
  <c r="L61" i="68" s="1"/>
  <c r="J61" i="68" s="1"/>
  <c r="L59" i="68"/>
  <c r="G58" i="68"/>
  <c r="L58" i="68" s="1"/>
  <c r="J58" i="68" s="1"/>
  <c r="G52" i="68"/>
  <c r="L52" i="68"/>
  <c r="L51" i="68"/>
  <c r="J51" i="68" s="1"/>
  <c r="G51" i="68"/>
  <c r="G50" i="68"/>
  <c r="L50" i="68"/>
  <c r="G48" i="68"/>
  <c r="L44" i="68"/>
  <c r="J44" i="68"/>
  <c r="G41" i="68"/>
  <c r="L41" i="68" s="1"/>
  <c r="G40" i="68"/>
  <c r="L40" i="68" s="1"/>
  <c r="J40" i="68" s="1"/>
  <c r="G38" i="68"/>
  <c r="G39" i="68" s="1"/>
  <c r="G30" i="68"/>
  <c r="G28" i="68"/>
  <c r="L28" i="68"/>
  <c r="J28" i="68" s="1"/>
  <c r="G22" i="68"/>
  <c r="G20" i="68"/>
  <c r="L20" i="68" s="1"/>
  <c r="AV31" i="32"/>
  <c r="L64" i="32"/>
  <c r="J64" i="32" s="1"/>
  <c r="L63" i="32"/>
  <c r="J63" i="32"/>
  <c r="L62" i="32"/>
  <c r="L61" i="32"/>
  <c r="J61" i="32"/>
  <c r="L60" i="32"/>
  <c r="J60" i="32" s="1"/>
  <c r="L59" i="32"/>
  <c r="J59" i="32"/>
  <c r="L55" i="32"/>
  <c r="J55" i="32" s="1"/>
  <c r="L54" i="32"/>
  <c r="J54" i="32" s="1"/>
  <c r="L52" i="32"/>
  <c r="L51" i="32"/>
  <c r="J51" i="32" s="1"/>
  <c r="L50" i="32"/>
  <c r="J50" i="32" s="1"/>
  <c r="L49" i="32"/>
  <c r="J49" i="32" s="1"/>
  <c r="L48" i="32"/>
  <c r="L45" i="32"/>
  <c r="P45" i="32" s="1"/>
  <c r="L44" i="32"/>
  <c r="J44" i="32" s="1"/>
  <c r="L43" i="32"/>
  <c r="L42" i="32"/>
  <c r="J42" i="32" s="1"/>
  <c r="L41" i="32"/>
  <c r="J41" i="32"/>
  <c r="L40" i="32"/>
  <c r="L39" i="32"/>
  <c r="L38" i="32"/>
  <c r="O38" i="32" s="1"/>
  <c r="L35" i="32"/>
  <c r="J35" i="32" s="1"/>
  <c r="L34" i="32"/>
  <c r="J34" i="32" s="1"/>
  <c r="L33" i="32"/>
  <c r="J33" i="32" s="1"/>
  <c r="L32" i="32"/>
  <c r="J32" i="32"/>
  <c r="L31" i="32"/>
  <c r="J31" i="32" s="1"/>
  <c r="L30" i="32"/>
  <c r="J30" i="32"/>
  <c r="L29" i="32"/>
  <c r="J29" i="32" s="1"/>
  <c r="L28" i="32"/>
  <c r="L25" i="32"/>
  <c r="J25" i="32" s="1"/>
  <c r="L24" i="32"/>
  <c r="J24" i="32" s="1"/>
  <c r="L23" i="32"/>
  <c r="L22" i="32"/>
  <c r="J22" i="32" s="1"/>
  <c r="L21" i="32"/>
  <c r="J21" i="32" s="1"/>
  <c r="J20" i="68"/>
  <c r="L60" i="68"/>
  <c r="G32" i="68"/>
  <c r="L32" i="68" s="1"/>
  <c r="J32" i="68" s="1"/>
  <c r="G21" i="68"/>
  <c r="L21" i="68" s="1"/>
  <c r="G25" i="68"/>
  <c r="G29" i="68"/>
  <c r="L29" i="68" s="1"/>
  <c r="L49" i="68"/>
  <c r="J49" i="68"/>
  <c r="AR20" i="68"/>
  <c r="AR40" i="68" s="1"/>
  <c r="AR40" i="32"/>
  <c r="AR39" i="32"/>
  <c r="AR38" i="32"/>
  <c r="AR35" i="32"/>
  <c r="AR34" i="32"/>
  <c r="AR33" i="32"/>
  <c r="AR32" i="32"/>
  <c r="AR31" i="32"/>
  <c r="AR30" i="32"/>
  <c r="AS30" i="32" s="1"/>
  <c r="AR29" i="32"/>
  <c r="AR28" i="32"/>
  <c r="AR25" i="32"/>
  <c r="AR21" i="32"/>
  <c r="AR22" i="32"/>
  <c r="AR23" i="32"/>
  <c r="AR20" i="32"/>
  <c r="BM65" i="68"/>
  <c r="BH65" i="68"/>
  <c r="BG65" i="68"/>
  <c r="BE65" i="68"/>
  <c r="BC65" i="68"/>
  <c r="BA65" i="68"/>
  <c r="AY65" i="68"/>
  <c r="AS65" i="68"/>
  <c r="AP65" i="68"/>
  <c r="N65" i="68"/>
  <c r="M65" i="68"/>
  <c r="O64" i="68"/>
  <c r="O63" i="68"/>
  <c r="O62" i="68"/>
  <c r="P61" i="68"/>
  <c r="O61" i="68"/>
  <c r="O60" i="68"/>
  <c r="O59" i="68"/>
  <c r="U59" i="68"/>
  <c r="AA59" i="68" s="1"/>
  <c r="O58" i="68"/>
  <c r="U58" i="68" s="1"/>
  <c r="AA58" i="68" s="1"/>
  <c r="BM56" i="68"/>
  <c r="BG56" i="68"/>
  <c r="BE56" i="68"/>
  <c r="BC56" i="68"/>
  <c r="AY56" i="68"/>
  <c r="N56" i="68"/>
  <c r="M56" i="68"/>
  <c r="O55" i="68"/>
  <c r="W55" i="68" s="1"/>
  <c r="O54" i="68"/>
  <c r="W54" i="68"/>
  <c r="O53" i="68"/>
  <c r="O52" i="68"/>
  <c r="U52" i="68" s="1"/>
  <c r="AA52" i="68" s="1"/>
  <c r="O51" i="68"/>
  <c r="P51" i="68"/>
  <c r="O50" i="68"/>
  <c r="W50" i="68" s="1"/>
  <c r="O49" i="68"/>
  <c r="W49" i="68"/>
  <c r="A49" i="68"/>
  <c r="A50" i="68" s="1"/>
  <c r="A51" i="68" s="1"/>
  <c r="A52" i="68" s="1"/>
  <c r="O48" i="68"/>
  <c r="N46" i="68"/>
  <c r="M46" i="68"/>
  <c r="O45" i="68"/>
  <c r="O44" i="68"/>
  <c r="U44" i="68"/>
  <c r="O43" i="68"/>
  <c r="O42" i="68"/>
  <c r="U42" i="68"/>
  <c r="AA42" i="68" s="1"/>
  <c r="O41" i="68"/>
  <c r="U41" i="68" s="1"/>
  <c r="BF40" i="68"/>
  <c r="AO40" i="68"/>
  <c r="AP40" i="68" s="1"/>
  <c r="AS40" i="68" s="1"/>
  <c r="P40" i="68"/>
  <c r="BM40" i="68"/>
  <c r="BE40" i="68" s="1"/>
  <c r="BF39" i="68"/>
  <c r="AO39" i="68"/>
  <c r="P39" i="68"/>
  <c r="V39" i="68" s="1"/>
  <c r="AB39" i="68" s="1"/>
  <c r="BF38" i="68"/>
  <c r="AO38" i="68"/>
  <c r="AP38" i="68" s="1"/>
  <c r="P38" i="68"/>
  <c r="X38" i="68" s="1"/>
  <c r="N36" i="68"/>
  <c r="M36" i="68"/>
  <c r="BF35" i="68"/>
  <c r="AO35" i="68"/>
  <c r="BF34" i="68"/>
  <c r="AO34" i="68"/>
  <c r="AP34" i="68" s="1"/>
  <c r="BF33" i="68"/>
  <c r="AO33" i="68"/>
  <c r="AP33" i="68" s="1"/>
  <c r="P33" i="68"/>
  <c r="V33" i="68" s="1"/>
  <c r="BF32" i="68"/>
  <c r="AO32" i="68"/>
  <c r="AP32" i="68" s="1"/>
  <c r="P32" i="68"/>
  <c r="V32" i="68" s="1"/>
  <c r="AB32" i="68" s="1"/>
  <c r="BF31" i="68"/>
  <c r="AO31" i="68"/>
  <c r="P31" i="68"/>
  <c r="BF30" i="68"/>
  <c r="AO30" i="68"/>
  <c r="P30" i="68"/>
  <c r="BH29" i="68"/>
  <c r="BF29" i="68"/>
  <c r="AO29" i="68"/>
  <c r="AP29" i="68" s="1"/>
  <c r="P29" i="68"/>
  <c r="BF28" i="68"/>
  <c r="AO28" i="68"/>
  <c r="AP28" i="68" s="1"/>
  <c r="P28" i="68"/>
  <c r="A28" i="68"/>
  <c r="A29" i="68" s="1"/>
  <c r="A30" i="68" s="1"/>
  <c r="A31" i="68" s="1"/>
  <c r="A32" i="68" s="1"/>
  <c r="N26" i="68"/>
  <c r="M26" i="68"/>
  <c r="BF25" i="68"/>
  <c r="AO25" i="68"/>
  <c r="P25" i="68"/>
  <c r="X25" i="68"/>
  <c r="AO24" i="68"/>
  <c r="BF23" i="68"/>
  <c r="AO23" i="68"/>
  <c r="BF22" i="68"/>
  <c r="AO22" i="68"/>
  <c r="AP22" i="68" s="1"/>
  <c r="P22" i="68"/>
  <c r="X22" i="68"/>
  <c r="BF21" i="68"/>
  <c r="AO21" i="68"/>
  <c r="AP21" i="68" s="1"/>
  <c r="P21" i="68"/>
  <c r="V21" i="68" s="1"/>
  <c r="AB21" i="68" s="1"/>
  <c r="A21" i="68"/>
  <c r="A22" i="68" s="1"/>
  <c r="A23" i="68" s="1"/>
  <c r="A24" i="68" s="1"/>
  <c r="A25" i="68" s="1"/>
  <c r="BF20" i="68"/>
  <c r="AO20" i="68"/>
  <c r="AP20" i="68" s="1"/>
  <c r="P20" i="68"/>
  <c r="BH20" i="68"/>
  <c r="G18" i="68"/>
  <c r="H18" i="68" s="1"/>
  <c r="I18" i="68" s="1"/>
  <c r="J18" i="68" s="1"/>
  <c r="K18" i="68" s="1"/>
  <c r="L18" i="68" s="1"/>
  <c r="M18" i="68" s="1"/>
  <c r="N18" i="68" s="1"/>
  <c r="O18" i="68" s="1"/>
  <c r="P18" i="68" s="1"/>
  <c r="Q18" i="68" s="1"/>
  <c r="R18" i="68" s="1"/>
  <c r="S18" i="68" s="1"/>
  <c r="T18" i="68" s="1"/>
  <c r="U18" i="68" s="1"/>
  <c r="V18" i="68" s="1"/>
  <c r="W18" i="68" s="1"/>
  <c r="X18" i="68" s="1"/>
  <c r="Y18" i="68" s="1"/>
  <c r="Z18" i="68" s="1"/>
  <c r="AA18" i="68" s="1"/>
  <c r="AB18" i="68" s="1"/>
  <c r="AC18" i="68" s="1"/>
  <c r="AD18" i="68" s="1"/>
  <c r="AE18" i="68" s="1"/>
  <c r="AF18" i="68" s="1"/>
  <c r="AG18" i="68" s="1"/>
  <c r="AH18" i="68" s="1"/>
  <c r="AI18" i="68" s="1"/>
  <c r="AJ18" i="68" s="1"/>
  <c r="AK18" i="68" s="1"/>
  <c r="AL18" i="68" s="1"/>
  <c r="AM18" i="68" s="1"/>
  <c r="AN18" i="68" s="1"/>
  <c r="AO18" i="68" s="1"/>
  <c r="AP18" i="68" s="1"/>
  <c r="AQ18" i="68" s="1"/>
  <c r="AR18" i="68" s="1"/>
  <c r="AS18" i="68" s="1"/>
  <c r="AT18" i="68" s="1"/>
  <c r="AU18" i="68" s="1"/>
  <c r="AV18" i="68" s="1"/>
  <c r="AW18" i="68" s="1"/>
  <c r="AX18" i="68" s="1"/>
  <c r="AY18" i="68" s="1"/>
  <c r="AZ18" i="68" s="1"/>
  <c r="BA18" i="68" s="1"/>
  <c r="BB18" i="68" s="1"/>
  <c r="BC18" i="68" s="1"/>
  <c r="BD18" i="68" s="1"/>
  <c r="BE18" i="68" s="1"/>
  <c r="BF18" i="68" s="1"/>
  <c r="BG18" i="68" s="1"/>
  <c r="BH18" i="68" s="1"/>
  <c r="BI18" i="68" s="1"/>
  <c r="BJ18" i="68" s="1"/>
  <c r="BK18" i="68" s="1"/>
  <c r="BL18" i="68" s="1"/>
  <c r="BM18" i="68" s="1"/>
  <c r="B18" i="68"/>
  <c r="A18" i="68"/>
  <c r="H11" i="68"/>
  <c r="H10" i="68"/>
  <c r="L53" i="68"/>
  <c r="H9" i="68"/>
  <c r="L45" i="68"/>
  <c r="J45" i="68" s="1"/>
  <c r="H8" i="68"/>
  <c r="L34" i="68"/>
  <c r="H7" i="68"/>
  <c r="G24" i="68" s="1"/>
  <c r="L24" i="68" s="1"/>
  <c r="U54" i="68"/>
  <c r="Y54" i="68" s="1"/>
  <c r="X21" i="68"/>
  <c r="O20" i="68"/>
  <c r="BC40" i="68"/>
  <c r="BM20" i="68"/>
  <c r="X33" i="68"/>
  <c r="W48" i="68"/>
  <c r="U49" i="68"/>
  <c r="AA49" i="68" s="1"/>
  <c r="O40" i="68"/>
  <c r="P58" i="68"/>
  <c r="BH40" i="68"/>
  <c r="U48" i="68"/>
  <c r="W52" i="68"/>
  <c r="W60" i="68"/>
  <c r="U60" i="68"/>
  <c r="Y60" i="68" s="1"/>
  <c r="P49" i="68"/>
  <c r="BK49" i="68" s="1"/>
  <c r="W51" i="68"/>
  <c r="W59" i="68"/>
  <c r="U55" i="68"/>
  <c r="Y55" i="68" s="1"/>
  <c r="BF40" i="32"/>
  <c r="BF39" i="32"/>
  <c r="BF38" i="32"/>
  <c r="BF35" i="32"/>
  <c r="BF34" i="32"/>
  <c r="BF33" i="32"/>
  <c r="BF32" i="32"/>
  <c r="BF31" i="32"/>
  <c r="BF30" i="32"/>
  <c r="BF29" i="32"/>
  <c r="BF28" i="32"/>
  <c r="BG28" i="32" s="1"/>
  <c r="BF25" i="32"/>
  <c r="BF23" i="32"/>
  <c r="BF22" i="32"/>
  <c r="BF21" i="32"/>
  <c r="BF20" i="32"/>
  <c r="BR45" i="31"/>
  <c r="BR44" i="31"/>
  <c r="BR32" i="31"/>
  <c r="BR30" i="31"/>
  <c r="BR27" i="31"/>
  <c r="BR25" i="31"/>
  <c r="BR23" i="31"/>
  <c r="BR24" i="31"/>
  <c r="BR22" i="31"/>
  <c r="BG48" i="31"/>
  <c r="P44" i="31"/>
  <c r="X44" i="31"/>
  <c r="O36" i="31"/>
  <c r="V44" i="31"/>
  <c r="AB44" i="31" s="1"/>
  <c r="AO44" i="31"/>
  <c r="G24" i="31"/>
  <c r="L24" i="31" s="1"/>
  <c r="P24" i="31"/>
  <c r="G22" i="31"/>
  <c r="L22" i="31" s="1"/>
  <c r="AO24" i="31"/>
  <c r="A23" i="31"/>
  <c r="A24" i="31" s="1"/>
  <c r="A25" i="31" s="1"/>
  <c r="A26" i="31" s="1"/>
  <c r="A27" i="31" s="1"/>
  <c r="A28" i="31" s="1"/>
  <c r="A29" i="31" s="1"/>
  <c r="P23" i="31"/>
  <c r="V23" i="31" s="1"/>
  <c r="AB23" i="31" s="1"/>
  <c r="AO23" i="31"/>
  <c r="P22" i="31"/>
  <c r="AO22" i="31"/>
  <c r="AP22" i="31" s="1"/>
  <c r="BH35" i="87"/>
  <c r="D12" i="31"/>
  <c r="G25" i="31"/>
  <c r="L25" i="31" s="1"/>
  <c r="G32" i="31"/>
  <c r="L32" i="31" s="1"/>
  <c r="A30" i="31"/>
  <c r="A31" i="31" s="1"/>
  <c r="A32" i="31" s="1"/>
  <c r="AP21" i="32"/>
  <c r="AS21" i="32" s="1"/>
  <c r="AP25" i="32"/>
  <c r="AP28" i="32"/>
  <c r="AS28" i="32" s="1"/>
  <c r="H8" i="32"/>
  <c r="AS65" i="32"/>
  <c r="O21" i="32"/>
  <c r="BK21" i="32" s="1"/>
  <c r="O25" i="32"/>
  <c r="O28" i="32"/>
  <c r="O29" i="32"/>
  <c r="O32" i="32"/>
  <c r="O39" i="32"/>
  <c r="O40" i="32"/>
  <c r="H7" i="32"/>
  <c r="O41" i="32"/>
  <c r="O42" i="32"/>
  <c r="O43" i="32"/>
  <c r="W43" i="32" s="1"/>
  <c r="O44" i="32"/>
  <c r="O45" i="32"/>
  <c r="BK45" i="32" s="1"/>
  <c r="O49" i="32"/>
  <c r="O50" i="32"/>
  <c r="BK50" i="32" s="1"/>
  <c r="O51" i="32"/>
  <c r="O52" i="32"/>
  <c r="O53" i="32"/>
  <c r="O54" i="32"/>
  <c r="O55" i="32"/>
  <c r="O58" i="32"/>
  <c r="O59" i="32"/>
  <c r="O60" i="32"/>
  <c r="O61" i="32"/>
  <c r="W61" i="32" s="1"/>
  <c r="O62" i="32"/>
  <c r="W62" i="32" s="1"/>
  <c r="O63" i="32"/>
  <c r="O64" i="32"/>
  <c r="P41" i="32"/>
  <c r="P42" i="32"/>
  <c r="H9" i="32"/>
  <c r="P44" i="32"/>
  <c r="P48" i="32"/>
  <c r="T48" i="32" s="1"/>
  <c r="V48" i="32" s="1"/>
  <c r="P51" i="32"/>
  <c r="H10" i="32"/>
  <c r="P59" i="32"/>
  <c r="BK59" i="32" s="1"/>
  <c r="P61" i="32"/>
  <c r="P60" i="32"/>
  <c r="H11" i="32"/>
  <c r="AX20" i="32"/>
  <c r="AY20" i="32" s="1"/>
  <c r="AX28" i="32"/>
  <c r="AY28" i="32" s="1"/>
  <c r="AX32" i="32"/>
  <c r="AY32" i="32" s="1"/>
  <c r="AX35" i="32"/>
  <c r="AY35" i="32" s="1"/>
  <c r="AX40" i="32"/>
  <c r="AY40" i="32" s="1"/>
  <c r="AY56" i="32"/>
  <c r="AY65" i="32"/>
  <c r="BA65" i="32"/>
  <c r="BM21" i="32"/>
  <c r="BM25" i="32"/>
  <c r="BG25" i="32" s="1"/>
  <c r="BH21" i="32"/>
  <c r="BH25" i="32"/>
  <c r="BM28" i="32"/>
  <c r="BE28" i="32" s="1"/>
  <c r="BM29" i="32"/>
  <c r="BE29" i="32" s="1"/>
  <c r="BC29" i="32"/>
  <c r="BM32" i="32"/>
  <c r="BH28" i="32"/>
  <c r="BH29" i="32"/>
  <c r="BH32" i="32"/>
  <c r="BM38" i="32"/>
  <c r="BC38" i="32"/>
  <c r="BE38" i="32"/>
  <c r="BM39" i="32"/>
  <c r="BM40" i="32"/>
  <c r="BC40" i="32"/>
  <c r="BG38" i="32"/>
  <c r="BH38" i="32"/>
  <c r="BH46" i="32" s="1"/>
  <c r="BH39" i="32"/>
  <c r="BH40" i="32"/>
  <c r="BC56" i="32"/>
  <c r="BE56" i="32"/>
  <c r="BG56" i="32"/>
  <c r="BC65" i="32"/>
  <c r="BE65" i="32"/>
  <c r="BG65" i="32"/>
  <c r="BH65" i="32"/>
  <c r="AO46" i="31"/>
  <c r="AO45" i="31"/>
  <c r="AO37" i="31"/>
  <c r="AP37" i="31" s="1"/>
  <c r="AO36" i="31"/>
  <c r="AP36" i="31" s="1"/>
  <c r="AS36" i="31" s="1"/>
  <c r="AO32" i="31"/>
  <c r="AP32" i="31" s="1"/>
  <c r="AO30" i="31"/>
  <c r="AP30" i="31" s="1"/>
  <c r="AS30" i="31" s="1"/>
  <c r="AO27" i="31"/>
  <c r="AO25" i="31"/>
  <c r="AP25" i="31" s="1"/>
  <c r="AS25" i="31" s="1"/>
  <c r="O47" i="31"/>
  <c r="O48" i="31"/>
  <c r="O49" i="31"/>
  <c r="BC47" i="31"/>
  <c r="AW50" i="31"/>
  <c r="AZ32" i="31"/>
  <c r="BA32" i="31" s="1"/>
  <c r="BA34" i="31" s="1"/>
  <c r="BA51" i="31" s="1"/>
  <c r="B14" i="56" s="1"/>
  <c r="C14" i="56" s="1"/>
  <c r="BA50" i="31"/>
  <c r="BI27" i="31"/>
  <c r="BM46" i="31"/>
  <c r="BM50" i="31" s="1"/>
  <c r="BM51" i="31" s="1"/>
  <c r="B20" i="56" s="1"/>
  <c r="C20" i="56" s="1"/>
  <c r="B26" i="56"/>
  <c r="BE34" i="31"/>
  <c r="BE47" i="31"/>
  <c r="BE50" i="31" s="1"/>
  <c r="P20" i="32"/>
  <c r="P21" i="32"/>
  <c r="P22" i="32"/>
  <c r="P25" i="32"/>
  <c r="P28" i="32"/>
  <c r="P29" i="32"/>
  <c r="P30" i="32"/>
  <c r="P31" i="32"/>
  <c r="P32" i="32"/>
  <c r="P33" i="32"/>
  <c r="P38" i="32"/>
  <c r="P39" i="32"/>
  <c r="P40" i="32"/>
  <c r="BK51" i="32"/>
  <c r="BK41" i="32"/>
  <c r="BK38" i="32"/>
  <c r="BK25" i="32"/>
  <c r="P46" i="31"/>
  <c r="P45" i="31"/>
  <c r="P25" i="31"/>
  <c r="V25" i="31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Q18" i="32" s="1"/>
  <c r="R18" i="32" s="1"/>
  <c r="S18" i="32" s="1"/>
  <c r="T18" i="32" s="1"/>
  <c r="U18" i="32" s="1"/>
  <c r="V18" i="32" s="1"/>
  <c r="W18" i="32" s="1"/>
  <c r="X18" i="32" s="1"/>
  <c r="Y18" i="32" s="1"/>
  <c r="Z18" i="32" s="1"/>
  <c r="AA18" i="32" s="1"/>
  <c r="AB18" i="32" s="1"/>
  <c r="AC18" i="32" s="1"/>
  <c r="AD18" i="32" s="1"/>
  <c r="AE18" i="32" s="1"/>
  <c r="AF18" i="32" s="1"/>
  <c r="AG18" i="32" s="1"/>
  <c r="AH18" i="32" s="1"/>
  <c r="AI18" i="32" s="1"/>
  <c r="AJ18" i="32" s="1"/>
  <c r="AK18" i="32" s="1"/>
  <c r="AL18" i="32" s="1"/>
  <c r="AM18" i="32" s="1"/>
  <c r="AN18" i="32" s="1"/>
  <c r="AO18" i="32" s="1"/>
  <c r="AP18" i="32" s="1"/>
  <c r="AQ18" i="32" s="1"/>
  <c r="AR18" i="32" s="1"/>
  <c r="AS18" i="32" s="1"/>
  <c r="AT18" i="32" s="1"/>
  <c r="AU18" i="32" s="1"/>
  <c r="AV18" i="32" s="1"/>
  <c r="AW18" i="32" s="1"/>
  <c r="AX18" i="32" s="1"/>
  <c r="AY18" i="32" s="1"/>
  <c r="AZ18" i="32" s="1"/>
  <c r="BA18" i="32" s="1"/>
  <c r="BB18" i="32" s="1"/>
  <c r="BC18" i="32" s="1"/>
  <c r="BD18" i="32" s="1"/>
  <c r="BE18" i="32" s="1"/>
  <c r="BF18" i="32" s="1"/>
  <c r="BG18" i="32" s="1"/>
  <c r="BH18" i="32" s="1"/>
  <c r="BI18" i="32" s="1"/>
  <c r="BJ18" i="32" s="1"/>
  <c r="BK18" i="32" s="1"/>
  <c r="BL18" i="32" s="1"/>
  <c r="BM18" i="32" s="1"/>
  <c r="B29" i="56"/>
  <c r="G20" i="31"/>
  <c r="H20" i="31" s="1"/>
  <c r="I20" i="31" s="1"/>
  <c r="J20" i="31" s="1"/>
  <c r="K20" i="31" s="1"/>
  <c r="L20" i="31" s="1"/>
  <c r="M20" i="31" s="1"/>
  <c r="N20" i="31" s="1"/>
  <c r="O20" i="31" s="1"/>
  <c r="P20" i="31" s="1"/>
  <c r="Q20" i="31" s="1"/>
  <c r="R20" i="31" s="1"/>
  <c r="S20" i="31" s="1"/>
  <c r="T20" i="31" s="1"/>
  <c r="U20" i="31" s="1"/>
  <c r="V20" i="31" s="1"/>
  <c r="W20" i="31" s="1"/>
  <c r="X20" i="31" s="1"/>
  <c r="Y20" i="31" s="1"/>
  <c r="Z20" i="31" s="1"/>
  <c r="AA20" i="31" s="1"/>
  <c r="AB20" i="31" s="1"/>
  <c r="AC20" i="31" s="1"/>
  <c r="AD20" i="31" s="1"/>
  <c r="AE20" i="31" s="1"/>
  <c r="AF20" i="31" s="1"/>
  <c r="AG20" i="31" s="1"/>
  <c r="AH20" i="31" s="1"/>
  <c r="AI20" i="31" s="1"/>
  <c r="AJ20" i="31" s="1"/>
  <c r="AK20" i="31" s="1"/>
  <c r="AL20" i="31" s="1"/>
  <c r="AM20" i="31" s="1"/>
  <c r="AN20" i="31" s="1"/>
  <c r="AO20" i="31" s="1"/>
  <c r="AP20" i="31" s="1"/>
  <c r="AQ20" i="31" s="1"/>
  <c r="AR20" i="31" s="1"/>
  <c r="AS20" i="31" s="1"/>
  <c r="AT20" i="31" s="1"/>
  <c r="AU20" i="31" s="1"/>
  <c r="AV20" i="31" s="1"/>
  <c r="AW20" i="31" s="1"/>
  <c r="AX20" i="31" s="1"/>
  <c r="AY20" i="31" s="1"/>
  <c r="AZ20" i="31" s="1"/>
  <c r="BA20" i="31" s="1"/>
  <c r="BB20" i="31" s="1"/>
  <c r="BC20" i="31" s="1"/>
  <c r="BD20" i="31" s="1"/>
  <c r="BE20" i="31" s="1"/>
  <c r="BF20" i="31" s="1"/>
  <c r="BG20" i="31" s="1"/>
  <c r="BH20" i="31" s="1"/>
  <c r="BI20" i="31" s="1"/>
  <c r="BJ20" i="31" s="1"/>
  <c r="BK20" i="31" s="1"/>
  <c r="BL20" i="31" s="1"/>
  <c r="BM20" i="31" s="1"/>
  <c r="BN20" i="31" s="1"/>
  <c r="BO20" i="31" s="1"/>
  <c r="BP20" i="31" s="1"/>
  <c r="BQ20" i="31" s="1"/>
  <c r="BR20" i="31" s="1"/>
  <c r="BS20" i="31" s="1"/>
  <c r="BT20" i="31" s="1"/>
  <c r="BU20" i="31" s="1"/>
  <c r="BV20" i="31" s="1"/>
  <c r="BW20" i="31" s="1"/>
  <c r="BX20" i="31" s="1"/>
  <c r="BY20" i="31" s="1"/>
  <c r="AZ28" i="32"/>
  <c r="BA28" i="32" s="1"/>
  <c r="AZ31" i="32"/>
  <c r="BA31" i="32" s="1"/>
  <c r="AZ23" i="32"/>
  <c r="BA23" i="32" s="1"/>
  <c r="BK44" i="31"/>
  <c r="BH34" i="87"/>
  <c r="BH32" i="87"/>
  <c r="BH31" i="87"/>
  <c r="BH30" i="87"/>
  <c r="BI30" i="87" s="1"/>
  <c r="D11" i="31"/>
  <c r="B8" i="56"/>
  <c r="B9" i="56" s="1"/>
  <c r="M26" i="32"/>
  <c r="M36" i="32"/>
  <c r="M46" i="32"/>
  <c r="M56" i="32"/>
  <c r="M65" i="32"/>
  <c r="N26" i="32"/>
  <c r="N36" i="32"/>
  <c r="N46" i="32"/>
  <c r="N56" i="32"/>
  <c r="N65" i="32"/>
  <c r="AP65" i="32"/>
  <c r="BM46" i="32"/>
  <c r="BM56" i="32"/>
  <c r="BM65" i="32"/>
  <c r="C29" i="56"/>
  <c r="C26" i="56"/>
  <c r="M34" i="31"/>
  <c r="M50" i="31"/>
  <c r="N34" i="31"/>
  <c r="N50" i="31"/>
  <c r="AU50" i="31"/>
  <c r="AY50" i="31"/>
  <c r="BC34" i="31"/>
  <c r="A18" i="32"/>
  <c r="B18" i="32"/>
  <c r="A21" i="32"/>
  <c r="A22" i="32" s="1"/>
  <c r="A23" i="32" s="1"/>
  <c r="A24" i="32" s="1"/>
  <c r="A25" i="32" s="1"/>
  <c r="A28" i="32"/>
  <c r="A29" i="32"/>
  <c r="A30" i="32" s="1"/>
  <c r="A31" i="32" s="1"/>
  <c r="A32" i="32" s="1"/>
  <c r="A49" i="32"/>
  <c r="A50" i="32" s="1"/>
  <c r="A51" i="32" s="1"/>
  <c r="A52" i="32" s="1"/>
  <c r="A20" i="31"/>
  <c r="B20" i="31"/>
  <c r="A37" i="31"/>
  <c r="A46" i="31"/>
  <c r="A47" i="31" s="1"/>
  <c r="BK27" i="31"/>
  <c r="BK45" i="31"/>
  <c r="BK30" i="31"/>
  <c r="BL30" i="31" s="1"/>
  <c r="BK22" i="31"/>
  <c r="BL22" i="31" s="1"/>
  <c r="BK46" i="31"/>
  <c r="V46" i="31"/>
  <c r="AB46" i="31" s="1"/>
  <c r="X46" i="31"/>
  <c r="BK25" i="31"/>
  <c r="BK37" i="31"/>
  <c r="BI37" i="31"/>
  <c r="BI46" i="31"/>
  <c r="BK36" i="31"/>
  <c r="V45" i="31"/>
  <c r="AB45" i="31" s="1"/>
  <c r="X45" i="31"/>
  <c r="V40" i="32"/>
  <c r="AB40" i="32" s="1"/>
  <c r="X40" i="32"/>
  <c r="V30" i="32"/>
  <c r="AB30" i="32" s="1"/>
  <c r="X30" i="32"/>
  <c r="X20" i="32"/>
  <c r="V20" i="32"/>
  <c r="V39" i="32"/>
  <c r="Z39" i="32" s="1"/>
  <c r="X39" i="32"/>
  <c r="V33" i="32"/>
  <c r="AB33" i="32" s="1"/>
  <c r="V25" i="32"/>
  <c r="X25" i="32"/>
  <c r="V38" i="32"/>
  <c r="AB38" i="32" s="1"/>
  <c r="X38" i="32"/>
  <c r="X32" i="32"/>
  <c r="V32" i="32"/>
  <c r="AB32" i="32" s="1"/>
  <c r="V28" i="32"/>
  <c r="AB28" i="32" s="1"/>
  <c r="X28" i="32"/>
  <c r="V22" i="32"/>
  <c r="AB22" i="32" s="1"/>
  <c r="X22" i="32"/>
  <c r="X31" i="32"/>
  <c r="V31" i="32"/>
  <c r="AB31" i="32" s="1"/>
  <c r="X21" i="32"/>
  <c r="U49" i="31"/>
  <c r="Y49" i="31" s="1"/>
  <c r="W49" i="31"/>
  <c r="O30" i="32"/>
  <c r="BH30" i="32"/>
  <c r="BM30" i="32"/>
  <c r="BK20" i="32"/>
  <c r="BM20" i="32"/>
  <c r="BH20" i="32"/>
  <c r="BH26" i="32" s="1"/>
  <c r="U48" i="31"/>
  <c r="AA48" i="31" s="1"/>
  <c r="W48" i="31"/>
  <c r="BH50" i="32"/>
  <c r="P50" i="32"/>
  <c r="BG40" i="32"/>
  <c r="BE40" i="32"/>
  <c r="BE46" i="32" s="1"/>
  <c r="U52" i="32"/>
  <c r="AA52" i="32" s="1"/>
  <c r="W52" i="32"/>
  <c r="U43" i="32"/>
  <c r="AA43" i="32" s="1"/>
  <c r="BG29" i="32"/>
  <c r="BC25" i="32"/>
  <c r="U55" i="32"/>
  <c r="AA55" i="32" s="1"/>
  <c r="W55" i="32"/>
  <c r="U51" i="32"/>
  <c r="AA51" i="32" s="1"/>
  <c r="W51" i="32"/>
  <c r="U42" i="32"/>
  <c r="W42" i="32"/>
  <c r="W63" i="32"/>
  <c r="U63" i="32"/>
  <c r="AA63" i="32" s="1"/>
  <c r="W59" i="32"/>
  <c r="U59" i="32"/>
  <c r="AA59" i="32" s="1"/>
  <c r="U54" i="32"/>
  <c r="W45" i="32"/>
  <c r="U45" i="32"/>
  <c r="AA45" i="32" s="1"/>
  <c r="U41" i="32"/>
  <c r="Y41" i="32" s="1"/>
  <c r="W41" i="32"/>
  <c r="AU32" i="31"/>
  <c r="G26" i="31" s="1"/>
  <c r="AU34" i="31"/>
  <c r="AU51" i="31" s="1"/>
  <c r="AY32" i="31"/>
  <c r="U62" i="32"/>
  <c r="AA62" i="32" s="1"/>
  <c r="U58" i="32"/>
  <c r="AA58" i="32" s="1"/>
  <c r="W58" i="32"/>
  <c r="W53" i="32"/>
  <c r="U53" i="32"/>
  <c r="Y53" i="32" s="1"/>
  <c r="W44" i="32"/>
  <c r="BI44" i="31"/>
  <c r="BJ44" i="31" s="1"/>
  <c r="BI24" i="31"/>
  <c r="BJ24" i="31" s="1"/>
  <c r="X24" i="31"/>
  <c r="AP24" i="31"/>
  <c r="O24" i="31"/>
  <c r="BW24" i="31" s="1"/>
  <c r="BY24" i="31"/>
  <c r="BT24" i="31"/>
  <c r="O22" i="32"/>
  <c r="BM22" i="32"/>
  <c r="BH22" i="32"/>
  <c r="AA49" i="31"/>
  <c r="P32" i="31"/>
  <c r="BK30" i="32"/>
  <c r="G29" i="31"/>
  <c r="L29" i="31" s="1"/>
  <c r="AY34" i="31"/>
  <c r="AP31" i="32"/>
  <c r="AS31" i="32" s="1"/>
  <c r="BC30" i="32"/>
  <c r="BH23" i="32"/>
  <c r="BM31" i="32"/>
  <c r="BH31" i="32"/>
  <c r="O31" i="32"/>
  <c r="BK31" i="32" s="1"/>
  <c r="G30" i="31"/>
  <c r="L30" i="31" s="1"/>
  <c r="P29" i="31"/>
  <c r="BK22" i="32"/>
  <c r="BG31" i="32"/>
  <c r="BC31" i="32"/>
  <c r="BE31" i="32"/>
  <c r="O29" i="31"/>
  <c r="G31" i="31"/>
  <c r="L31" i="31" s="1"/>
  <c r="P30" i="31"/>
  <c r="O30" i="31"/>
  <c r="BY30" i="31"/>
  <c r="BT30" i="31"/>
  <c r="BW30" i="31"/>
  <c r="P24" i="32"/>
  <c r="AA41" i="68"/>
  <c r="BH28" i="68"/>
  <c r="BM28" i="68"/>
  <c r="O28" i="68"/>
  <c r="BK28" i="68" s="1"/>
  <c r="BK20" i="68"/>
  <c r="BK58" i="68"/>
  <c r="BE20" i="68"/>
  <c r="BC20" i="68"/>
  <c r="BG20" i="68"/>
  <c r="P62" i="32"/>
  <c r="BK62" i="32" s="1"/>
  <c r="P53" i="32"/>
  <c r="BK53" i="32" s="1"/>
  <c r="BM33" i="32"/>
  <c r="BC33" i="32" s="1"/>
  <c r="O33" i="32"/>
  <c r="BH33" i="32"/>
  <c r="BG28" i="68"/>
  <c r="P63" i="32"/>
  <c r="BK63" i="32"/>
  <c r="P64" i="32"/>
  <c r="P54" i="32"/>
  <c r="P55" i="32"/>
  <c r="BK55" i="32" s="1"/>
  <c r="AP35" i="32"/>
  <c r="AS35" i="32" s="1"/>
  <c r="BH34" i="32"/>
  <c r="BK54" i="32"/>
  <c r="P35" i="32"/>
  <c r="BM35" i="32"/>
  <c r="BC35" i="32" s="1"/>
  <c r="R22" i="31"/>
  <c r="W22" i="31" s="1"/>
  <c r="R36" i="31"/>
  <c r="W36" i="31" s="1"/>
  <c r="R37" i="31"/>
  <c r="R46" i="31"/>
  <c r="AB39" i="32"/>
  <c r="AR29" i="68"/>
  <c r="AR34" i="68"/>
  <c r="AR23" i="68"/>
  <c r="AR28" i="68"/>
  <c r="AA48" i="68"/>
  <c r="Y48" i="68"/>
  <c r="L62" i="68"/>
  <c r="L43" i="68"/>
  <c r="P43" i="68"/>
  <c r="BK43" i="68" s="1"/>
  <c r="L33" i="68"/>
  <c r="O33" i="68"/>
  <c r="BK33" i="68" s="1"/>
  <c r="BK51" i="68"/>
  <c r="X32" i="68"/>
  <c r="Z21" i="68"/>
  <c r="Y52" i="68"/>
  <c r="V22" i="68"/>
  <c r="AB22" i="68" s="1"/>
  <c r="U50" i="68"/>
  <c r="Y50" i="68" s="1"/>
  <c r="W42" i="68"/>
  <c r="U51" i="68"/>
  <c r="Y51" i="68" s="1"/>
  <c r="V25" i="68"/>
  <c r="AB25" i="68" s="1"/>
  <c r="W58" i="68"/>
  <c r="W61" i="68"/>
  <c r="BA24" i="68"/>
  <c r="AY24" i="68"/>
  <c r="O24" i="68"/>
  <c r="BC39" i="32"/>
  <c r="BC46" i="32" s="1"/>
  <c r="BE21" i="32"/>
  <c r="BE32" i="32"/>
  <c r="BE25" i="32"/>
  <c r="BK44" i="32"/>
  <c r="BK42" i="32"/>
  <c r="BC21" i="32"/>
  <c r="BC32" i="32"/>
  <c r="BC28" i="32"/>
  <c r="L55" i="68"/>
  <c r="J55" i="68" s="1"/>
  <c r="J33" i="68"/>
  <c r="BK64" i="32"/>
  <c r="P49" i="32"/>
  <c r="BA49" i="32"/>
  <c r="P43" i="32"/>
  <c r="BK43" i="32" s="1"/>
  <c r="O46" i="32"/>
  <c r="J43" i="32"/>
  <c r="J45" i="32"/>
  <c r="BE35" i="32"/>
  <c r="BM34" i="32"/>
  <c r="BG34" i="32" s="1"/>
  <c r="O34" i="32"/>
  <c r="BH35" i="32"/>
  <c r="O35" i="32"/>
  <c r="P34" i="32"/>
  <c r="AY24" i="32"/>
  <c r="O24" i="32"/>
  <c r="BK24" i="32" s="1"/>
  <c r="BM24" i="32"/>
  <c r="BE24" i="32" s="1"/>
  <c r="BA24" i="32"/>
  <c r="AU36" i="32"/>
  <c r="AU66" i="32" s="1"/>
  <c r="U64" i="68"/>
  <c r="P50" i="68"/>
  <c r="BK50" i="68" s="1"/>
  <c r="V38" i="68"/>
  <c r="W44" i="68"/>
  <c r="P44" i="68"/>
  <c r="BK44" i="68" s="1"/>
  <c r="X39" i="68"/>
  <c r="BG40" i="68"/>
  <c r="BA49" i="68"/>
  <c r="Y49" i="68"/>
  <c r="AD49" i="68" s="1"/>
  <c r="U45" i="68"/>
  <c r="AA45" i="68" s="1"/>
  <c r="BM33" i="68"/>
  <c r="BG33" i="68" s="1"/>
  <c r="J53" i="68"/>
  <c r="P53" i="68"/>
  <c r="BK53" i="68" s="1"/>
  <c r="BH33" i="68"/>
  <c r="BM24" i="68"/>
  <c r="J24" i="68"/>
  <c r="AA64" i="68"/>
  <c r="L54" i="68"/>
  <c r="P54" i="68"/>
  <c r="BK54" i="68" s="1"/>
  <c r="P24" i="68"/>
  <c r="BK24" i="68" s="1"/>
  <c r="J34" i="68"/>
  <c r="P34" i="68"/>
  <c r="O34" i="68"/>
  <c r="BM34" i="68"/>
  <c r="BH34" i="68"/>
  <c r="J43" i="68"/>
  <c r="L64" i="68"/>
  <c r="L63" i="68"/>
  <c r="J63" i="68" s="1"/>
  <c r="P55" i="68"/>
  <c r="P45" i="68"/>
  <c r="BC33" i="68"/>
  <c r="BG22" i="32"/>
  <c r="BC22" i="32"/>
  <c r="BE22" i="32"/>
  <c r="Z30" i="32"/>
  <c r="BE34" i="32"/>
  <c r="BK35" i="32"/>
  <c r="BE33" i="32"/>
  <c r="BG33" i="32"/>
  <c r="BG24" i="32"/>
  <c r="U47" i="31"/>
  <c r="AA47" i="31" s="1"/>
  <c r="BS24" i="31"/>
  <c r="BQ24" i="31"/>
  <c r="BO24" i="31"/>
  <c r="BE28" i="68"/>
  <c r="BC28" i="68"/>
  <c r="BG20" i="32"/>
  <c r="N66" i="32"/>
  <c r="O32" i="31"/>
  <c r="BY32" i="31"/>
  <c r="AZ50" i="68"/>
  <c r="BA50" i="68" s="1"/>
  <c r="AZ50" i="32"/>
  <c r="BA50" i="32" s="1"/>
  <c r="AA41" i="32"/>
  <c r="AZ25" i="68"/>
  <c r="AZ32" i="68"/>
  <c r="BA32" i="68" s="1"/>
  <c r="AZ32" i="32"/>
  <c r="BA32" i="32" s="1"/>
  <c r="AZ25" i="32"/>
  <c r="BA25" i="32" s="1"/>
  <c r="AZ39" i="68"/>
  <c r="AZ30" i="68"/>
  <c r="AZ22" i="68"/>
  <c r="AZ21" i="68"/>
  <c r="BA21" i="68" s="1"/>
  <c r="AZ29" i="68"/>
  <c r="BA29" i="68" s="1"/>
  <c r="AZ40" i="68"/>
  <c r="BA40" i="68" s="1"/>
  <c r="AZ30" i="32"/>
  <c r="BA30" i="32" s="1"/>
  <c r="AZ21" i="32"/>
  <c r="BA21" i="32" s="1"/>
  <c r="AZ40" i="32"/>
  <c r="BA40" i="32" s="1"/>
  <c r="AZ39" i="32"/>
  <c r="BA39" i="32" s="1"/>
  <c r="AZ22" i="32"/>
  <c r="BA22" i="32" s="1"/>
  <c r="AZ29" i="32"/>
  <c r="BA29" i="32" s="1"/>
  <c r="N51" i="31"/>
  <c r="M66" i="32"/>
  <c r="AZ33" i="68"/>
  <c r="BA33" i="68" s="1"/>
  <c r="AZ33" i="32"/>
  <c r="BA33" i="32" s="1"/>
  <c r="AZ35" i="68"/>
  <c r="AZ35" i="32"/>
  <c r="BA35" i="32" s="1"/>
  <c r="AZ34" i="68"/>
  <c r="BA34" i="68" s="1"/>
  <c r="AZ20" i="68"/>
  <c r="BA20" i="68" s="1"/>
  <c r="AZ38" i="68"/>
  <c r="AZ28" i="68"/>
  <c r="BA28" i="68" s="1"/>
  <c r="AZ48" i="68"/>
  <c r="AZ23" i="68"/>
  <c r="AZ31" i="68"/>
  <c r="X30" i="68"/>
  <c r="V30" i="68"/>
  <c r="AB30" i="68" s="1"/>
  <c r="V31" i="68"/>
  <c r="X31" i="68"/>
  <c r="U62" i="68"/>
  <c r="W62" i="68"/>
  <c r="BE39" i="32"/>
  <c r="BG39" i="32"/>
  <c r="BG46" i="32" s="1"/>
  <c r="U61" i="68"/>
  <c r="AA61" i="68" s="1"/>
  <c r="O65" i="68"/>
  <c r="BK32" i="32"/>
  <c r="BF48" i="31"/>
  <c r="BK23" i="31"/>
  <c r="V40" i="68"/>
  <c r="X40" i="68"/>
  <c r="U43" i="68"/>
  <c r="AA43" i="68" s="1"/>
  <c r="W43" i="68"/>
  <c r="V22" i="31"/>
  <c r="AB22" i="31" s="1"/>
  <c r="X22" i="31"/>
  <c r="Z22" i="31"/>
  <c r="L44" i="31"/>
  <c r="AP44" i="31"/>
  <c r="N66" i="68"/>
  <c r="AX20" i="68"/>
  <c r="AY20" i="68" s="1"/>
  <c r="AX21" i="68"/>
  <c r="AY21" i="68" s="1"/>
  <c r="AX25" i="68"/>
  <c r="AX35" i="68"/>
  <c r="AX40" i="68"/>
  <c r="AY40" i="68" s="1"/>
  <c r="AX31" i="68"/>
  <c r="AX29" i="68"/>
  <c r="AY29" i="68" s="1"/>
  <c r="AX22" i="68"/>
  <c r="AX39" i="68"/>
  <c r="AX38" i="68"/>
  <c r="AX28" i="68"/>
  <c r="AY28" i="68" s="1"/>
  <c r="AX23" i="68"/>
  <c r="AX33" i="68"/>
  <c r="AY33" i="68" s="1"/>
  <c r="L26" i="32"/>
  <c r="L36" i="32"/>
  <c r="J28" i="32"/>
  <c r="J36" i="32"/>
  <c r="BK49" i="32"/>
  <c r="O36" i="32"/>
  <c r="BE33" i="68"/>
  <c r="J54" i="68"/>
  <c r="L35" i="68"/>
  <c r="AP35" i="68"/>
  <c r="BH48" i="31"/>
  <c r="BH50" i="31" s="1"/>
  <c r="BH51" i="31" s="1"/>
  <c r="B28" i="56" s="1"/>
  <c r="C28" i="56" s="1"/>
  <c r="BF50" i="31"/>
  <c r="BF51" i="31" s="1"/>
  <c r="O22" i="31"/>
  <c r="BY22" i="31"/>
  <c r="BT22" i="31"/>
  <c r="BW32" i="31"/>
  <c r="BK45" i="68"/>
  <c r="BK34" i="68"/>
  <c r="BL44" i="31"/>
  <c r="R29" i="31"/>
  <c r="W29" i="31" s="1"/>
  <c r="T49" i="32"/>
  <c r="T50" i="32"/>
  <c r="X50" i="32" s="1"/>
  <c r="BK55" i="68"/>
  <c r="P63" i="68"/>
  <c r="J64" i="68"/>
  <c r="P64" i="68"/>
  <c r="BK64" i="68" s="1"/>
  <c r="BE34" i="68"/>
  <c r="BC34" i="68"/>
  <c r="BG34" i="68"/>
  <c r="BK63" i="68"/>
  <c r="BQ22" i="31"/>
  <c r="BS22" i="31"/>
  <c r="BO22" i="31"/>
  <c r="BW22" i="31"/>
  <c r="U22" i="31"/>
  <c r="AZ48" i="32"/>
  <c r="BA48" i="32" s="1"/>
  <c r="BI22" i="31"/>
  <c r="BJ22" i="31" s="1"/>
  <c r="BI23" i="31"/>
  <c r="BK24" i="31"/>
  <c r="BL24" i="31" s="1"/>
  <c r="BK32" i="31"/>
  <c r="BL32" i="31" s="1"/>
  <c r="AZ34" i="32"/>
  <c r="BA34" i="32" s="1"/>
  <c r="AX30" i="68"/>
  <c r="AB65" i="68"/>
  <c r="Z65" i="32"/>
  <c r="AB65" i="32"/>
  <c r="Z65" i="68"/>
  <c r="Y44" i="68"/>
  <c r="P31" i="31"/>
  <c r="O31" i="31"/>
  <c r="R31" i="31" s="1"/>
  <c r="W31" i="31" s="1"/>
  <c r="X23" i="31"/>
  <c r="Z23" i="31" s="1"/>
  <c r="G27" i="31"/>
  <c r="K38" i="31"/>
  <c r="L38" i="31" s="1"/>
  <c r="BE51" i="31"/>
  <c r="Z44" i="31"/>
  <c r="B15" i="56"/>
  <c r="C15" i="56" s="1"/>
  <c r="G28" i="31"/>
  <c r="AP27" i="31"/>
  <c r="O28" i="31"/>
  <c r="J34" i="31"/>
  <c r="AW32" i="31"/>
  <c r="AW34" i="31" s="1"/>
  <c r="AW51" i="31" s="1"/>
  <c r="B13" i="56" s="1"/>
  <c r="C13" i="56" s="1"/>
  <c r="K36" i="31"/>
  <c r="L36" i="31" s="1"/>
  <c r="BY36" i="31" s="1"/>
  <c r="K37" i="31"/>
  <c r="L37" i="31" s="1"/>
  <c r="P37" i="31"/>
  <c r="T37" i="31"/>
  <c r="X37" i="31" s="1"/>
  <c r="J34" i="83"/>
  <c r="W48" i="83"/>
  <c r="W49" i="83"/>
  <c r="X46" i="83"/>
  <c r="BY36" i="83"/>
  <c r="BS36" i="83" s="1"/>
  <c r="BT36" i="83"/>
  <c r="P36" i="83"/>
  <c r="BJ36" i="83"/>
  <c r="BY44" i="83"/>
  <c r="BQ44" i="83" s="1"/>
  <c r="BT44" i="83"/>
  <c r="O44" i="83"/>
  <c r="AP23" i="83"/>
  <c r="AS23" i="83" s="1"/>
  <c r="L23" i="83"/>
  <c r="AN40" i="83"/>
  <c r="AP40" i="83" s="1"/>
  <c r="AS40" i="83" s="1"/>
  <c r="K40" i="83"/>
  <c r="L40" i="83" s="1"/>
  <c r="G41" i="83"/>
  <c r="C20" i="84"/>
  <c r="BH48" i="83"/>
  <c r="BH50" i="83" s="1"/>
  <c r="BH51" i="83" s="1"/>
  <c r="B28" i="84" s="1"/>
  <c r="C28" i="84" s="1"/>
  <c r="BF50" i="83"/>
  <c r="BF51" i="83" s="1"/>
  <c r="G47" i="83"/>
  <c r="L47" i="83" s="1"/>
  <c r="P47" i="83" s="1"/>
  <c r="BC50" i="83"/>
  <c r="BC51" i="83" s="1"/>
  <c r="BE47" i="83"/>
  <c r="BE50" i="83" s="1"/>
  <c r="BE51" i="83" s="1"/>
  <c r="B15" i="84" s="1"/>
  <c r="C15" i="84" s="1"/>
  <c r="BW36" i="83"/>
  <c r="D13" i="83"/>
  <c r="AP22" i="83"/>
  <c r="L25" i="83"/>
  <c r="BY25" i="83" s="1"/>
  <c r="R28" i="83"/>
  <c r="W28" i="83" s="1"/>
  <c r="G29" i="83"/>
  <c r="U29" i="83"/>
  <c r="R31" i="83"/>
  <c r="U31" i="83" s="1"/>
  <c r="AA31" i="83" s="1"/>
  <c r="L32" i="83"/>
  <c r="BA32" i="83"/>
  <c r="BA34" i="83" s="1"/>
  <c r="BA51" i="83" s="1"/>
  <c r="B14" i="84" s="1"/>
  <c r="C14" i="84" s="1"/>
  <c r="T37" i="83"/>
  <c r="X37" i="83" s="1"/>
  <c r="K39" i="83"/>
  <c r="L39" i="83" s="1"/>
  <c r="AN39" i="83"/>
  <c r="T41" i="83"/>
  <c r="X41" i="83" s="1"/>
  <c r="V44" i="83"/>
  <c r="Z44" i="83" s="1"/>
  <c r="U47" i="83"/>
  <c r="AA47" i="83" s="1"/>
  <c r="Z22" i="83"/>
  <c r="X23" i="83"/>
  <c r="O24" i="83"/>
  <c r="BT24" i="83"/>
  <c r="BY24" i="83"/>
  <c r="X25" i="83"/>
  <c r="G45" i="83"/>
  <c r="G49" i="83"/>
  <c r="W29" i="83"/>
  <c r="AP39" i="83"/>
  <c r="AS39" i="83" s="1"/>
  <c r="G46" i="83"/>
  <c r="V23" i="83"/>
  <c r="Z23" i="83" s="1"/>
  <c r="V25" i="83"/>
  <c r="T39" i="83"/>
  <c r="V39" i="83" s="1"/>
  <c r="AB39" i="83" s="1"/>
  <c r="BY32" i="83"/>
  <c r="BS32" i="83" s="1"/>
  <c r="BT32" i="83"/>
  <c r="O32" i="83"/>
  <c r="BW32" i="83" s="1"/>
  <c r="P32" i="83"/>
  <c r="AP46" i="83"/>
  <c r="BS24" i="83"/>
  <c r="BO24" i="83"/>
  <c r="BQ24" i="83"/>
  <c r="BW24" i="83"/>
  <c r="G30" i="83"/>
  <c r="L29" i="83"/>
  <c r="P29" i="83" s="1"/>
  <c r="BW29" i="83" s="1"/>
  <c r="AN41" i="83"/>
  <c r="AP41" i="83" s="1"/>
  <c r="K41" i="83"/>
  <c r="L41" i="83" s="1"/>
  <c r="BW44" i="83"/>
  <c r="BY23" i="83"/>
  <c r="BO23" i="83" s="1"/>
  <c r="BT23" i="83"/>
  <c r="O23" i="83"/>
  <c r="BS44" i="83"/>
  <c r="BO36" i="83"/>
  <c r="BO32" i="83"/>
  <c r="BQ23" i="83"/>
  <c r="BS23" i="83"/>
  <c r="AP30" i="83"/>
  <c r="L30" i="83"/>
  <c r="P30" i="83" s="1"/>
  <c r="G31" i="83"/>
  <c r="L31" i="83" s="1"/>
  <c r="P31" i="83" s="1"/>
  <c r="BW31" i="83" s="1"/>
  <c r="BT30" i="83"/>
  <c r="AP26" i="32"/>
  <c r="AS49" i="32"/>
  <c r="AR25" i="68"/>
  <c r="AR39" i="68"/>
  <c r="AR25" i="87"/>
  <c r="AR20" i="87"/>
  <c r="AS20" i="87" s="1"/>
  <c r="AR27" i="87"/>
  <c r="AR35" i="87"/>
  <c r="V31" i="87"/>
  <c r="AB31" i="87" s="1"/>
  <c r="U23" i="87"/>
  <c r="R38" i="31"/>
  <c r="U38" i="31" s="1"/>
  <c r="AA38" i="31" s="1"/>
  <c r="R22" i="83"/>
  <c r="R45" i="83"/>
  <c r="R39" i="31"/>
  <c r="R46" i="83"/>
  <c r="R40" i="31"/>
  <c r="W40" i="31" s="1"/>
  <c r="R45" i="31"/>
  <c r="R37" i="83"/>
  <c r="R39" i="83"/>
  <c r="R41" i="31"/>
  <c r="R36" i="83"/>
  <c r="U36" i="83" s="1"/>
  <c r="R38" i="83"/>
  <c r="W38" i="83" s="1"/>
  <c r="R40" i="83"/>
  <c r="U40" i="83" s="1"/>
  <c r="R41" i="83"/>
  <c r="R24" i="31"/>
  <c r="B32" i="106" l="1"/>
  <c r="B33" i="106"/>
  <c r="AA54" i="68"/>
  <c r="Z27" i="103"/>
  <c r="AB57" i="103"/>
  <c r="AE44" i="31"/>
  <c r="W27" i="103"/>
  <c r="W57" i="103" s="1"/>
  <c r="AR35" i="68"/>
  <c r="AS35" i="68" s="1"/>
  <c r="AR38" i="68"/>
  <c r="AR31" i="68"/>
  <c r="AR21" i="68"/>
  <c r="AR32" i="68"/>
  <c r="AR30" i="68"/>
  <c r="AR22" i="68"/>
  <c r="AS22" i="68" s="1"/>
  <c r="AR33" i="68"/>
  <c r="AS33" i="68" s="1"/>
  <c r="Y27" i="103"/>
  <c r="Y57" i="103" s="1"/>
  <c r="AD12" i="103"/>
  <c r="X57" i="103"/>
  <c r="Z49" i="103"/>
  <c r="BH36" i="32"/>
  <c r="BA56" i="32"/>
  <c r="AP48" i="68"/>
  <c r="AS48" i="68" s="1"/>
  <c r="W38" i="31"/>
  <c r="Y38" i="31" s="1"/>
  <c r="AD38" i="31" s="1"/>
  <c r="Y61" i="68"/>
  <c r="X48" i="32"/>
  <c r="AS24" i="31"/>
  <c r="AD13" i="103"/>
  <c r="AD27" i="103" s="1"/>
  <c r="AD57" i="103" s="1"/>
  <c r="U40" i="31"/>
  <c r="U31" i="31"/>
  <c r="AA31" i="31" s="1"/>
  <c r="AS44" i="83"/>
  <c r="B19" i="106"/>
  <c r="C20" i="106"/>
  <c r="BC31" i="103"/>
  <c r="AP37" i="83"/>
  <c r="AS37" i="83" s="1"/>
  <c r="AP38" i="83"/>
  <c r="AS38" i="83" s="1"/>
  <c r="AP56" i="32"/>
  <c r="AP36" i="32"/>
  <c r="AS28" i="68"/>
  <c r="AS20" i="32"/>
  <c r="AS48" i="32"/>
  <c r="BA27" i="87"/>
  <c r="BA28" i="87" s="1"/>
  <c r="BA37" i="87" s="1"/>
  <c r="B14" i="88" s="1"/>
  <c r="C14" i="88" s="1"/>
  <c r="AS23" i="32"/>
  <c r="AS34" i="68"/>
  <c r="AS44" i="31"/>
  <c r="AS32" i="31"/>
  <c r="AS22" i="31"/>
  <c r="AS22" i="83"/>
  <c r="AB23" i="83"/>
  <c r="Z22" i="32"/>
  <c r="AE22" i="32" s="1"/>
  <c r="AA53" i="32"/>
  <c r="Z28" i="32"/>
  <c r="Y52" i="32"/>
  <c r="AR32" i="87"/>
  <c r="AR19" i="87"/>
  <c r="AR33" i="87"/>
  <c r="AR18" i="87"/>
  <c r="AR30" i="87"/>
  <c r="AS30" i="87" s="1"/>
  <c r="AS30" i="83"/>
  <c r="AS46" i="83"/>
  <c r="AS27" i="31"/>
  <c r="Y59" i="68"/>
  <c r="X41" i="31"/>
  <c r="Z41" i="31" s="1"/>
  <c r="AE41" i="31" s="1"/>
  <c r="X39" i="83"/>
  <c r="Z39" i="83" s="1"/>
  <c r="V37" i="31"/>
  <c r="U29" i="31"/>
  <c r="AA29" i="31" s="1"/>
  <c r="AS25" i="32"/>
  <c r="AS20" i="68"/>
  <c r="AB37" i="31"/>
  <c r="R24" i="83"/>
  <c r="U24" i="83" s="1"/>
  <c r="AA24" i="83" s="1"/>
  <c r="R19" i="87"/>
  <c r="Z31" i="87"/>
  <c r="AE31" i="87" s="1"/>
  <c r="AD52" i="32"/>
  <c r="Z25" i="68"/>
  <c r="R23" i="31"/>
  <c r="R18" i="87"/>
  <c r="R20" i="87"/>
  <c r="R23" i="83"/>
  <c r="W23" i="83" s="1"/>
  <c r="AE22" i="83"/>
  <c r="AI22" i="83" s="1"/>
  <c r="AK22" i="83" s="1"/>
  <c r="AM22" i="83" s="1"/>
  <c r="AE22" i="31"/>
  <c r="AI22" i="31" s="1"/>
  <c r="AK22" i="31" s="1"/>
  <c r="AM22" i="31" s="1"/>
  <c r="Y59" i="32"/>
  <c r="AD59" i="32" s="1"/>
  <c r="Y58" i="32"/>
  <c r="AD58" i="32" s="1"/>
  <c r="AA55" i="68"/>
  <c r="Y43" i="32"/>
  <c r="AD43" i="32" s="1"/>
  <c r="AS34" i="32"/>
  <c r="AS37" i="31"/>
  <c r="AS38" i="32"/>
  <c r="AS32" i="32"/>
  <c r="AD61" i="68"/>
  <c r="AS49" i="68"/>
  <c r="AR31" i="87"/>
  <c r="AR34" i="87"/>
  <c r="AS17" i="87"/>
  <c r="Y47" i="83"/>
  <c r="AP19" i="87"/>
  <c r="AS19" i="87" s="1"/>
  <c r="AS38" i="68"/>
  <c r="AP36" i="83"/>
  <c r="AS36" i="83" s="1"/>
  <c r="AP66" i="32"/>
  <c r="AS29" i="68"/>
  <c r="AS21" i="68"/>
  <c r="AS32" i="68"/>
  <c r="AS22" i="32"/>
  <c r="AS40" i="32"/>
  <c r="W36" i="83"/>
  <c r="Y36" i="83" s="1"/>
  <c r="AA51" i="68"/>
  <c r="AD51" i="68" s="1"/>
  <c r="AD52" i="68"/>
  <c r="AD48" i="68"/>
  <c r="AE39" i="32"/>
  <c r="AD59" i="68"/>
  <c r="AB48" i="32"/>
  <c r="Z48" i="32"/>
  <c r="W40" i="83"/>
  <c r="Y40" i="83" s="1"/>
  <c r="AB44" i="83"/>
  <c r="AE44" i="83" s="1"/>
  <c r="U28" i="83"/>
  <c r="AA28" i="83" s="1"/>
  <c r="AD49" i="31"/>
  <c r="Z39" i="68"/>
  <c r="AE39" i="68" s="1"/>
  <c r="Z32" i="32"/>
  <c r="AE32" i="32" s="1"/>
  <c r="Z31" i="32"/>
  <c r="AE31" i="32" s="1"/>
  <c r="AD53" i="32"/>
  <c r="Y62" i="32"/>
  <c r="AD62" i="32" s="1"/>
  <c r="AE30" i="32"/>
  <c r="AE28" i="32"/>
  <c r="Y45" i="32"/>
  <c r="AD45" i="32" s="1"/>
  <c r="AE25" i="68"/>
  <c r="AI25" i="68" s="1"/>
  <c r="AM25" i="68" s="1"/>
  <c r="AA60" i="68"/>
  <c r="AD60" i="68" s="1"/>
  <c r="Y40" i="31"/>
  <c r="AA50" i="68"/>
  <c r="AD50" i="68" s="1"/>
  <c r="Y63" i="32"/>
  <c r="AD63" i="32" s="1"/>
  <c r="Y42" i="68"/>
  <c r="AD42" i="68" s="1"/>
  <c r="Z38" i="32"/>
  <c r="AE38" i="32" s="1"/>
  <c r="Y51" i="32"/>
  <c r="AD51" i="32" s="1"/>
  <c r="AD41" i="32"/>
  <c r="AE23" i="83"/>
  <c r="AI23" i="83" s="1"/>
  <c r="AK23" i="83" s="1"/>
  <c r="AM23" i="83" s="1"/>
  <c r="Z30" i="68"/>
  <c r="AE30" i="68" s="1"/>
  <c r="AE21" i="68"/>
  <c r="Z40" i="32"/>
  <c r="AE40" i="32" s="1"/>
  <c r="Y23" i="87"/>
  <c r="V41" i="83"/>
  <c r="Z41" i="83" s="1"/>
  <c r="V37" i="83"/>
  <c r="Z37" i="83" s="1"/>
  <c r="V32" i="87"/>
  <c r="AB32" i="87" s="1"/>
  <c r="U17" i="87"/>
  <c r="AA17" i="87" s="1"/>
  <c r="W17" i="87"/>
  <c r="AA40" i="31"/>
  <c r="V30" i="87"/>
  <c r="P40" i="83"/>
  <c r="BY40" i="83"/>
  <c r="BJ40" i="83"/>
  <c r="BT40" i="83"/>
  <c r="BT37" i="31"/>
  <c r="BY37" i="31"/>
  <c r="BL37" i="31"/>
  <c r="O37" i="31"/>
  <c r="AA40" i="83"/>
  <c r="O30" i="83"/>
  <c r="BW30" i="83" s="1"/>
  <c r="BQ32" i="83"/>
  <c r="BQ36" i="83"/>
  <c r="BO44" i="83"/>
  <c r="W31" i="83"/>
  <c r="Y31" i="83" s="1"/>
  <c r="AD31" i="83" s="1"/>
  <c r="V50" i="32"/>
  <c r="AB50" i="32" s="1"/>
  <c r="BY44" i="31"/>
  <c r="O44" i="31"/>
  <c r="BW44" i="31" s="1"/>
  <c r="V49" i="32"/>
  <c r="AB49" i="32" s="1"/>
  <c r="BY30" i="83"/>
  <c r="AE23" i="31"/>
  <c r="AI23" i="31" s="1"/>
  <c r="AK23" i="31" s="1"/>
  <c r="AM23" i="31" s="1"/>
  <c r="BT44" i="31"/>
  <c r="AY35" i="68"/>
  <c r="AA23" i="87"/>
  <c r="AD47" i="83"/>
  <c r="R28" i="31"/>
  <c r="W28" i="31" s="1"/>
  <c r="X49" i="32"/>
  <c r="P36" i="32"/>
  <c r="BK34" i="32"/>
  <c r="BW31" i="31"/>
  <c r="Y43" i="68"/>
  <c r="AD43" i="68" s="1"/>
  <c r="BA30" i="68"/>
  <c r="W47" i="31"/>
  <c r="Y47" i="31" s="1"/>
  <c r="BC24" i="32"/>
  <c r="P46" i="32"/>
  <c r="AY51" i="31"/>
  <c r="U64" i="32"/>
  <c r="W64" i="32"/>
  <c r="BK60" i="32"/>
  <c r="W60" i="32"/>
  <c r="W65" i="32" s="1"/>
  <c r="U60" i="32"/>
  <c r="Y60" i="32" s="1"/>
  <c r="W54" i="32"/>
  <c r="AA54" i="32"/>
  <c r="AX32" i="68"/>
  <c r="AY32" i="68" s="1"/>
  <c r="AX23" i="32"/>
  <c r="AY23" i="32" s="1"/>
  <c r="AX22" i="32"/>
  <c r="AY22" i="32" s="1"/>
  <c r="AX30" i="32"/>
  <c r="AY30" i="32" s="1"/>
  <c r="BI32" i="31"/>
  <c r="AX25" i="32"/>
  <c r="AY25" i="32" s="1"/>
  <c r="AX31" i="32"/>
  <c r="AY31" i="32" s="1"/>
  <c r="AX34" i="32"/>
  <c r="AY34" i="32" s="1"/>
  <c r="AX39" i="32"/>
  <c r="AY39" i="32" s="1"/>
  <c r="BI25" i="31"/>
  <c r="BJ25" i="31" s="1"/>
  <c r="BI45" i="31"/>
  <c r="AX21" i="32"/>
  <c r="AY21" i="32" s="1"/>
  <c r="AX29" i="32"/>
  <c r="AY29" i="32" s="1"/>
  <c r="AX33" i="32"/>
  <c r="AY33" i="32" s="1"/>
  <c r="AX38" i="32"/>
  <c r="AY38" i="32" s="1"/>
  <c r="BI30" i="31"/>
  <c r="BJ30" i="31" s="1"/>
  <c r="J46" i="32"/>
  <c r="AZ38" i="32"/>
  <c r="BA38" i="32" s="1"/>
  <c r="AZ20" i="32"/>
  <c r="BA20" i="32" s="1"/>
  <c r="BA26" i="32" s="1"/>
  <c r="O25" i="31"/>
  <c r="BW25" i="31" s="1"/>
  <c r="BY25" i="31"/>
  <c r="BT25" i="31"/>
  <c r="V29" i="68"/>
  <c r="AB29" i="68" s="1"/>
  <c r="W53" i="68"/>
  <c r="O56" i="68"/>
  <c r="U53" i="68"/>
  <c r="AA53" i="68" s="1"/>
  <c r="J21" i="68"/>
  <c r="BH21" i="68"/>
  <c r="BM21" i="68"/>
  <c r="O21" i="68"/>
  <c r="BK21" i="68" s="1"/>
  <c r="J48" i="32"/>
  <c r="O48" i="32"/>
  <c r="BH48" i="32"/>
  <c r="J62" i="32"/>
  <c r="L65" i="32"/>
  <c r="G31" i="68"/>
  <c r="L30" i="68"/>
  <c r="AP30" i="68"/>
  <c r="T20" i="87"/>
  <c r="X20" i="87" s="1"/>
  <c r="R21" i="87"/>
  <c r="U21" i="87" s="1"/>
  <c r="X33" i="87"/>
  <c r="V33" i="87"/>
  <c r="T35" i="87"/>
  <c r="X35" i="87" s="1"/>
  <c r="X25" i="31"/>
  <c r="Z25" i="31" s="1"/>
  <c r="AB25" i="31"/>
  <c r="BA35" i="68"/>
  <c r="BM36" i="32"/>
  <c r="BC34" i="32"/>
  <c r="BC36" i="32" s="1"/>
  <c r="AD55" i="68"/>
  <c r="BG30" i="32"/>
  <c r="BE30" i="32"/>
  <c r="BE36" i="32" s="1"/>
  <c r="BL25" i="31"/>
  <c r="BK33" i="32"/>
  <c r="X33" i="32"/>
  <c r="Z33" i="32" s="1"/>
  <c r="AE33" i="32" s="1"/>
  <c r="V29" i="32"/>
  <c r="Z29" i="32" s="1"/>
  <c r="X29" i="32"/>
  <c r="V21" i="32"/>
  <c r="AB21" i="32" s="1"/>
  <c r="U44" i="32"/>
  <c r="AA44" i="32" s="1"/>
  <c r="BK29" i="32"/>
  <c r="V24" i="31"/>
  <c r="AB24" i="31" s="1"/>
  <c r="U36" i="31"/>
  <c r="Y36" i="31" s="1"/>
  <c r="Y55" i="32"/>
  <c r="AD55" i="32" s="1"/>
  <c r="Z46" i="31"/>
  <c r="AE46" i="31" s="1"/>
  <c r="BG32" i="32"/>
  <c r="L25" i="68"/>
  <c r="BH25" i="68" s="1"/>
  <c r="AP25" i="68"/>
  <c r="AS25" i="68" s="1"/>
  <c r="J41" i="68"/>
  <c r="P41" i="68"/>
  <c r="BK41" i="68" s="1"/>
  <c r="J50" i="68"/>
  <c r="BH50" i="68"/>
  <c r="J52" i="68"/>
  <c r="P52" i="68"/>
  <c r="BK52" i="68" s="1"/>
  <c r="I46" i="83"/>
  <c r="J45" i="83"/>
  <c r="T17" i="87"/>
  <c r="X17" i="87" s="1"/>
  <c r="AP27" i="87"/>
  <c r="AS27" i="87" s="1"/>
  <c r="BG35" i="32"/>
  <c r="M51" i="31"/>
  <c r="BK40" i="32"/>
  <c r="BK28" i="32"/>
  <c r="W41" i="68"/>
  <c r="BG21" i="68"/>
  <c r="V24" i="83"/>
  <c r="Z24" i="83" s="1"/>
  <c r="X24" i="83"/>
  <c r="BU20" i="87"/>
  <c r="O20" i="87"/>
  <c r="BP20" i="87"/>
  <c r="AP18" i="87"/>
  <c r="AS18" i="87" s="1"/>
  <c r="L18" i="87"/>
  <c r="BW29" i="31"/>
  <c r="BG21" i="32"/>
  <c r="J59" i="68"/>
  <c r="P59" i="68"/>
  <c r="BK59" i="68" s="1"/>
  <c r="BK61" i="68"/>
  <c r="AS29" i="32"/>
  <c r="AS33" i="32"/>
  <c r="AS39" i="32"/>
  <c r="V45" i="83"/>
  <c r="Z45" i="83" s="1"/>
  <c r="BS17" i="87"/>
  <c r="L19" i="87"/>
  <c r="BP19" i="87" s="1"/>
  <c r="AA44" i="68"/>
  <c r="AD44" i="68" s="1"/>
  <c r="AW31" i="32"/>
  <c r="AW36" i="32" s="1"/>
  <c r="AP50" i="68"/>
  <c r="AP24" i="83"/>
  <c r="AS24" i="83" s="1"/>
  <c r="J28" i="87"/>
  <c r="J37" i="87" s="1"/>
  <c r="BK40" i="68"/>
  <c r="AS50" i="32"/>
  <c r="AS56" i="32" s="1"/>
  <c r="G39" i="31"/>
  <c r="L22" i="83"/>
  <c r="J37" i="83"/>
  <c r="K38" i="83"/>
  <c r="L38" i="83" s="1"/>
  <c r="BP17" i="87"/>
  <c r="AS41" i="83"/>
  <c r="AP42" i="83"/>
  <c r="AA29" i="83"/>
  <c r="Y29" i="83"/>
  <c r="AA36" i="83"/>
  <c r="Z37" i="31"/>
  <c r="AE37" i="31" s="1"/>
  <c r="BW23" i="83"/>
  <c r="U24" i="31"/>
  <c r="W24" i="31"/>
  <c r="U38" i="83"/>
  <c r="Y38" i="83" s="1"/>
  <c r="BW47" i="83"/>
  <c r="AE39" i="83"/>
  <c r="R21" i="32"/>
  <c r="R22" i="32"/>
  <c r="R21" i="68"/>
  <c r="BS40" i="83"/>
  <c r="BO40" i="83"/>
  <c r="BQ40" i="83"/>
  <c r="BS36" i="31"/>
  <c r="BO36" i="31"/>
  <c r="BQ36" i="31"/>
  <c r="AD54" i="68"/>
  <c r="BS25" i="83"/>
  <c r="BO25" i="83"/>
  <c r="AB25" i="83"/>
  <c r="Z25" i="83"/>
  <c r="K28" i="31"/>
  <c r="L28" i="31" s="1"/>
  <c r="P28" i="31" s="1"/>
  <c r="BQ25" i="83"/>
  <c r="AP45" i="83"/>
  <c r="L45" i="83"/>
  <c r="O39" i="83"/>
  <c r="BY39" i="83"/>
  <c r="BT39" i="83"/>
  <c r="Y48" i="83"/>
  <c r="Y62" i="68"/>
  <c r="AA62" i="68"/>
  <c r="Z31" i="68"/>
  <c r="AB31" i="68"/>
  <c r="BA36" i="32"/>
  <c r="BS32" i="31"/>
  <c r="BO32" i="31"/>
  <c r="BQ32" i="31"/>
  <c r="Y48" i="31"/>
  <c r="AD48" i="31" s="1"/>
  <c r="BA46" i="32"/>
  <c r="O41" i="83"/>
  <c r="BY41" i="83"/>
  <c r="BT41" i="83"/>
  <c r="BT25" i="83"/>
  <c r="O25" i="83"/>
  <c r="W37" i="31"/>
  <c r="BW37" i="31"/>
  <c r="U37" i="31"/>
  <c r="BT36" i="31"/>
  <c r="BJ36" i="31"/>
  <c r="P36" i="31"/>
  <c r="BL36" i="31"/>
  <c r="BJ38" i="31"/>
  <c r="BT38" i="31"/>
  <c r="BY38" i="31"/>
  <c r="P38" i="31"/>
  <c r="BW38" i="31" s="1"/>
  <c r="AB40" i="68"/>
  <c r="Z40" i="68"/>
  <c r="J62" i="68"/>
  <c r="P62" i="68"/>
  <c r="L65" i="68"/>
  <c r="L26" i="31"/>
  <c r="K26" i="31"/>
  <c r="AA42" i="32"/>
  <c r="Y42" i="32"/>
  <c r="G47" i="31"/>
  <c r="L47" i="31" s="1"/>
  <c r="P47" i="31" s="1"/>
  <c r="BC50" i="31"/>
  <c r="BC51" i="31" s="1"/>
  <c r="G45" i="31"/>
  <c r="D13" i="31"/>
  <c r="G46" i="31"/>
  <c r="AY31" i="68"/>
  <c r="BS44" i="31"/>
  <c r="BO44" i="31"/>
  <c r="BQ44" i="31"/>
  <c r="BA31" i="68"/>
  <c r="BS30" i="31"/>
  <c r="BQ30" i="31"/>
  <c r="BO30" i="31"/>
  <c r="K27" i="31"/>
  <c r="L27" i="31" s="1"/>
  <c r="AA22" i="31"/>
  <c r="Y22" i="31"/>
  <c r="BH35" i="68"/>
  <c r="P35" i="68"/>
  <c r="J35" i="68"/>
  <c r="BM35" i="68"/>
  <c r="O35" i="68"/>
  <c r="AB25" i="32"/>
  <c r="Z25" i="32"/>
  <c r="Y58" i="68"/>
  <c r="Z32" i="68"/>
  <c r="AE32" i="68" s="1"/>
  <c r="BE20" i="32"/>
  <c r="BC20" i="32"/>
  <c r="AB20" i="32"/>
  <c r="Z20" i="32"/>
  <c r="BH18" i="87"/>
  <c r="BI18" i="87" s="1"/>
  <c r="BK23" i="83"/>
  <c r="BL23" i="83" s="1"/>
  <c r="AB33" i="68"/>
  <c r="Z33" i="68"/>
  <c r="J60" i="68"/>
  <c r="J65" i="68" s="1"/>
  <c r="P60" i="68"/>
  <c r="J23" i="32"/>
  <c r="J26" i="32" s="1"/>
  <c r="P23" i="32"/>
  <c r="O23" i="32"/>
  <c r="BM23" i="32"/>
  <c r="J52" i="32"/>
  <c r="J56" i="32" s="1"/>
  <c r="P52" i="32"/>
  <c r="BJ32" i="31"/>
  <c r="BT32" i="31"/>
  <c r="BG36" i="32"/>
  <c r="BG24" i="68"/>
  <c r="BC24" i="68"/>
  <c r="BE24" i="68"/>
  <c r="Z38" i="68"/>
  <c r="AB38" i="68"/>
  <c r="Z45" i="31"/>
  <c r="AE45" i="31" s="1"/>
  <c r="BJ37" i="31"/>
  <c r="O65" i="32"/>
  <c r="BK61" i="32"/>
  <c r="U61" i="32"/>
  <c r="AA61" i="32" s="1"/>
  <c r="BH33" i="87"/>
  <c r="BI33" i="87" s="1"/>
  <c r="BI39" i="83"/>
  <c r="BJ39" i="83" s="1"/>
  <c r="BI39" i="31"/>
  <c r="BI46" i="83"/>
  <c r="BI41" i="83"/>
  <c r="BJ41" i="83" s="1"/>
  <c r="BI37" i="83"/>
  <c r="BI41" i="31"/>
  <c r="BH56" i="32"/>
  <c r="J58" i="32"/>
  <c r="J65" i="32" s="1"/>
  <c r="P58" i="32"/>
  <c r="BK39" i="32"/>
  <c r="BI31" i="87"/>
  <c r="BK44" i="83"/>
  <c r="BL44" i="83" s="1"/>
  <c r="BK38" i="83"/>
  <c r="BL38" i="83" s="1"/>
  <c r="BK36" i="83"/>
  <c r="BL36" i="83" s="1"/>
  <c r="BK40" i="83"/>
  <c r="BL40" i="83" s="1"/>
  <c r="BK40" i="31"/>
  <c r="BK38" i="31"/>
  <c r="BL38" i="31" s="1"/>
  <c r="BH22" i="87"/>
  <c r="BH25" i="87"/>
  <c r="BK30" i="83"/>
  <c r="BL30" i="83" s="1"/>
  <c r="BK27" i="83"/>
  <c r="BK45" i="83"/>
  <c r="BL45" i="83" s="1"/>
  <c r="BK22" i="83"/>
  <c r="BL22" i="83" s="1"/>
  <c r="BH17" i="87"/>
  <c r="BI17" i="87" s="1"/>
  <c r="BF34" i="87"/>
  <c r="BF30" i="87"/>
  <c r="BG30" i="87" s="1"/>
  <c r="BF27" i="87"/>
  <c r="BG27" i="87" s="1"/>
  <c r="BF25" i="87"/>
  <c r="BF31" i="87"/>
  <c r="BG31" i="87" s="1"/>
  <c r="BF22" i="87"/>
  <c r="BF35" i="87"/>
  <c r="BF32" i="87"/>
  <c r="BF20" i="87"/>
  <c r="BG20" i="87" s="1"/>
  <c r="BF33" i="87"/>
  <c r="BG33" i="87" s="1"/>
  <c r="BI32" i="83"/>
  <c r="BJ32" i="83" s="1"/>
  <c r="BI30" i="83"/>
  <c r="BJ30" i="83" s="1"/>
  <c r="BI25" i="83"/>
  <c r="BJ25" i="83" s="1"/>
  <c r="BI45" i="83"/>
  <c r="BJ45" i="83" s="1"/>
  <c r="BI44" i="83"/>
  <c r="BJ44" i="83" s="1"/>
  <c r="BI27" i="83"/>
  <c r="AX34" i="68"/>
  <c r="AY34" i="68" s="1"/>
  <c r="BH19" i="87"/>
  <c r="BK24" i="83"/>
  <c r="BL24" i="83" s="1"/>
  <c r="X28" i="68"/>
  <c r="V28" i="68"/>
  <c r="U63" i="68"/>
  <c r="W63" i="68"/>
  <c r="J29" i="68"/>
  <c r="O29" i="68"/>
  <c r="BM29" i="68"/>
  <c r="L39" i="68"/>
  <c r="AY39" i="68" s="1"/>
  <c r="AP39" i="68"/>
  <c r="BH27" i="87"/>
  <c r="BI27" i="87" s="1"/>
  <c r="BK32" i="83"/>
  <c r="BL32" i="83" s="1"/>
  <c r="BF19" i="87"/>
  <c r="BF17" i="87"/>
  <c r="BG17" i="87" s="1"/>
  <c r="BF18" i="87"/>
  <c r="BG18" i="87" s="1"/>
  <c r="BI22" i="83"/>
  <c r="BI23" i="83"/>
  <c r="BJ23" i="83" s="1"/>
  <c r="BI24" i="83"/>
  <c r="BJ24" i="83" s="1"/>
  <c r="W56" i="68"/>
  <c r="Z22" i="68"/>
  <c r="AE22" i="68" s="1"/>
  <c r="M66" i="68"/>
  <c r="X29" i="68"/>
  <c r="W64" i="68"/>
  <c r="BK46" i="83"/>
  <c r="U49" i="83"/>
  <c r="BH20" i="87"/>
  <c r="BI20" i="87" s="1"/>
  <c r="BK25" i="83"/>
  <c r="BL25" i="83" s="1"/>
  <c r="BK39" i="83"/>
  <c r="BL39" i="83" s="1"/>
  <c r="BK39" i="31"/>
  <c r="BK37" i="83"/>
  <c r="BK41" i="83"/>
  <c r="BL41" i="83" s="1"/>
  <c r="BK41" i="31"/>
  <c r="X20" i="68"/>
  <c r="V20" i="68"/>
  <c r="W45" i="68"/>
  <c r="J25" i="68"/>
  <c r="O25" i="68"/>
  <c r="BM25" i="68"/>
  <c r="O32" i="68"/>
  <c r="BM32" i="68"/>
  <c r="BH32" i="68"/>
  <c r="G23" i="31"/>
  <c r="L46" i="32"/>
  <c r="L56" i="32"/>
  <c r="L38" i="68"/>
  <c r="G42" i="68"/>
  <c r="L42" i="68" s="1"/>
  <c r="J42" i="31"/>
  <c r="T39" i="31"/>
  <c r="I47" i="31"/>
  <c r="J45" i="31"/>
  <c r="L22" i="68"/>
  <c r="AY22" i="68" s="1"/>
  <c r="G23" i="68"/>
  <c r="L31" i="68"/>
  <c r="L48" i="68"/>
  <c r="AP38" i="31"/>
  <c r="V46" i="83"/>
  <c r="X18" i="87"/>
  <c r="V18" i="87"/>
  <c r="AB18" i="87" s="1"/>
  <c r="X34" i="87"/>
  <c r="V34" i="87"/>
  <c r="AB34" i="87" s="1"/>
  <c r="AS25" i="83"/>
  <c r="AN39" i="31"/>
  <c r="AP39" i="31" s="1"/>
  <c r="AS39" i="31" s="1"/>
  <c r="AU32" i="83"/>
  <c r="AP32" i="83"/>
  <c r="AS32" i="83" s="1"/>
  <c r="AA48" i="83"/>
  <c r="BU33" i="87"/>
  <c r="BP33" i="87"/>
  <c r="O33" i="87"/>
  <c r="BU19" i="87"/>
  <c r="BU27" i="87"/>
  <c r="BP27" i="87"/>
  <c r="U24" i="87"/>
  <c r="W24" i="87"/>
  <c r="AY28" i="87"/>
  <c r="AY37" i="87" s="1"/>
  <c r="G24" i="87"/>
  <c r="BK17" i="87"/>
  <c r="BM17" i="87"/>
  <c r="BO17" i="87"/>
  <c r="V19" i="87"/>
  <c r="O30" i="87"/>
  <c r="BU30" i="87"/>
  <c r="G32" i="87"/>
  <c r="AP31" i="87"/>
  <c r="L31" i="87"/>
  <c r="G34" i="87"/>
  <c r="G35" i="87"/>
  <c r="AP33" i="87"/>
  <c r="AS33" i="87" s="1"/>
  <c r="AB27" i="87"/>
  <c r="X27" i="87"/>
  <c r="P36" i="87"/>
  <c r="U26" i="87"/>
  <c r="AU27" i="87"/>
  <c r="B8" i="88"/>
  <c r="B9" i="88" s="1"/>
  <c r="U23" i="83" l="1"/>
  <c r="Y29" i="31"/>
  <c r="Y31" i="31"/>
  <c r="AD31" i="31" s="1"/>
  <c r="AF6" i="103"/>
  <c r="AF17" i="103" s="1"/>
  <c r="AH17" i="103" s="1"/>
  <c r="AJ17" i="103" s="1"/>
  <c r="AL17" i="103" s="1"/>
  <c r="AD60" i="103"/>
  <c r="AE60" i="103" s="1"/>
  <c r="AF60" i="103" s="1"/>
  <c r="AG60" i="103" s="1"/>
  <c r="AH60" i="103" s="1"/>
  <c r="AE49" i="103"/>
  <c r="AE50" i="103" s="1"/>
  <c r="AE57" i="103" s="1"/>
  <c r="Z50" i="103"/>
  <c r="Z57" i="103" s="1"/>
  <c r="BA36" i="68"/>
  <c r="C19" i="106"/>
  <c r="AS46" i="32"/>
  <c r="AS26" i="32"/>
  <c r="AS42" i="83"/>
  <c r="Z32" i="87"/>
  <c r="AA36" i="31"/>
  <c r="AB37" i="83"/>
  <c r="AE37" i="83" s="1"/>
  <c r="AD23" i="87"/>
  <c r="W24" i="83"/>
  <c r="Y24" i="83" s="1"/>
  <c r="AD24" i="83" s="1"/>
  <c r="AD40" i="83"/>
  <c r="AA56" i="68"/>
  <c r="AD40" i="31"/>
  <c r="AS36" i="32"/>
  <c r="AE48" i="32"/>
  <c r="AD62" i="68"/>
  <c r="AB45" i="83"/>
  <c r="AE45" i="83" s="1"/>
  <c r="Y44" i="32"/>
  <c r="AD44" i="32" s="1"/>
  <c r="R20" i="68"/>
  <c r="R20" i="32"/>
  <c r="AE25" i="31"/>
  <c r="Y28" i="83"/>
  <c r="AD28" i="83" s="1"/>
  <c r="AD29" i="83"/>
  <c r="AD29" i="31"/>
  <c r="AE33" i="68"/>
  <c r="AE25" i="32"/>
  <c r="AI25" i="32" s="1"/>
  <c r="AM25" i="32" s="1"/>
  <c r="AE25" i="83"/>
  <c r="AA38" i="83"/>
  <c r="AD38" i="83" s="1"/>
  <c r="Y53" i="68"/>
  <c r="Y56" i="68" s="1"/>
  <c r="Y17" i="87"/>
  <c r="AD17" i="87" s="1"/>
  <c r="AB41" i="83"/>
  <c r="AE41" i="83" s="1"/>
  <c r="AE32" i="87"/>
  <c r="Y37" i="31"/>
  <c r="AD22" i="31"/>
  <c r="Z49" i="32"/>
  <c r="AE49" i="32" s="1"/>
  <c r="AB30" i="87"/>
  <c r="Z30" i="87"/>
  <c r="O22" i="83"/>
  <c r="BT22" i="83"/>
  <c r="BY22" i="83"/>
  <c r="BS20" i="87"/>
  <c r="W20" i="87"/>
  <c r="U20" i="87"/>
  <c r="AA20" i="87" s="1"/>
  <c r="L66" i="32"/>
  <c r="BJ22" i="83"/>
  <c r="AD48" i="83"/>
  <c r="G40" i="31"/>
  <c r="K39" i="31"/>
  <c r="L39" i="31" s="1"/>
  <c r="AS50" i="68"/>
  <c r="AS56" i="68" s="1"/>
  <c r="AP56" i="68"/>
  <c r="O18" i="87"/>
  <c r="BP18" i="87"/>
  <c r="BU18" i="87"/>
  <c r="BO20" i="87"/>
  <c r="BM20" i="87"/>
  <c r="BK20" i="87"/>
  <c r="J46" i="83"/>
  <c r="K46" i="83" s="1"/>
  <c r="L46" i="83" s="1"/>
  <c r="I47" i="83"/>
  <c r="Z24" i="31"/>
  <c r="AE24" i="31" s="1"/>
  <c r="AI24" i="31" s="1"/>
  <c r="AK24" i="31" s="1"/>
  <c r="AM24" i="31" s="1"/>
  <c r="Z21" i="32"/>
  <c r="AE21" i="32" s="1"/>
  <c r="AB33" i="87"/>
  <c r="Z33" i="87"/>
  <c r="J30" i="68"/>
  <c r="BM30" i="68"/>
  <c r="BH30" i="68"/>
  <c r="O30" i="68"/>
  <c r="BK30" i="68" s="1"/>
  <c r="AY46" i="32"/>
  <c r="BA25" i="68"/>
  <c r="U28" i="31"/>
  <c r="Y28" i="31" s="1"/>
  <c r="Z50" i="32"/>
  <c r="AE50" i="32" s="1"/>
  <c r="BJ39" i="31"/>
  <c r="BH66" i="32"/>
  <c r="AA21" i="87"/>
  <c r="BQ30" i="83"/>
  <c r="BO30" i="83"/>
  <c r="BS30" i="83"/>
  <c r="P38" i="83"/>
  <c r="BW38" i="83" s="1"/>
  <c r="BY38" i="83"/>
  <c r="BJ38" i="83"/>
  <c r="BT38" i="83"/>
  <c r="AW66" i="32"/>
  <c r="AB29" i="32"/>
  <c r="AE29" i="32" s="1"/>
  <c r="AU31" i="68"/>
  <c r="AP31" i="68"/>
  <c r="AS31" i="68" s="1"/>
  <c r="BS25" i="31"/>
  <c r="BO25" i="31"/>
  <c r="BQ25" i="31"/>
  <c r="AA60" i="32"/>
  <c r="AD60" i="32" s="1"/>
  <c r="Y64" i="32"/>
  <c r="AA64" i="32"/>
  <c r="AY25" i="68"/>
  <c r="BW40" i="83"/>
  <c r="Y41" i="68"/>
  <c r="AD41" i="68" s="1"/>
  <c r="AS30" i="68"/>
  <c r="BK48" i="32"/>
  <c r="O56" i="32"/>
  <c r="Y54" i="32"/>
  <c r="AD54" i="32" s="1"/>
  <c r="X36" i="87"/>
  <c r="BL39" i="31"/>
  <c r="W65" i="68"/>
  <c r="O19" i="87"/>
  <c r="BL46" i="83"/>
  <c r="BG19" i="87"/>
  <c r="BI19" i="87"/>
  <c r="AY26" i="32"/>
  <c r="AY66" i="32" s="1"/>
  <c r="BJ46" i="83"/>
  <c r="AD42" i="32"/>
  <c r="AE31" i="68"/>
  <c r="K37" i="83"/>
  <c r="L37" i="83" s="1"/>
  <c r="J42" i="83"/>
  <c r="AB24" i="83"/>
  <c r="AE24" i="83" s="1"/>
  <c r="AI24" i="83" s="1"/>
  <c r="AK24" i="83" s="1"/>
  <c r="AM24" i="83" s="1"/>
  <c r="V17" i="87"/>
  <c r="AB17" i="87" s="1"/>
  <c r="V35" i="87"/>
  <c r="AB35" i="87" s="1"/>
  <c r="W21" i="87"/>
  <c r="Y21" i="87" s="1"/>
  <c r="V20" i="87"/>
  <c r="Z20" i="87" s="1"/>
  <c r="BE21" i="68"/>
  <c r="BC21" i="68"/>
  <c r="U56" i="68"/>
  <c r="AD53" i="68"/>
  <c r="AD56" i="68" s="1"/>
  <c r="AY36" i="32"/>
  <c r="AY30" i="68"/>
  <c r="AY36" i="68" s="1"/>
  <c r="AD47" i="31"/>
  <c r="BS37" i="31"/>
  <c r="BS42" i="31" s="1"/>
  <c r="BQ37" i="31"/>
  <c r="BO37" i="31"/>
  <c r="BL27" i="31"/>
  <c r="P27" i="31"/>
  <c r="O27" i="31"/>
  <c r="BJ27" i="31"/>
  <c r="BY27" i="31"/>
  <c r="BT27" i="31"/>
  <c r="X39" i="31"/>
  <c r="BC29" i="68"/>
  <c r="BE29" i="68"/>
  <c r="BG29" i="68"/>
  <c r="AA63" i="68"/>
  <c r="AA65" i="68" s="1"/>
  <c r="Y63" i="68"/>
  <c r="AE20" i="32"/>
  <c r="BC35" i="68"/>
  <c r="BG35" i="68"/>
  <c r="BE35" i="68"/>
  <c r="BQ41" i="83"/>
  <c r="BS41" i="83"/>
  <c r="BO41" i="83"/>
  <c r="BW39" i="83"/>
  <c r="U39" i="83"/>
  <c r="AA39" i="83" s="1"/>
  <c r="W39" i="83"/>
  <c r="R31" i="32"/>
  <c r="Y26" i="87"/>
  <c r="AA26" i="87"/>
  <c r="BU31" i="87"/>
  <c r="O31" i="87"/>
  <c r="BP31" i="87"/>
  <c r="BS30" i="87"/>
  <c r="R30" i="87"/>
  <c r="W30" i="87" s="1"/>
  <c r="BK27" i="87"/>
  <c r="BO27" i="87"/>
  <c r="BM27" i="87"/>
  <c r="G26" i="83"/>
  <c r="AW32" i="83"/>
  <c r="AW34" i="83" s="1"/>
  <c r="AW51" i="83" s="1"/>
  <c r="B13" i="84" s="1"/>
  <c r="AU34" i="83"/>
  <c r="AU51" i="83" s="1"/>
  <c r="AS31" i="87"/>
  <c r="AB19" i="87"/>
  <c r="Z19" i="87"/>
  <c r="BM33" i="87"/>
  <c r="BO33" i="87"/>
  <c r="BK33" i="87"/>
  <c r="AS38" i="31"/>
  <c r="J31" i="68"/>
  <c r="O31" i="68"/>
  <c r="BH31" i="68"/>
  <c r="BH36" i="68" s="1"/>
  <c r="BM31" i="68"/>
  <c r="L36" i="68"/>
  <c r="L23" i="68"/>
  <c r="L26" i="68" s="1"/>
  <c r="AP23" i="68"/>
  <c r="I48" i="31"/>
  <c r="J47" i="31"/>
  <c r="J42" i="68"/>
  <c r="P42" i="68"/>
  <c r="BC32" i="68"/>
  <c r="BE32" i="68"/>
  <c r="BG32" i="68"/>
  <c r="Y64" i="68"/>
  <c r="AD64" i="68" s="1"/>
  <c r="BL50" i="83"/>
  <c r="Y61" i="32"/>
  <c r="Y65" i="32" s="1"/>
  <c r="U65" i="32"/>
  <c r="BK23" i="32"/>
  <c r="O26" i="32"/>
  <c r="BK60" i="68"/>
  <c r="P65" i="68"/>
  <c r="AD36" i="31"/>
  <c r="P36" i="68"/>
  <c r="BW36" i="31"/>
  <c r="BY45" i="83"/>
  <c r="BT45" i="83"/>
  <c r="BT50" i="83" s="1"/>
  <c r="O45" i="83"/>
  <c r="T29" i="31"/>
  <c r="R34" i="68"/>
  <c r="T36" i="83"/>
  <c r="T42" i="32"/>
  <c r="R29" i="32"/>
  <c r="BC33" i="87"/>
  <c r="L34" i="87"/>
  <c r="AP34" i="87"/>
  <c r="AS34" i="87" s="1"/>
  <c r="BC34" i="87"/>
  <c r="BE34" i="87" s="1"/>
  <c r="BS33" i="87"/>
  <c r="Z46" i="83"/>
  <c r="BE25" i="68"/>
  <c r="BG25" i="68"/>
  <c r="BC25" i="68"/>
  <c r="Y49" i="83"/>
  <c r="AP46" i="68"/>
  <c r="AS39" i="68"/>
  <c r="AS46" i="68" s="1"/>
  <c r="BO38" i="31"/>
  <c r="BS38" i="31"/>
  <c r="BQ38" i="31"/>
  <c r="AA24" i="31"/>
  <c r="AA23" i="83"/>
  <c r="Z27" i="87"/>
  <c r="AE27" i="87" s="1"/>
  <c r="AP35" i="87"/>
  <c r="AS35" i="87" s="1"/>
  <c r="L35" i="87"/>
  <c r="AP32" i="87"/>
  <c r="AS32" i="87" s="1"/>
  <c r="L32" i="87"/>
  <c r="L24" i="87"/>
  <c r="P24" i="87" s="1"/>
  <c r="G25" i="87"/>
  <c r="Y24" i="87"/>
  <c r="AA24" i="87"/>
  <c r="BK19" i="87"/>
  <c r="BO19" i="87"/>
  <c r="BM19" i="87"/>
  <c r="J22" i="68"/>
  <c r="O22" i="68"/>
  <c r="BM22" i="68"/>
  <c r="BH22" i="68"/>
  <c r="BA22" i="68"/>
  <c r="V39" i="31"/>
  <c r="Z39" i="31" s="1"/>
  <c r="J38" i="68"/>
  <c r="BH38" i="68"/>
  <c r="O38" i="68"/>
  <c r="L46" i="68"/>
  <c r="BM38" i="68"/>
  <c r="L23" i="31"/>
  <c r="AP23" i="31"/>
  <c r="BK32" i="68"/>
  <c r="Y45" i="68"/>
  <c r="AD45" i="68" s="1"/>
  <c r="Z28" i="68"/>
  <c r="AB28" i="68"/>
  <c r="AE38" i="68"/>
  <c r="BK52" i="32"/>
  <c r="P56" i="32"/>
  <c r="P26" i="32"/>
  <c r="AD58" i="68"/>
  <c r="BK35" i="68"/>
  <c r="BA38" i="68"/>
  <c r="AP45" i="31"/>
  <c r="L45" i="31"/>
  <c r="BW47" i="31"/>
  <c r="P26" i="31"/>
  <c r="O26" i="31"/>
  <c r="AE40" i="68"/>
  <c r="AA37" i="31"/>
  <c r="AD37" i="31" s="1"/>
  <c r="BS39" i="83"/>
  <c r="BO39" i="83"/>
  <c r="BQ39" i="83"/>
  <c r="AS45" i="83"/>
  <c r="AS50" i="83" s="1"/>
  <c r="AP50" i="83"/>
  <c r="T59" i="68"/>
  <c r="T41" i="68"/>
  <c r="Y24" i="31"/>
  <c r="BA66" i="32"/>
  <c r="Y23" i="83"/>
  <c r="AU28" i="87"/>
  <c r="AU37" i="87" s="1"/>
  <c r="AW27" i="87"/>
  <c r="AW28" i="87" s="1"/>
  <c r="AW37" i="87" s="1"/>
  <c r="B13" i="88" s="1"/>
  <c r="G21" i="87"/>
  <c r="BM30" i="87"/>
  <c r="BK30" i="87"/>
  <c r="BO30" i="87"/>
  <c r="Z18" i="87"/>
  <c r="AE18" i="87" s="1"/>
  <c r="T53" i="32"/>
  <c r="T63" i="68"/>
  <c r="BG34" i="87"/>
  <c r="BK58" i="32"/>
  <c r="P65" i="32"/>
  <c r="T58" i="32"/>
  <c r="X58" i="32" s="1"/>
  <c r="R33" i="32"/>
  <c r="W21" i="32"/>
  <c r="U21" i="32"/>
  <c r="BS19" i="87"/>
  <c r="U19" i="87"/>
  <c r="AA19" i="87" s="1"/>
  <c r="W19" i="87"/>
  <c r="V36" i="87"/>
  <c r="Z34" i="87"/>
  <c r="AE34" i="87" s="1"/>
  <c r="AB46" i="83"/>
  <c r="P48" i="68"/>
  <c r="J48" i="68"/>
  <c r="J56" i="68" s="1"/>
  <c r="BH48" i="68"/>
  <c r="BH56" i="68" s="1"/>
  <c r="L56" i="68"/>
  <c r="BA48" i="68"/>
  <c r="BA56" i="68" s="1"/>
  <c r="T40" i="83"/>
  <c r="T52" i="68"/>
  <c r="R25" i="32"/>
  <c r="T44" i="32"/>
  <c r="R27" i="87"/>
  <c r="BK25" i="68"/>
  <c r="AB20" i="68"/>
  <c r="Z20" i="68"/>
  <c r="AA49" i="83"/>
  <c r="AD49" i="83" s="1"/>
  <c r="Z29" i="68"/>
  <c r="AE29" i="68" s="1"/>
  <c r="BH39" i="68"/>
  <c r="J39" i="68"/>
  <c r="BM39" i="68"/>
  <c r="O39" i="68"/>
  <c r="BA39" i="68"/>
  <c r="BK29" i="68"/>
  <c r="O36" i="68"/>
  <c r="BJ50" i="83"/>
  <c r="BG32" i="87"/>
  <c r="BE23" i="32"/>
  <c r="BE26" i="32" s="1"/>
  <c r="BE66" i="32" s="1"/>
  <c r="BG23" i="32"/>
  <c r="BG26" i="32" s="1"/>
  <c r="BG66" i="32" s="1"/>
  <c r="BC23" i="32"/>
  <c r="BC26" i="32" s="1"/>
  <c r="BM26" i="32"/>
  <c r="BM66" i="32" s="1"/>
  <c r="J66" i="32"/>
  <c r="AY38" i="68"/>
  <c r="AY46" i="68" s="1"/>
  <c r="AP46" i="31"/>
  <c r="AS46" i="31" s="1"/>
  <c r="K46" i="31"/>
  <c r="L46" i="31" s="1"/>
  <c r="BK62" i="68"/>
  <c r="BW25" i="83"/>
  <c r="BW41" i="83"/>
  <c r="U41" i="83"/>
  <c r="W41" i="83"/>
  <c r="U65" i="68"/>
  <c r="BW28" i="31"/>
  <c r="T28" i="31"/>
  <c r="X28" i="31" s="1"/>
  <c r="T45" i="32"/>
  <c r="R40" i="68"/>
  <c r="W21" i="68"/>
  <c r="U21" i="68"/>
  <c r="AA21" i="68" s="1"/>
  <c r="T64" i="32"/>
  <c r="U22" i="32"/>
  <c r="W22" i="32"/>
  <c r="R28" i="68"/>
  <c r="AD36" i="83"/>
  <c r="AG19" i="103" l="1"/>
  <c r="AI19" i="103" s="1"/>
  <c r="AK19" i="103" s="1"/>
  <c r="AM19" i="103" s="1"/>
  <c r="AF26" i="103"/>
  <c r="AH26" i="103" s="1"/>
  <c r="AJ26" i="103" s="1"/>
  <c r="AL26" i="103" s="1"/>
  <c r="AF49" i="103"/>
  <c r="AH49" i="103" s="1"/>
  <c r="AJ49" i="103" s="1"/>
  <c r="AL49" i="103" s="1"/>
  <c r="AG33" i="103"/>
  <c r="AI33" i="103" s="1"/>
  <c r="AF15" i="103"/>
  <c r="AH15" i="103" s="1"/>
  <c r="AJ15" i="103" s="1"/>
  <c r="AL15" i="103" s="1"/>
  <c r="AF41" i="103"/>
  <c r="AH41" i="103" s="1"/>
  <c r="AJ41" i="103" s="1"/>
  <c r="AL41" i="103" s="1"/>
  <c r="AF52" i="103"/>
  <c r="AH52" i="103" s="1"/>
  <c r="AG41" i="103"/>
  <c r="AI41" i="103" s="1"/>
  <c r="AK41" i="103" s="1"/>
  <c r="AM41" i="103" s="1"/>
  <c r="AF45" i="103"/>
  <c r="AH45" i="103" s="1"/>
  <c r="AJ45" i="103" s="1"/>
  <c r="AL45" i="103" s="1"/>
  <c r="AG13" i="103"/>
  <c r="AI13" i="103" s="1"/>
  <c r="AK13" i="103" s="1"/>
  <c r="AM13" i="103" s="1"/>
  <c r="AG30" i="103"/>
  <c r="AI30" i="103" s="1"/>
  <c r="AK30" i="103" s="1"/>
  <c r="AM30" i="103" s="1"/>
  <c r="AF18" i="103"/>
  <c r="AH18" i="103" s="1"/>
  <c r="AJ18" i="103" s="1"/>
  <c r="AL18" i="103" s="1"/>
  <c r="AG47" i="103"/>
  <c r="AI47" i="103" s="1"/>
  <c r="AK47" i="103" s="1"/>
  <c r="AM47" i="103" s="1"/>
  <c r="AF21" i="103"/>
  <c r="AH21" i="103" s="1"/>
  <c r="AJ21" i="103" s="1"/>
  <c r="AL21" i="103" s="1"/>
  <c r="AF23" i="103"/>
  <c r="AH23" i="103" s="1"/>
  <c r="AJ23" i="103" s="1"/>
  <c r="AL23" i="103" s="1"/>
  <c r="AG37" i="103"/>
  <c r="AI37" i="103" s="1"/>
  <c r="AK37" i="103" s="1"/>
  <c r="AM37" i="103" s="1"/>
  <c r="AG15" i="103"/>
  <c r="AI15" i="103" s="1"/>
  <c r="AK15" i="103" s="1"/>
  <c r="AM15" i="103" s="1"/>
  <c r="BM15" i="103" s="1"/>
  <c r="BN15" i="103" s="1"/>
  <c r="AF19" i="103"/>
  <c r="AH19" i="103" s="1"/>
  <c r="AJ19" i="103" s="1"/>
  <c r="AL19" i="103" s="1"/>
  <c r="AG52" i="103"/>
  <c r="AI52" i="103" s="1"/>
  <c r="AI53" i="103" s="1"/>
  <c r="AG43" i="103"/>
  <c r="AI43" i="103" s="1"/>
  <c r="AK43" i="103" s="1"/>
  <c r="AM43" i="103" s="1"/>
  <c r="AF14" i="103"/>
  <c r="AH14" i="103" s="1"/>
  <c r="AJ14" i="103" s="1"/>
  <c r="AL14" i="103" s="1"/>
  <c r="AF34" i="103"/>
  <c r="AH34" i="103" s="1"/>
  <c r="AJ34" i="103" s="1"/>
  <c r="AL34" i="103" s="1"/>
  <c r="AG26" i="103"/>
  <c r="AI26" i="103" s="1"/>
  <c r="AK26" i="103" s="1"/>
  <c r="AM26" i="103" s="1"/>
  <c r="AG21" i="103"/>
  <c r="AI21" i="103" s="1"/>
  <c r="AK21" i="103" s="1"/>
  <c r="AM21" i="103" s="1"/>
  <c r="BM21" i="103" s="1"/>
  <c r="BN21" i="103" s="1"/>
  <c r="AF13" i="103"/>
  <c r="AH13" i="103" s="1"/>
  <c r="AJ13" i="103" s="1"/>
  <c r="AL13" i="103" s="1"/>
  <c r="AG49" i="103"/>
  <c r="AI49" i="103" s="1"/>
  <c r="AK49" i="103" s="1"/>
  <c r="AM49" i="103" s="1"/>
  <c r="AF36" i="103"/>
  <c r="AH36" i="103" s="1"/>
  <c r="AJ36" i="103" s="1"/>
  <c r="AL36" i="103" s="1"/>
  <c r="AF11" i="103"/>
  <c r="AH11" i="103" s="1"/>
  <c r="AF12" i="103"/>
  <c r="AH12" i="103" s="1"/>
  <c r="AJ12" i="103" s="1"/>
  <c r="AL12" i="103" s="1"/>
  <c r="AG22" i="103"/>
  <c r="AI22" i="103" s="1"/>
  <c r="AK22" i="103" s="1"/>
  <c r="AM22" i="103" s="1"/>
  <c r="AF43" i="103"/>
  <c r="AH43" i="103" s="1"/>
  <c r="AJ43" i="103" s="1"/>
  <c r="AL43" i="103" s="1"/>
  <c r="AG48" i="103"/>
  <c r="AI48" i="103" s="1"/>
  <c r="AK48" i="103" s="1"/>
  <c r="AM48" i="103" s="1"/>
  <c r="AF33" i="103"/>
  <c r="AH33" i="103" s="1"/>
  <c r="AJ33" i="103" s="1"/>
  <c r="AF53" i="103"/>
  <c r="AG34" i="103"/>
  <c r="AI34" i="103" s="1"/>
  <c r="AK34" i="103" s="1"/>
  <c r="AM34" i="103" s="1"/>
  <c r="AG36" i="103"/>
  <c r="AI36" i="103" s="1"/>
  <c r="AK36" i="103" s="1"/>
  <c r="AM36" i="103" s="1"/>
  <c r="AF48" i="103"/>
  <c r="AH48" i="103" s="1"/>
  <c r="AJ48" i="103" s="1"/>
  <c r="AL48" i="103" s="1"/>
  <c r="AG12" i="103"/>
  <c r="AI12" i="103" s="1"/>
  <c r="AK12" i="103" s="1"/>
  <c r="AM12" i="103" s="1"/>
  <c r="AG42" i="103"/>
  <c r="AI42" i="103" s="1"/>
  <c r="AK42" i="103" s="1"/>
  <c r="AM42" i="103" s="1"/>
  <c r="AF44" i="103"/>
  <c r="AH44" i="103" s="1"/>
  <c r="AJ44" i="103" s="1"/>
  <c r="AL44" i="103" s="1"/>
  <c r="AF55" i="103"/>
  <c r="AF56" i="103" s="1"/>
  <c r="AF35" i="103"/>
  <c r="AH35" i="103" s="1"/>
  <c r="AJ35" i="103" s="1"/>
  <c r="AL35" i="103" s="1"/>
  <c r="AG44" i="103"/>
  <c r="AI44" i="103" s="1"/>
  <c r="AK44" i="103" s="1"/>
  <c r="AM44" i="103" s="1"/>
  <c r="AG40" i="103"/>
  <c r="AI40" i="103" s="1"/>
  <c r="AF37" i="103"/>
  <c r="AH37" i="103" s="1"/>
  <c r="AJ37" i="103" s="1"/>
  <c r="AL37" i="103" s="1"/>
  <c r="BM37" i="103" s="1"/>
  <c r="BN37" i="103" s="1"/>
  <c r="AF20" i="103"/>
  <c r="AH20" i="103" s="1"/>
  <c r="AJ20" i="103" s="1"/>
  <c r="AL20" i="103" s="1"/>
  <c r="AF22" i="103"/>
  <c r="AH22" i="103" s="1"/>
  <c r="AJ22" i="103" s="1"/>
  <c r="AL22" i="103" s="1"/>
  <c r="AG17" i="103"/>
  <c r="AI17" i="103" s="1"/>
  <c r="AK17" i="103" s="1"/>
  <c r="AM17" i="103" s="1"/>
  <c r="BM17" i="103" s="1"/>
  <c r="BN17" i="103" s="1"/>
  <c r="AG11" i="103"/>
  <c r="AI11" i="103" s="1"/>
  <c r="AK11" i="103" s="1"/>
  <c r="AG18" i="103"/>
  <c r="AI18" i="103" s="1"/>
  <c r="AK18" i="103" s="1"/>
  <c r="AM18" i="103" s="1"/>
  <c r="AG55" i="103"/>
  <c r="AG56" i="103" s="1"/>
  <c r="AF29" i="103"/>
  <c r="AH29" i="103" s="1"/>
  <c r="AJ29" i="103" s="1"/>
  <c r="AG20" i="103"/>
  <c r="AI20" i="103" s="1"/>
  <c r="AK20" i="103" s="1"/>
  <c r="AM20" i="103" s="1"/>
  <c r="AF16" i="103"/>
  <c r="AH16" i="103" s="1"/>
  <c r="AJ16" i="103" s="1"/>
  <c r="AL16" i="103" s="1"/>
  <c r="AF47" i="103"/>
  <c r="AH47" i="103" s="1"/>
  <c r="AJ47" i="103" s="1"/>
  <c r="AL47" i="103" s="1"/>
  <c r="AF24" i="103"/>
  <c r="AH24" i="103" s="1"/>
  <c r="AJ24" i="103" s="1"/>
  <c r="AL24" i="103" s="1"/>
  <c r="AG46" i="103"/>
  <c r="AI46" i="103" s="1"/>
  <c r="AK46" i="103" s="1"/>
  <c r="AM46" i="103" s="1"/>
  <c r="AG14" i="103"/>
  <c r="AI14" i="103" s="1"/>
  <c r="AK14" i="103" s="1"/>
  <c r="AM14" i="103" s="1"/>
  <c r="BM14" i="103" s="1"/>
  <c r="BN14" i="103" s="1"/>
  <c r="AF30" i="103"/>
  <c r="AH30" i="103" s="1"/>
  <c r="AJ30" i="103" s="1"/>
  <c r="AL30" i="103" s="1"/>
  <c r="AF40" i="103"/>
  <c r="AH40" i="103" s="1"/>
  <c r="AJ40" i="103" s="1"/>
  <c r="AG16" i="103"/>
  <c r="AI16" i="103" s="1"/>
  <c r="AK16" i="103" s="1"/>
  <c r="AM16" i="103" s="1"/>
  <c r="AG23" i="103"/>
  <c r="AI23" i="103" s="1"/>
  <c r="AK23" i="103" s="1"/>
  <c r="AM23" i="103" s="1"/>
  <c r="BM23" i="103" s="1"/>
  <c r="BN23" i="103" s="1"/>
  <c r="AG29" i="103"/>
  <c r="AI29" i="103" s="1"/>
  <c r="AG45" i="103"/>
  <c r="AI45" i="103" s="1"/>
  <c r="AK45" i="103" s="1"/>
  <c r="AM45" i="103" s="1"/>
  <c r="BM45" i="103" s="1"/>
  <c r="BN45" i="103" s="1"/>
  <c r="AG24" i="103"/>
  <c r="AI24" i="103" s="1"/>
  <c r="AK24" i="103" s="1"/>
  <c r="AM24" i="103" s="1"/>
  <c r="AF42" i="103"/>
  <c r="AH42" i="103" s="1"/>
  <c r="AJ42" i="103" s="1"/>
  <c r="AL42" i="103" s="1"/>
  <c r="AF46" i="103"/>
  <c r="AH46" i="103" s="1"/>
  <c r="AJ46" i="103" s="1"/>
  <c r="AL46" i="103" s="1"/>
  <c r="AF25" i="103"/>
  <c r="AH25" i="103" s="1"/>
  <c r="AJ25" i="103" s="1"/>
  <c r="AL25" i="103" s="1"/>
  <c r="AG35" i="103"/>
  <c r="AI35" i="103" s="1"/>
  <c r="AK35" i="103" s="1"/>
  <c r="AM35" i="103" s="1"/>
  <c r="AG25" i="103"/>
  <c r="AI25" i="103" s="1"/>
  <c r="AK25" i="103" s="1"/>
  <c r="AM25" i="103" s="1"/>
  <c r="BM48" i="103"/>
  <c r="BN48" i="103" s="1"/>
  <c r="AH55" i="103"/>
  <c r="AJ55" i="103" s="1"/>
  <c r="AJ56" i="103" s="1"/>
  <c r="BM12" i="103"/>
  <c r="BN12" i="103" s="1"/>
  <c r="AK33" i="103"/>
  <c r="AK40" i="103"/>
  <c r="AJ11" i="103"/>
  <c r="AS66" i="32"/>
  <c r="BA46" i="68"/>
  <c r="AE46" i="83"/>
  <c r="R40" i="32"/>
  <c r="W40" i="32" s="1"/>
  <c r="U20" i="32"/>
  <c r="AA20" i="32" s="1"/>
  <c r="W20" i="32"/>
  <c r="W20" i="68"/>
  <c r="U20" i="68"/>
  <c r="AA20" i="68" s="1"/>
  <c r="Y65" i="68"/>
  <c r="AD24" i="87"/>
  <c r="AD26" i="87"/>
  <c r="AE28" i="68"/>
  <c r="AD63" i="68"/>
  <c r="Y22" i="32"/>
  <c r="Y19" i="87"/>
  <c r="AD19" i="87" s="1"/>
  <c r="Y21" i="32"/>
  <c r="R38" i="32"/>
  <c r="U38" i="32" s="1"/>
  <c r="AA38" i="32" s="1"/>
  <c r="AA28" i="31"/>
  <c r="AE33" i="87"/>
  <c r="AE30" i="87"/>
  <c r="Z35" i="87"/>
  <c r="AE35" i="87" s="1"/>
  <c r="AD28" i="31"/>
  <c r="AB36" i="87"/>
  <c r="G41" i="31"/>
  <c r="K40" i="31"/>
  <c r="L40" i="31" s="1"/>
  <c r="AP40" i="31"/>
  <c r="AN40" i="31"/>
  <c r="T47" i="83"/>
  <c r="BQ22" i="83"/>
  <c r="BS22" i="83"/>
  <c r="BO22" i="83"/>
  <c r="T51" i="68"/>
  <c r="V51" i="68" s="1"/>
  <c r="T34" i="32"/>
  <c r="X34" i="32" s="1"/>
  <c r="T64" i="68"/>
  <c r="X64" i="68" s="1"/>
  <c r="T61" i="68"/>
  <c r="X61" i="68" s="1"/>
  <c r="V28" i="31"/>
  <c r="Z28" i="31" s="1"/>
  <c r="R25" i="83"/>
  <c r="W25" i="83" s="1"/>
  <c r="T62" i="68"/>
  <c r="V62" i="68" s="1"/>
  <c r="R32" i="83"/>
  <c r="W32" i="83" s="1"/>
  <c r="R34" i="32"/>
  <c r="U34" i="32" s="1"/>
  <c r="AA34" i="32" s="1"/>
  <c r="R32" i="32"/>
  <c r="W32" i="32" s="1"/>
  <c r="T58" i="68"/>
  <c r="V58" i="68" s="1"/>
  <c r="T54" i="68"/>
  <c r="X54" i="68" s="1"/>
  <c r="V58" i="32"/>
  <c r="AE58" i="32" s="1"/>
  <c r="T53" i="68"/>
  <c r="V53" i="68" s="1"/>
  <c r="AD24" i="31"/>
  <c r="T60" i="32"/>
  <c r="V60" i="32" s="1"/>
  <c r="T51" i="32"/>
  <c r="X51" i="32" s="1"/>
  <c r="T45" i="68"/>
  <c r="V45" i="68" s="1"/>
  <c r="AB45" i="68" s="1"/>
  <c r="R32" i="68"/>
  <c r="W32" i="68" s="1"/>
  <c r="T38" i="83"/>
  <c r="V38" i="83" s="1"/>
  <c r="AB38" i="83" s="1"/>
  <c r="T55" i="68"/>
  <c r="V55" i="68" s="1"/>
  <c r="AB55" i="68" s="1"/>
  <c r="R49" i="32"/>
  <c r="W49" i="32" s="1"/>
  <c r="T44" i="68"/>
  <c r="V44" i="68" s="1"/>
  <c r="AD61" i="32"/>
  <c r="AP36" i="68"/>
  <c r="P42" i="83"/>
  <c r="AD64" i="32"/>
  <c r="AW31" i="68"/>
  <c r="AW36" i="68" s="1"/>
  <c r="AW66" i="68" s="1"/>
  <c r="AU36" i="68"/>
  <c r="AU66" i="68" s="1"/>
  <c r="R23" i="68"/>
  <c r="R23" i="32"/>
  <c r="R24" i="68"/>
  <c r="R24" i="32"/>
  <c r="BS18" i="87"/>
  <c r="W18" i="87"/>
  <c r="U18" i="87"/>
  <c r="AA18" i="87" s="1"/>
  <c r="Y20" i="87"/>
  <c r="AD20" i="87" s="1"/>
  <c r="T43" i="32"/>
  <c r="V43" i="32" s="1"/>
  <c r="AB43" i="32" s="1"/>
  <c r="R33" i="68"/>
  <c r="W33" i="68" s="1"/>
  <c r="T55" i="32"/>
  <c r="X55" i="32" s="1"/>
  <c r="R25" i="68"/>
  <c r="W25" i="68" s="1"/>
  <c r="T41" i="32"/>
  <c r="V41" i="32" s="1"/>
  <c r="T34" i="68"/>
  <c r="X34" i="68" s="1"/>
  <c r="R35" i="32"/>
  <c r="U35" i="32" s="1"/>
  <c r="AA35" i="32" s="1"/>
  <c r="R28" i="32"/>
  <c r="U28" i="32" s="1"/>
  <c r="AA28" i="32" s="1"/>
  <c r="T35" i="32"/>
  <c r="V35" i="32" s="1"/>
  <c r="AB35" i="32" s="1"/>
  <c r="T29" i="83"/>
  <c r="V29" i="83" s="1"/>
  <c r="T62" i="32"/>
  <c r="V62" i="32" s="1"/>
  <c r="R30" i="68"/>
  <c r="U30" i="68" s="1"/>
  <c r="AA30" i="68" s="1"/>
  <c r="T43" i="68"/>
  <c r="X43" i="68" s="1"/>
  <c r="T30" i="31"/>
  <c r="X30" i="31" s="1"/>
  <c r="T38" i="31"/>
  <c r="X38" i="31" s="1"/>
  <c r="T23" i="32"/>
  <c r="T30" i="83"/>
  <c r="V30" i="83" s="1"/>
  <c r="T59" i="32"/>
  <c r="X59" i="32" s="1"/>
  <c r="R44" i="83"/>
  <c r="U44" i="83" s="1"/>
  <c r="R50" i="32"/>
  <c r="W50" i="32" s="1"/>
  <c r="T50" i="68"/>
  <c r="V50" i="68" s="1"/>
  <c r="AB50" i="68" s="1"/>
  <c r="T61" i="32"/>
  <c r="X61" i="32" s="1"/>
  <c r="T36" i="31"/>
  <c r="T35" i="68"/>
  <c r="V35" i="68" s="1"/>
  <c r="J36" i="68"/>
  <c r="AE19" i="87"/>
  <c r="R32" i="31"/>
  <c r="W32" i="31" s="1"/>
  <c r="Y39" i="83"/>
  <c r="AD39" i="83" s="1"/>
  <c r="BT37" i="83"/>
  <c r="BT42" i="83" s="1"/>
  <c r="BY37" i="83"/>
  <c r="O37" i="83"/>
  <c r="L42" i="83"/>
  <c r="AS36" i="68"/>
  <c r="Z17" i="87"/>
  <c r="AE17" i="87" s="1"/>
  <c r="AA65" i="32"/>
  <c r="J47" i="83"/>
  <c r="I48" i="83"/>
  <c r="BJ37" i="83"/>
  <c r="BJ42" i="83" s="1"/>
  <c r="U22" i="83"/>
  <c r="AA22" i="83" s="1"/>
  <c r="BW22" i="83"/>
  <c r="W22" i="83"/>
  <c r="Y22" i="83" s="1"/>
  <c r="AD21" i="87"/>
  <c r="Y21" i="68"/>
  <c r="AD21" i="68" s="1"/>
  <c r="T31" i="83"/>
  <c r="X31" i="83" s="1"/>
  <c r="R29" i="68"/>
  <c r="W29" i="68" s="1"/>
  <c r="R30" i="31"/>
  <c r="W30" i="31" s="1"/>
  <c r="R39" i="32"/>
  <c r="U39" i="32" s="1"/>
  <c r="T24" i="32"/>
  <c r="V24" i="32" s="1"/>
  <c r="AB24" i="32" s="1"/>
  <c r="T49" i="68"/>
  <c r="V49" i="68" s="1"/>
  <c r="AB49" i="68" s="1"/>
  <c r="T54" i="32"/>
  <c r="V54" i="32" s="1"/>
  <c r="AA21" i="32"/>
  <c r="R30" i="83"/>
  <c r="W30" i="83" s="1"/>
  <c r="T63" i="32"/>
  <c r="X63" i="32" s="1"/>
  <c r="R25" i="31"/>
  <c r="U25" i="31" s="1"/>
  <c r="AA25" i="31" s="1"/>
  <c r="T47" i="31"/>
  <c r="R35" i="68"/>
  <c r="U35" i="68" s="1"/>
  <c r="T52" i="32"/>
  <c r="T32" i="31"/>
  <c r="V32" i="31" s="1"/>
  <c r="AB32" i="31" s="1"/>
  <c r="R33" i="87"/>
  <c r="R30" i="32"/>
  <c r="W30" i="32" s="1"/>
  <c r="R48" i="32"/>
  <c r="W48" i="32" s="1"/>
  <c r="T24" i="68"/>
  <c r="X24" i="68" s="1"/>
  <c r="T31" i="31"/>
  <c r="V31" i="31" s="1"/>
  <c r="AB31" i="31" s="1"/>
  <c r="T60" i="68"/>
  <c r="X60" i="68" s="1"/>
  <c r="U30" i="87"/>
  <c r="AA30" i="87" s="1"/>
  <c r="T32" i="83"/>
  <c r="X32" i="83" s="1"/>
  <c r="R44" i="31"/>
  <c r="W44" i="31" s="1"/>
  <c r="AB20" i="87"/>
  <c r="AE20" i="87" s="1"/>
  <c r="BQ38" i="83"/>
  <c r="BS38" i="83"/>
  <c r="BO38" i="83"/>
  <c r="BE30" i="68"/>
  <c r="BC30" i="68"/>
  <c r="BG30" i="68"/>
  <c r="O46" i="83"/>
  <c r="BY46" i="83"/>
  <c r="BM18" i="87"/>
  <c r="BK18" i="87"/>
  <c r="BO18" i="87"/>
  <c r="BY39" i="31"/>
  <c r="O39" i="31"/>
  <c r="BT39" i="31"/>
  <c r="BL37" i="83"/>
  <c r="BL42" i="83" s="1"/>
  <c r="BC66" i="32"/>
  <c r="X45" i="32"/>
  <c r="V45" i="32"/>
  <c r="AB45" i="32" s="1"/>
  <c r="BL46" i="31"/>
  <c r="BY46" i="31"/>
  <c r="BJ46" i="31"/>
  <c r="O46" i="31"/>
  <c r="B27" i="56"/>
  <c r="J46" i="68"/>
  <c r="U29" i="32"/>
  <c r="AA29" i="32" s="1"/>
  <c r="W29" i="32"/>
  <c r="U34" i="68"/>
  <c r="AA34" i="68" s="1"/>
  <c r="W34" i="68"/>
  <c r="O66" i="32"/>
  <c r="BG31" i="68"/>
  <c r="BC31" i="68"/>
  <c r="BE31" i="68"/>
  <c r="BO31" i="87"/>
  <c r="BM31" i="87"/>
  <c r="BK31" i="87"/>
  <c r="U28" i="68"/>
  <c r="AA28" i="68" s="1"/>
  <c r="W28" i="68"/>
  <c r="BK39" i="68"/>
  <c r="R39" i="68"/>
  <c r="U39" i="68" s="1"/>
  <c r="G22" i="87"/>
  <c r="L21" i="87"/>
  <c r="P34" i="31"/>
  <c r="T26" i="31"/>
  <c r="X26" i="31" s="1"/>
  <c r="L34" i="31"/>
  <c r="BL23" i="31"/>
  <c r="BL34" i="31" s="1"/>
  <c r="BT23" i="31"/>
  <c r="BT34" i="31" s="1"/>
  <c r="O23" i="31"/>
  <c r="BY23" i="31"/>
  <c r="BJ23" i="31"/>
  <c r="BJ34" i="31" s="1"/>
  <c r="BH46" i="68"/>
  <c r="BE22" i="68"/>
  <c r="BC22" i="68"/>
  <c r="BG22" i="68"/>
  <c r="BP32" i="87"/>
  <c r="O32" i="87"/>
  <c r="BU32" i="87"/>
  <c r="BI32" i="87"/>
  <c r="L36" i="87"/>
  <c r="AD23" i="83"/>
  <c r="BS45" i="83"/>
  <c r="BY50" i="83"/>
  <c r="BQ45" i="83"/>
  <c r="BO45" i="83"/>
  <c r="J23" i="68"/>
  <c r="BH23" i="68"/>
  <c r="BH26" i="68" s="1"/>
  <c r="P23" i="68"/>
  <c r="BM23" i="68"/>
  <c r="O23" i="68"/>
  <c r="BA23" i="68"/>
  <c r="BA26" i="68" s="1"/>
  <c r="AY23" i="68"/>
  <c r="AY26" i="68" s="1"/>
  <c r="AP36" i="87"/>
  <c r="G27" i="83"/>
  <c r="K26" i="83"/>
  <c r="L26" i="83"/>
  <c r="BC36" i="68"/>
  <c r="V59" i="68"/>
  <c r="X59" i="68"/>
  <c r="J26" i="68"/>
  <c r="J66" i="68" s="1"/>
  <c r="T24" i="87"/>
  <c r="V24" i="87" s="1"/>
  <c r="AB24" i="87" s="1"/>
  <c r="BS24" i="87"/>
  <c r="BU35" i="87"/>
  <c r="BP35" i="87"/>
  <c r="O35" i="87"/>
  <c r="BI35" i="87"/>
  <c r="BC36" i="87"/>
  <c r="BC37" i="87" s="1"/>
  <c r="BE33" i="87"/>
  <c r="BE36" i="87" s="1"/>
  <c r="BE37" i="87" s="1"/>
  <c r="B15" i="88" s="1"/>
  <c r="X42" i="32"/>
  <c r="V42" i="32"/>
  <c r="V29" i="31"/>
  <c r="AB29" i="31" s="1"/>
  <c r="X29" i="31"/>
  <c r="BG35" i="87"/>
  <c r="BG36" i="87" s="1"/>
  <c r="J48" i="31"/>
  <c r="I49" i="31"/>
  <c r="J49" i="31" s="1"/>
  <c r="K49" i="31" s="1"/>
  <c r="L49" i="31" s="1"/>
  <c r="P49" i="31" s="1"/>
  <c r="W31" i="32"/>
  <c r="U31" i="32"/>
  <c r="AA31" i="32" s="1"/>
  <c r="AA22" i="32"/>
  <c r="AA41" i="83"/>
  <c r="BG39" i="68"/>
  <c r="BE39" i="68"/>
  <c r="BC39" i="68"/>
  <c r="AE20" i="68"/>
  <c r="W27" i="87"/>
  <c r="U27" i="87"/>
  <c r="AA27" i="87" s="1"/>
  <c r="X44" i="32"/>
  <c r="V44" i="32"/>
  <c r="U25" i="32"/>
  <c r="AA25" i="32" s="1"/>
  <c r="W25" i="32"/>
  <c r="X52" i="68"/>
  <c r="V52" i="68"/>
  <c r="X40" i="83"/>
  <c r="V40" i="83"/>
  <c r="AB40" i="83" s="1"/>
  <c r="U33" i="32"/>
  <c r="AA33" i="32" s="1"/>
  <c r="W33" i="32"/>
  <c r="V63" i="68"/>
  <c r="X63" i="68"/>
  <c r="X53" i="32"/>
  <c r="V53" i="32"/>
  <c r="C13" i="88"/>
  <c r="BJ45" i="31"/>
  <c r="BJ50" i="31" s="1"/>
  <c r="O45" i="31"/>
  <c r="BT45" i="31"/>
  <c r="BT50" i="31" s="1"/>
  <c r="BL45" i="31"/>
  <c r="BY45" i="31"/>
  <c r="AD65" i="68"/>
  <c r="P66" i="32"/>
  <c r="BM46" i="68"/>
  <c r="BC38" i="68"/>
  <c r="BC46" i="68" s="1"/>
  <c r="BE38" i="68"/>
  <c r="BG38" i="68"/>
  <c r="BG46" i="68" s="1"/>
  <c r="O26" i="68"/>
  <c r="BK22" i="68"/>
  <c r="R22" i="68"/>
  <c r="L25" i="87"/>
  <c r="G26" i="87"/>
  <c r="L26" i="87" s="1"/>
  <c r="P26" i="87" s="1"/>
  <c r="AP25" i="87"/>
  <c r="AS25" i="87" s="1"/>
  <c r="BP34" i="87"/>
  <c r="BP36" i="87" s="1"/>
  <c r="O34" i="87"/>
  <c r="BU34" i="87"/>
  <c r="BI34" i="87"/>
  <c r="O50" i="83"/>
  <c r="U45" i="83"/>
  <c r="W45" i="83"/>
  <c r="BW45" i="83"/>
  <c r="BK31" i="68"/>
  <c r="R31" i="68"/>
  <c r="BS31" i="87"/>
  <c r="R31" i="87"/>
  <c r="W31" i="87" s="1"/>
  <c r="BG36" i="68"/>
  <c r="AB39" i="31"/>
  <c r="AE39" i="31" s="1"/>
  <c r="BW27" i="31"/>
  <c r="R27" i="31"/>
  <c r="W40" i="68"/>
  <c r="U40" i="68"/>
  <c r="AA40" i="68" s="1"/>
  <c r="V41" i="68"/>
  <c r="AB41" i="68" s="1"/>
  <c r="X41" i="68"/>
  <c r="AP50" i="31"/>
  <c r="AS45" i="31"/>
  <c r="AS50" i="31" s="1"/>
  <c r="X36" i="83"/>
  <c r="V36" i="83"/>
  <c r="BM36" i="68"/>
  <c r="T27" i="31"/>
  <c r="V27" i="31" s="1"/>
  <c r="X64" i="32"/>
  <c r="V64" i="32"/>
  <c r="Y41" i="83"/>
  <c r="P56" i="68"/>
  <c r="T48" i="68"/>
  <c r="X48" i="68" s="1"/>
  <c r="BK48" i="68"/>
  <c r="BW26" i="31"/>
  <c r="R26" i="31"/>
  <c r="W26" i="31" s="1"/>
  <c r="AS23" i="31"/>
  <c r="AS34" i="31" s="1"/>
  <c r="AP34" i="31"/>
  <c r="O46" i="68"/>
  <c r="BK38" i="68"/>
  <c r="R38" i="68"/>
  <c r="L66" i="68"/>
  <c r="BK42" i="68"/>
  <c r="P46" i="68"/>
  <c r="T42" i="68"/>
  <c r="V42" i="68" s="1"/>
  <c r="AS23" i="68"/>
  <c r="AS26" i="68" s="1"/>
  <c r="AP26" i="68"/>
  <c r="AP66" i="68" s="1"/>
  <c r="AS36" i="87"/>
  <c r="C13" i="84"/>
  <c r="O36" i="87"/>
  <c r="BE36" i="68"/>
  <c r="BO27" i="31"/>
  <c r="BS27" i="31"/>
  <c r="BQ27" i="31"/>
  <c r="BM19" i="103" l="1"/>
  <c r="BN19" i="103" s="1"/>
  <c r="BM22" i="103"/>
  <c r="BN22" i="103" s="1"/>
  <c r="BM34" i="103"/>
  <c r="BN34" i="103" s="1"/>
  <c r="BM13" i="103"/>
  <c r="BN13" i="103" s="1"/>
  <c r="BM26" i="103"/>
  <c r="BN26" i="103" s="1"/>
  <c r="BM36" i="103"/>
  <c r="BN36" i="103" s="1"/>
  <c r="AH53" i="103"/>
  <c r="AJ52" i="103"/>
  <c r="AJ53" i="103" s="1"/>
  <c r="AK52" i="103"/>
  <c r="AH38" i="103"/>
  <c r="AI31" i="103"/>
  <c r="BM30" i="103"/>
  <c r="BN30" i="103" s="1"/>
  <c r="BM49" i="103"/>
  <c r="BN49" i="103" s="1"/>
  <c r="AF31" i="103"/>
  <c r="AG31" i="103"/>
  <c r="BM42" i="103"/>
  <c r="BN42" i="103" s="1"/>
  <c r="AJ31" i="103"/>
  <c r="BM18" i="103"/>
  <c r="BN18" i="103" s="1"/>
  <c r="BM35" i="103"/>
  <c r="BN35" i="103" s="1"/>
  <c r="AH27" i="103"/>
  <c r="AJ27" i="103"/>
  <c r="AJ38" i="103"/>
  <c r="AI38" i="103"/>
  <c r="AG38" i="103"/>
  <c r="AF38" i="103"/>
  <c r="AG53" i="103"/>
  <c r="AH50" i="103"/>
  <c r="AI50" i="103"/>
  <c r="AI55" i="103"/>
  <c r="AI56" i="103" s="1"/>
  <c r="AK29" i="103"/>
  <c r="AK31" i="103" s="1"/>
  <c r="AK55" i="103"/>
  <c r="AK56" i="103" s="1"/>
  <c r="AJ50" i="103"/>
  <c r="AH31" i="103"/>
  <c r="AI27" i="103"/>
  <c r="AF50" i="103"/>
  <c r="AG50" i="103"/>
  <c r="AF27" i="103"/>
  <c r="AG27" i="103"/>
  <c r="BM16" i="103"/>
  <c r="BN16" i="103" s="1"/>
  <c r="BM20" i="103"/>
  <c r="BN20" i="103" s="1"/>
  <c r="BM44" i="103"/>
  <c r="BN44" i="103" s="1"/>
  <c r="BM24" i="103"/>
  <c r="BN24" i="103" s="1"/>
  <c r="BM25" i="103"/>
  <c r="BN25" i="103" s="1"/>
  <c r="AH56" i="103"/>
  <c r="BL50" i="31"/>
  <c r="AG57" i="103"/>
  <c r="Z36" i="87"/>
  <c r="AL52" i="103"/>
  <c r="AL53" i="103" s="1"/>
  <c r="AL40" i="103"/>
  <c r="AL50" i="103" s="1"/>
  <c r="AL29" i="103"/>
  <c r="AL31" i="103" s="1"/>
  <c r="AL33" i="103"/>
  <c r="AL38" i="103" s="1"/>
  <c r="AL11" i="103"/>
  <c r="AL55" i="103"/>
  <c r="AK38" i="103"/>
  <c r="AM33" i="103"/>
  <c r="AM38" i="103" s="1"/>
  <c r="BM43" i="103"/>
  <c r="BN43" i="103" s="1"/>
  <c r="BM41" i="103"/>
  <c r="BN41" i="103" s="1"/>
  <c r="AK27" i="103"/>
  <c r="AM11" i="103"/>
  <c r="AM27" i="103" s="1"/>
  <c r="AM29" i="103"/>
  <c r="AM31" i="103" s="1"/>
  <c r="AK50" i="103"/>
  <c r="AM40" i="103"/>
  <c r="AM50" i="103" s="1"/>
  <c r="AK53" i="103"/>
  <c r="AM52" i="103"/>
  <c r="AM53" i="103" s="1"/>
  <c r="U40" i="32"/>
  <c r="U46" i="32" s="1"/>
  <c r="X53" i="68"/>
  <c r="Z53" i="68" s="1"/>
  <c r="V51" i="32"/>
  <c r="AB51" i="32" s="1"/>
  <c r="AD65" i="32"/>
  <c r="Y20" i="32"/>
  <c r="AB28" i="31"/>
  <c r="AE28" i="31" s="1"/>
  <c r="AE36" i="87"/>
  <c r="Y20" i="68"/>
  <c r="AD20" i="68" s="1"/>
  <c r="AD20" i="32"/>
  <c r="X45" i="68"/>
  <c r="Z45" i="68" s="1"/>
  <c r="AE45" i="68" s="1"/>
  <c r="U25" i="83"/>
  <c r="AA25" i="83" s="1"/>
  <c r="X35" i="32"/>
  <c r="Z35" i="32" s="1"/>
  <c r="AE35" i="32" s="1"/>
  <c r="X62" i="68"/>
  <c r="AE62" i="68" s="1"/>
  <c r="V34" i="32"/>
  <c r="AB34" i="32" s="1"/>
  <c r="AB36" i="32" s="1"/>
  <c r="W25" i="31"/>
  <c r="Y25" i="31" s="1"/>
  <c r="AD25" i="31" s="1"/>
  <c r="X38" i="83"/>
  <c r="X42" i="83" s="1"/>
  <c r="V34" i="68"/>
  <c r="Z34" i="68" s="1"/>
  <c r="U32" i="32"/>
  <c r="AA32" i="32" s="1"/>
  <c r="Y18" i="87"/>
  <c r="AD18" i="87" s="1"/>
  <c r="X44" i="68"/>
  <c r="Z44" i="68" s="1"/>
  <c r="X29" i="83"/>
  <c r="Z29" i="83" s="1"/>
  <c r="U30" i="32"/>
  <c r="AA30" i="32" s="1"/>
  <c r="V30" i="31"/>
  <c r="AB30" i="31" s="1"/>
  <c r="V24" i="68"/>
  <c r="AB24" i="68" s="1"/>
  <c r="V60" i="68"/>
  <c r="AE60" i="68" s="1"/>
  <c r="V31" i="83"/>
  <c r="AB31" i="83" s="1"/>
  <c r="U32" i="31"/>
  <c r="AA32" i="31" s="1"/>
  <c r="X49" i="68"/>
  <c r="Z49" i="68" s="1"/>
  <c r="AE49" i="68" s="1"/>
  <c r="X51" i="68"/>
  <c r="Z51" i="68" s="1"/>
  <c r="W34" i="32"/>
  <c r="Y34" i="32" s="1"/>
  <c r="X41" i="32"/>
  <c r="Z41" i="32" s="1"/>
  <c r="AD21" i="32"/>
  <c r="X24" i="32"/>
  <c r="Z24" i="32" s="1"/>
  <c r="AE24" i="32" s="1"/>
  <c r="X32" i="31"/>
  <c r="Z32" i="31" s="1"/>
  <c r="AE32" i="31" s="1"/>
  <c r="X31" i="31"/>
  <c r="Z31" i="31" s="1"/>
  <c r="AE31" i="31" s="1"/>
  <c r="V32" i="83"/>
  <c r="Z32" i="83" s="1"/>
  <c r="X62" i="32"/>
  <c r="AE62" i="32" s="1"/>
  <c r="U44" i="31"/>
  <c r="Y44" i="31" s="1"/>
  <c r="V59" i="32"/>
  <c r="AE59" i="32" s="1"/>
  <c r="V38" i="31"/>
  <c r="Z38" i="31" s="1"/>
  <c r="U30" i="31"/>
  <c r="AA30" i="31" s="1"/>
  <c r="V55" i="32"/>
  <c r="AB55" i="32" s="1"/>
  <c r="W35" i="32"/>
  <c r="Y35" i="32" s="1"/>
  <c r="AD35" i="32" s="1"/>
  <c r="W30" i="68"/>
  <c r="Y30" i="68" s="1"/>
  <c r="AD30" i="68" s="1"/>
  <c r="W38" i="32"/>
  <c r="Y38" i="32" s="1"/>
  <c r="X55" i="68"/>
  <c r="Z55" i="68" s="1"/>
  <c r="AE55" i="68" s="1"/>
  <c r="X35" i="68"/>
  <c r="Z35" i="68" s="1"/>
  <c r="X60" i="32"/>
  <c r="W28" i="32"/>
  <c r="Y28" i="32" s="1"/>
  <c r="U48" i="32"/>
  <c r="Y48" i="32" s="1"/>
  <c r="V54" i="68"/>
  <c r="AB54" i="68" s="1"/>
  <c r="U50" i="32"/>
  <c r="AA50" i="32" s="1"/>
  <c r="V43" i="68"/>
  <c r="AB43" i="68" s="1"/>
  <c r="U30" i="83"/>
  <c r="Y30" i="83" s="1"/>
  <c r="X54" i="32"/>
  <c r="Z54" i="32" s="1"/>
  <c r="U25" i="68"/>
  <c r="AA25" i="68" s="1"/>
  <c r="AB35" i="68"/>
  <c r="AD22" i="32"/>
  <c r="V64" i="68"/>
  <c r="AE64" i="68" s="1"/>
  <c r="U32" i="83"/>
  <c r="AA32" i="83" s="1"/>
  <c r="V63" i="32"/>
  <c r="AE63" i="32" s="1"/>
  <c r="W39" i="32"/>
  <c r="Y39" i="32" s="1"/>
  <c r="X43" i="32"/>
  <c r="Z43" i="32" s="1"/>
  <c r="AE43" i="32" s="1"/>
  <c r="U49" i="32"/>
  <c r="AA49" i="32" s="1"/>
  <c r="X50" i="68"/>
  <c r="Z50" i="68" s="1"/>
  <c r="U32" i="68"/>
  <c r="AA32" i="68" s="1"/>
  <c r="V46" i="32"/>
  <c r="V48" i="68"/>
  <c r="AB48" i="68" s="1"/>
  <c r="V61" i="68"/>
  <c r="AE61" i="68" s="1"/>
  <c r="AB30" i="83"/>
  <c r="Y25" i="32"/>
  <c r="AD25" i="32" s="1"/>
  <c r="W35" i="68"/>
  <c r="Y35" i="68" s="1"/>
  <c r="X30" i="83"/>
  <c r="Z30" i="83" s="1"/>
  <c r="V61" i="32"/>
  <c r="W44" i="83"/>
  <c r="Y44" i="83" s="1"/>
  <c r="U33" i="68"/>
  <c r="AA33" i="68" s="1"/>
  <c r="X58" i="68"/>
  <c r="AE63" i="68"/>
  <c r="Z52" i="68"/>
  <c r="AD41" i="83"/>
  <c r="AE64" i="32"/>
  <c r="Z40" i="83"/>
  <c r="AE40" i="83" s="1"/>
  <c r="Z29" i="31"/>
  <c r="AE29" i="31" s="1"/>
  <c r="AE59" i="68"/>
  <c r="Y30" i="87"/>
  <c r="AD30" i="87" s="1"/>
  <c r="W38" i="68"/>
  <c r="Y29" i="32"/>
  <c r="AD29" i="32" s="1"/>
  <c r="U38" i="68"/>
  <c r="AA38" i="68" s="1"/>
  <c r="Z42" i="32"/>
  <c r="X24" i="87"/>
  <c r="Z24" i="87" s="1"/>
  <c r="AE24" i="87" s="1"/>
  <c r="AA39" i="32"/>
  <c r="AB51" i="68"/>
  <c r="AD22" i="83"/>
  <c r="BU36" i="87"/>
  <c r="BS39" i="31"/>
  <c r="BQ39" i="31"/>
  <c r="BO39" i="31"/>
  <c r="BQ46" i="83"/>
  <c r="BS46" i="83"/>
  <c r="BO46" i="83"/>
  <c r="BO50" i="83" s="1"/>
  <c r="X47" i="31"/>
  <c r="V47" i="31"/>
  <c r="U29" i="68"/>
  <c r="AA29" i="68" s="1"/>
  <c r="BQ37" i="83"/>
  <c r="BQ42" i="83" s="1"/>
  <c r="BO37" i="83"/>
  <c r="BO42" i="83" s="1"/>
  <c r="BS37" i="83"/>
  <c r="BS42" i="83" s="1"/>
  <c r="BY42" i="83"/>
  <c r="X23" i="32"/>
  <c r="V23" i="32"/>
  <c r="U24" i="68"/>
  <c r="W24" i="68"/>
  <c r="AS40" i="31"/>
  <c r="Y40" i="68"/>
  <c r="AD40" i="68" s="1"/>
  <c r="AB42" i="32"/>
  <c r="BQ50" i="83"/>
  <c r="BW46" i="83"/>
  <c r="W46" i="83"/>
  <c r="U46" i="83"/>
  <c r="U50" i="83" s="1"/>
  <c r="W33" i="87"/>
  <c r="U33" i="87"/>
  <c r="X36" i="31"/>
  <c r="V36" i="31"/>
  <c r="W23" i="32"/>
  <c r="U23" i="32"/>
  <c r="AA23" i="32" s="1"/>
  <c r="BY40" i="31"/>
  <c r="P40" i="31"/>
  <c r="BJ40" i="31"/>
  <c r="BT40" i="31"/>
  <c r="BL40" i="31"/>
  <c r="AB27" i="31"/>
  <c r="AB41" i="32"/>
  <c r="X27" i="31"/>
  <c r="W27" i="31"/>
  <c r="Y33" i="32"/>
  <c r="AD33" i="32" s="1"/>
  <c r="Y27" i="87"/>
  <c r="AD27" i="87" s="1"/>
  <c r="AA44" i="83"/>
  <c r="W39" i="68"/>
  <c r="Y39" i="68" s="1"/>
  <c r="U39" i="31"/>
  <c r="W39" i="31"/>
  <c r="BW39" i="31"/>
  <c r="X52" i="32"/>
  <c r="V52" i="32"/>
  <c r="J48" i="83"/>
  <c r="I49" i="83"/>
  <c r="J49" i="83" s="1"/>
  <c r="K49" i="83" s="1"/>
  <c r="L49" i="83" s="1"/>
  <c r="P49" i="83" s="1"/>
  <c r="V47" i="83"/>
  <c r="AB47" i="83" s="1"/>
  <c r="X47" i="83"/>
  <c r="K41" i="31"/>
  <c r="L41" i="31" s="1"/>
  <c r="AN41" i="31"/>
  <c r="AP41" i="31" s="1"/>
  <c r="AS41" i="31" s="1"/>
  <c r="X42" i="68"/>
  <c r="V42" i="83"/>
  <c r="AB53" i="68"/>
  <c r="U27" i="31"/>
  <c r="AA27" i="31" s="1"/>
  <c r="AB52" i="68"/>
  <c r="BS50" i="83"/>
  <c r="BI36" i="87"/>
  <c r="V26" i="31"/>
  <c r="AB26" i="31" s="1"/>
  <c r="Z45" i="32"/>
  <c r="AE45" i="32" s="1"/>
  <c r="W37" i="83"/>
  <c r="W42" i="83" s="1"/>
  <c r="U37" i="83"/>
  <c r="U42" i="83" s="1"/>
  <c r="BW37" i="83"/>
  <c r="O42" i="83"/>
  <c r="W24" i="32"/>
  <c r="U24" i="32"/>
  <c r="AA24" i="32" s="1"/>
  <c r="BH66" i="68"/>
  <c r="AB44" i="68"/>
  <c r="W56" i="32"/>
  <c r="BS26" i="87"/>
  <c r="T26" i="87"/>
  <c r="V26" i="87" s="1"/>
  <c r="U22" i="68"/>
  <c r="BE46" i="68"/>
  <c r="BO45" i="31"/>
  <c r="BS45" i="31"/>
  <c r="BY50" i="31"/>
  <c r="BQ45" i="31"/>
  <c r="O50" i="31"/>
  <c r="BW45" i="31"/>
  <c r="W45" i="31"/>
  <c r="U45" i="31"/>
  <c r="AA45" i="31" s="1"/>
  <c r="AB53" i="32"/>
  <c r="Z44" i="32"/>
  <c r="AB44" i="32"/>
  <c r="BW49" i="31"/>
  <c r="T49" i="31"/>
  <c r="V49" i="31" s="1"/>
  <c r="BS35" i="87"/>
  <c r="R35" i="87"/>
  <c r="U35" i="87" s="1"/>
  <c r="P26" i="83"/>
  <c r="O26" i="83"/>
  <c r="BK23" i="68"/>
  <c r="U23" i="68"/>
  <c r="W23" i="68"/>
  <c r="BS32" i="87"/>
  <c r="R32" i="87"/>
  <c r="AP22" i="87"/>
  <c r="L22" i="87"/>
  <c r="G23" i="87"/>
  <c r="L23" i="87" s="1"/>
  <c r="P23" i="87" s="1"/>
  <c r="AA39" i="68"/>
  <c r="BS46" i="31"/>
  <c r="BQ46" i="31"/>
  <c r="BO46" i="31"/>
  <c r="BK34" i="87"/>
  <c r="BO34" i="87"/>
  <c r="BM34" i="87"/>
  <c r="W22" i="68"/>
  <c r="AA35" i="68"/>
  <c r="AB36" i="83"/>
  <c r="AB42" i="83" s="1"/>
  <c r="AB42" i="68"/>
  <c r="AB29" i="83"/>
  <c r="Z36" i="83"/>
  <c r="U31" i="87"/>
  <c r="AA31" i="87" s="1"/>
  <c r="W31" i="68"/>
  <c r="Y45" i="83"/>
  <c r="AA45" i="83"/>
  <c r="P25" i="87"/>
  <c r="O25" i="87"/>
  <c r="BP25" i="87"/>
  <c r="BU25" i="87"/>
  <c r="BG25" i="87"/>
  <c r="BI25" i="87"/>
  <c r="O66" i="68"/>
  <c r="Z53" i="32"/>
  <c r="Y31" i="32"/>
  <c r="AD31" i="32" s="1"/>
  <c r="K48" i="31"/>
  <c r="L48" i="31" s="1"/>
  <c r="J50" i="31"/>
  <c r="J51" i="31" s="1"/>
  <c r="BG23" i="68"/>
  <c r="BC23" i="68"/>
  <c r="BC26" i="68" s="1"/>
  <c r="BE23" i="68"/>
  <c r="BE26" i="68" s="1"/>
  <c r="BE66" i="68" s="1"/>
  <c r="BO23" i="31"/>
  <c r="BO34" i="31" s="1"/>
  <c r="BQ23" i="31"/>
  <c r="BQ34" i="31" s="1"/>
  <c r="BY34" i="31"/>
  <c r="BS23" i="31"/>
  <c r="BS34" i="31" s="1"/>
  <c r="Y34" i="68"/>
  <c r="AD34" i="68" s="1"/>
  <c r="C27" i="56"/>
  <c r="B25" i="56"/>
  <c r="AY66" i="68"/>
  <c r="P26" i="68"/>
  <c r="P66" i="68" s="1"/>
  <c r="T23" i="68"/>
  <c r="X23" i="68" s="1"/>
  <c r="X26" i="68" s="1"/>
  <c r="BG26" i="68"/>
  <c r="BG66" i="68" s="1"/>
  <c r="BA66" i="68"/>
  <c r="BW23" i="31"/>
  <c r="O34" i="31"/>
  <c r="W23" i="31"/>
  <c r="U23" i="31"/>
  <c r="AA23" i="31" s="1"/>
  <c r="AB54" i="32"/>
  <c r="BW46" i="31"/>
  <c r="U46" i="31"/>
  <c r="AA46" i="31" s="1"/>
  <c r="W46" i="31"/>
  <c r="AS66" i="68"/>
  <c r="U31" i="68"/>
  <c r="AA31" i="68" s="1"/>
  <c r="C15" i="88"/>
  <c r="BK35" i="87"/>
  <c r="BM35" i="87"/>
  <c r="BO35" i="87"/>
  <c r="K27" i="83"/>
  <c r="L27" i="83" s="1"/>
  <c r="AP27" i="83"/>
  <c r="G28" i="83"/>
  <c r="U26" i="31"/>
  <c r="AA26" i="31" s="1"/>
  <c r="Z41" i="68"/>
  <c r="BS34" i="87"/>
  <c r="R34" i="87"/>
  <c r="BO32" i="87"/>
  <c r="BM32" i="87"/>
  <c r="BM36" i="87" s="1"/>
  <c r="BK32" i="87"/>
  <c r="BK36" i="87" s="1"/>
  <c r="BM26" i="68"/>
  <c r="BM66" i="68" s="1"/>
  <c r="P21" i="87"/>
  <c r="L28" i="87"/>
  <c r="L37" i="87" s="1"/>
  <c r="Y28" i="68"/>
  <c r="AF57" i="103" l="1"/>
  <c r="AJ57" i="103"/>
  <c r="AI57" i="103"/>
  <c r="B36" i="106" s="1"/>
  <c r="AM55" i="103"/>
  <c r="AM56" i="103" s="1"/>
  <c r="AM57" i="103" s="1"/>
  <c r="AH57" i="103"/>
  <c r="V36" i="68"/>
  <c r="AA36" i="32"/>
  <c r="BM33" i="103"/>
  <c r="BN33" i="103" s="1"/>
  <c r="BM29" i="103"/>
  <c r="BM31" i="103" s="1"/>
  <c r="BM38" i="103"/>
  <c r="BM40" i="103"/>
  <c r="BM52" i="103"/>
  <c r="AL27" i="103"/>
  <c r="BM11" i="103"/>
  <c r="AA40" i="32"/>
  <c r="AA46" i="32" s="1"/>
  <c r="Y40" i="32"/>
  <c r="AK57" i="103"/>
  <c r="BM47" i="103"/>
  <c r="BN47" i="103" s="1"/>
  <c r="BM46" i="103"/>
  <c r="BN46" i="103" s="1"/>
  <c r="BM55" i="103"/>
  <c r="AL56" i="103"/>
  <c r="X65" i="68"/>
  <c r="Z51" i="32"/>
  <c r="AE51" i="32" s="1"/>
  <c r="Z24" i="68"/>
  <c r="AE24" i="68" s="1"/>
  <c r="U36" i="32"/>
  <c r="Y25" i="83"/>
  <c r="AD25" i="83" s="1"/>
  <c r="X36" i="32"/>
  <c r="AA30" i="83"/>
  <c r="AD30" i="83" s="1"/>
  <c r="V36" i="32"/>
  <c r="Y32" i="31"/>
  <c r="AD32" i="31" s="1"/>
  <c r="Y30" i="32"/>
  <c r="AD30" i="32" s="1"/>
  <c r="AB34" i="68"/>
  <c r="AB36" i="68" s="1"/>
  <c r="Z38" i="83"/>
  <c r="AE38" i="83" s="1"/>
  <c r="X46" i="68"/>
  <c r="AA48" i="32"/>
  <c r="AA56" i="32" s="1"/>
  <c r="Z34" i="32"/>
  <c r="AE34" i="32" s="1"/>
  <c r="U56" i="32"/>
  <c r="Y30" i="31"/>
  <c r="AD30" i="31" s="1"/>
  <c r="Y32" i="32"/>
  <c r="AD32" i="32" s="1"/>
  <c r="Z30" i="31"/>
  <c r="AE30" i="31" s="1"/>
  <c r="AE35" i="68"/>
  <c r="Y24" i="68"/>
  <c r="Y24" i="32"/>
  <c r="AD24" i="32" s="1"/>
  <c r="Z31" i="83"/>
  <c r="AE31" i="83" s="1"/>
  <c r="Z26" i="31"/>
  <c r="AE26" i="31" s="1"/>
  <c r="V56" i="68"/>
  <c r="AA44" i="31"/>
  <c r="AA50" i="31" s="1"/>
  <c r="Z36" i="68"/>
  <c r="Z48" i="68"/>
  <c r="AE48" i="68" s="1"/>
  <c r="Z42" i="68"/>
  <c r="AE42" i="68" s="1"/>
  <c r="X36" i="68"/>
  <c r="AB32" i="83"/>
  <c r="AE32" i="83" s="1"/>
  <c r="Y27" i="31"/>
  <c r="AD27" i="31" s="1"/>
  <c r="AE52" i="68"/>
  <c r="V56" i="32"/>
  <c r="Y49" i="32"/>
  <c r="AD49" i="32" s="1"/>
  <c r="X56" i="32"/>
  <c r="Z55" i="32"/>
  <c r="AE55" i="32" s="1"/>
  <c r="X34" i="31"/>
  <c r="AE42" i="32"/>
  <c r="W36" i="32"/>
  <c r="W50" i="83"/>
  <c r="Y32" i="68"/>
  <c r="AD32" i="68" s="1"/>
  <c r="X26" i="32"/>
  <c r="AB46" i="32"/>
  <c r="AE30" i="83"/>
  <c r="X65" i="32"/>
  <c r="AE58" i="68"/>
  <c r="AE65" i="68" s="1"/>
  <c r="AE60" i="32"/>
  <c r="W34" i="31"/>
  <c r="Y50" i="32"/>
  <c r="AD50" i="32" s="1"/>
  <c r="AB38" i="31"/>
  <c r="AE38" i="31" s="1"/>
  <c r="V65" i="68"/>
  <c r="AB56" i="68"/>
  <c r="V46" i="68"/>
  <c r="AD28" i="32"/>
  <c r="Y25" i="68"/>
  <c r="AD25" i="68" s="1"/>
  <c r="AE36" i="83"/>
  <c r="Y32" i="83"/>
  <c r="AD32" i="83" s="1"/>
  <c r="Z43" i="68"/>
  <c r="AE43" i="68" s="1"/>
  <c r="Z54" i="68"/>
  <c r="AE54" i="68" s="1"/>
  <c r="X56" i="68"/>
  <c r="V65" i="32"/>
  <c r="V34" i="31"/>
  <c r="Z27" i="31"/>
  <c r="AE27" i="31" s="1"/>
  <c r="W46" i="32"/>
  <c r="AE61" i="32"/>
  <c r="AD39" i="32"/>
  <c r="AD35" i="68"/>
  <c r="X46" i="32"/>
  <c r="W36" i="68"/>
  <c r="AE50" i="68"/>
  <c r="AE53" i="68"/>
  <c r="Z46" i="32"/>
  <c r="AE29" i="83"/>
  <c r="Y38" i="68"/>
  <c r="Y46" i="68" s="1"/>
  <c r="U46" i="68"/>
  <c r="W46" i="68"/>
  <c r="V23" i="68"/>
  <c r="V26" i="68" s="1"/>
  <c r="AB46" i="68"/>
  <c r="AE51" i="68"/>
  <c r="AE44" i="32"/>
  <c r="AE44" i="68"/>
  <c r="Z36" i="31"/>
  <c r="AD44" i="83"/>
  <c r="AA46" i="68"/>
  <c r="Y33" i="68"/>
  <c r="AD33" i="68" s="1"/>
  <c r="AB34" i="31"/>
  <c r="Y29" i="68"/>
  <c r="AD29" i="68" s="1"/>
  <c r="AA37" i="83"/>
  <c r="AA42" i="83" s="1"/>
  <c r="Z52" i="32"/>
  <c r="AA24" i="68"/>
  <c r="Y37" i="83"/>
  <c r="W35" i="87"/>
  <c r="Y35" i="87" s="1"/>
  <c r="AD39" i="68"/>
  <c r="BT41" i="31"/>
  <c r="BT42" i="31" s="1"/>
  <c r="BT51" i="31" s="1"/>
  <c r="B23" i="56" s="1"/>
  <c r="O41" i="31"/>
  <c r="BY41" i="31"/>
  <c r="BL41" i="31"/>
  <c r="BJ41" i="31"/>
  <c r="L42" i="31"/>
  <c r="AA34" i="31"/>
  <c r="AE54" i="32"/>
  <c r="W50" i="31"/>
  <c r="U26" i="68"/>
  <c r="AE53" i="32"/>
  <c r="P42" i="31"/>
  <c r="T40" i="31"/>
  <c r="X40" i="31" s="1"/>
  <c r="X42" i="31" s="1"/>
  <c r="BW40" i="31"/>
  <c r="Y46" i="83"/>
  <c r="Y50" i="83" s="1"/>
  <c r="AA46" i="83"/>
  <c r="AA50" i="83" s="1"/>
  <c r="Z47" i="31"/>
  <c r="AB47" i="31"/>
  <c r="Y46" i="31"/>
  <c r="AD46" i="31" s="1"/>
  <c r="AD45" i="83"/>
  <c r="W26" i="68"/>
  <c r="Y23" i="68"/>
  <c r="X49" i="31"/>
  <c r="Z49" i="31" s="1"/>
  <c r="BW49" i="83"/>
  <c r="T49" i="83"/>
  <c r="AB52" i="32"/>
  <c r="AA39" i="31"/>
  <c r="Y39" i="31"/>
  <c r="BL42" i="31"/>
  <c r="BL51" i="31" s="1"/>
  <c r="B19" i="56" s="1"/>
  <c r="BO40" i="31"/>
  <c r="BQ40" i="31"/>
  <c r="BS40" i="31"/>
  <c r="Y23" i="32"/>
  <c r="U26" i="32"/>
  <c r="AP42" i="31"/>
  <c r="AP51" i="31" s="1"/>
  <c r="AA36" i="68"/>
  <c r="Y45" i="31"/>
  <c r="BO50" i="31"/>
  <c r="K48" i="83"/>
  <c r="L48" i="83" s="1"/>
  <c r="J50" i="83"/>
  <c r="J51" i="83" s="1"/>
  <c r="W26" i="32"/>
  <c r="Y33" i="87"/>
  <c r="AA33" i="87"/>
  <c r="AS42" i="31"/>
  <c r="AS51" i="31" s="1"/>
  <c r="B24" i="56" s="1"/>
  <c r="Z23" i="32"/>
  <c r="AB23" i="32"/>
  <c r="AB26" i="32" s="1"/>
  <c r="V26" i="32"/>
  <c r="Z47" i="83"/>
  <c r="AE47" i="83" s="1"/>
  <c r="BJ42" i="31"/>
  <c r="BJ51" i="31" s="1"/>
  <c r="B18" i="56" s="1"/>
  <c r="C18" i="56" s="1"/>
  <c r="AA26" i="32"/>
  <c r="AB36" i="31"/>
  <c r="BY42" i="31"/>
  <c r="BY51" i="31" s="1"/>
  <c r="AB49" i="31"/>
  <c r="P27" i="83"/>
  <c r="BY27" i="83"/>
  <c r="BT27" i="83"/>
  <c r="BT34" i="83" s="1"/>
  <c r="BT51" i="83" s="1"/>
  <c r="B23" i="84" s="1"/>
  <c r="O27" i="83"/>
  <c r="B27" i="84"/>
  <c r="BJ27" i="83"/>
  <c r="BJ34" i="83" s="1"/>
  <c r="BJ51" i="83" s="1"/>
  <c r="B18" i="84" s="1"/>
  <c r="BL27" i="83"/>
  <c r="BL34" i="83" s="1"/>
  <c r="BL51" i="83" s="1"/>
  <c r="B19" i="84" s="1"/>
  <c r="U36" i="68"/>
  <c r="BC66" i="68"/>
  <c r="BO36" i="87"/>
  <c r="AA22" i="68"/>
  <c r="U34" i="87"/>
  <c r="AA34" i="87" s="1"/>
  <c r="AS27" i="83"/>
  <c r="AS34" i="83" s="1"/>
  <c r="AS51" i="83" s="1"/>
  <c r="B24" i="84" s="1"/>
  <c r="AP34" i="83"/>
  <c r="AP51" i="83" s="1"/>
  <c r="Y26" i="31"/>
  <c r="AD26" i="31" s="1"/>
  <c r="AD38" i="32"/>
  <c r="AE41" i="32"/>
  <c r="O22" i="87"/>
  <c r="BP22" i="87"/>
  <c r="BP28" i="87" s="1"/>
  <c r="BP37" i="87" s="1"/>
  <c r="B22" i="88" s="1"/>
  <c r="P22" i="87"/>
  <c r="BU22" i="87"/>
  <c r="B26" i="88"/>
  <c r="BG22" i="87"/>
  <c r="BG28" i="87" s="1"/>
  <c r="BG37" i="87" s="1"/>
  <c r="B18" i="88" s="1"/>
  <c r="BI22" i="87"/>
  <c r="BI28" i="87" s="1"/>
  <c r="BI37" i="87" s="1"/>
  <c r="B19" i="88" s="1"/>
  <c r="U32" i="87"/>
  <c r="AA32" i="87" s="1"/>
  <c r="AA35" i="87"/>
  <c r="BS50" i="31"/>
  <c r="BS51" i="31" s="1"/>
  <c r="AB26" i="87"/>
  <c r="AD28" i="68"/>
  <c r="AD34" i="32"/>
  <c r="U34" i="31"/>
  <c r="W34" i="87"/>
  <c r="C24" i="56"/>
  <c r="U50" i="31"/>
  <c r="T25" i="87"/>
  <c r="X25" i="87" s="1"/>
  <c r="Y31" i="68"/>
  <c r="AD31" i="68" s="1"/>
  <c r="W32" i="87"/>
  <c r="AA23" i="68"/>
  <c r="BW26" i="83"/>
  <c r="R26" i="83"/>
  <c r="W26" i="83" s="1"/>
  <c r="O34" i="83"/>
  <c r="O51" i="83" s="1"/>
  <c r="BQ50" i="31"/>
  <c r="X26" i="87"/>
  <c r="Z26" i="87" s="1"/>
  <c r="C23" i="56"/>
  <c r="C25" i="56"/>
  <c r="BS25" i="87"/>
  <c r="R25" i="87"/>
  <c r="W25" i="87" s="1"/>
  <c r="AS22" i="87"/>
  <c r="AS28" i="87" s="1"/>
  <c r="AS37" i="87" s="1"/>
  <c r="B23" i="88" s="1"/>
  <c r="AP28" i="87"/>
  <c r="AP37" i="87" s="1"/>
  <c r="BS21" i="87"/>
  <c r="P28" i="87"/>
  <c r="P37" i="87" s="1"/>
  <c r="T21" i="87"/>
  <c r="V21" i="87" s="1"/>
  <c r="AB21" i="87" s="1"/>
  <c r="K28" i="83"/>
  <c r="L28" i="83" s="1"/>
  <c r="Y23" i="31"/>
  <c r="P48" i="31"/>
  <c r="L50" i="31"/>
  <c r="L51" i="31" s="1"/>
  <c r="BO25" i="87"/>
  <c r="BM25" i="87"/>
  <c r="BK25" i="87"/>
  <c r="Y31" i="87"/>
  <c r="AD31" i="87" s="1"/>
  <c r="AE41" i="68"/>
  <c r="BS23" i="87"/>
  <c r="T23" i="87"/>
  <c r="X23" i="87" s="1"/>
  <c r="C19" i="56"/>
  <c r="T26" i="83"/>
  <c r="X26" i="83" s="1"/>
  <c r="Y22" i="68"/>
  <c r="B35" i="106" l="1"/>
  <c r="B34" i="106"/>
  <c r="B39" i="106"/>
  <c r="B17" i="56"/>
  <c r="AD23" i="68"/>
  <c r="AD40" i="32"/>
  <c r="AD46" i="32" s="1"/>
  <c r="Y46" i="32"/>
  <c r="BN29" i="103"/>
  <c r="AL57" i="103"/>
  <c r="BN52" i="103"/>
  <c r="BM53" i="103"/>
  <c r="BC50" i="103"/>
  <c r="BC57" i="103" s="1"/>
  <c r="B17" i="106" s="1"/>
  <c r="BM56" i="103"/>
  <c r="BN55" i="103"/>
  <c r="BM27" i="103"/>
  <c r="BN11" i="103"/>
  <c r="BM50" i="103"/>
  <c r="BN40" i="103"/>
  <c r="Y50" i="31"/>
  <c r="AD48" i="32"/>
  <c r="AD56" i="32" s="1"/>
  <c r="AD24" i="68"/>
  <c r="AE42" i="83"/>
  <c r="Y26" i="32"/>
  <c r="Z42" i="83"/>
  <c r="U66" i="32"/>
  <c r="Y36" i="32"/>
  <c r="Z23" i="68"/>
  <c r="Z26" i="68" s="1"/>
  <c r="AE34" i="68"/>
  <c r="AE36" i="68" s="1"/>
  <c r="AD36" i="32"/>
  <c r="AD44" i="31"/>
  <c r="Z36" i="32"/>
  <c r="Y26" i="68"/>
  <c r="AD38" i="68"/>
  <c r="AD46" i="68" s="1"/>
  <c r="X66" i="68"/>
  <c r="Y56" i="32"/>
  <c r="AD45" i="31"/>
  <c r="Z34" i="31"/>
  <c r="AB23" i="68"/>
  <c r="AB26" i="68" s="1"/>
  <c r="AB66" i="68" s="1"/>
  <c r="Z56" i="32"/>
  <c r="AE65" i="32"/>
  <c r="U66" i="68"/>
  <c r="AE36" i="31"/>
  <c r="X66" i="32"/>
  <c r="V66" i="32"/>
  <c r="AE34" i="31"/>
  <c r="V66" i="68"/>
  <c r="W66" i="32"/>
  <c r="Z46" i="68"/>
  <c r="Z56" i="68"/>
  <c r="AE26" i="87"/>
  <c r="W66" i="68"/>
  <c r="AE56" i="68"/>
  <c r="AE23" i="32"/>
  <c r="AE26" i="32" s="1"/>
  <c r="U36" i="87"/>
  <c r="Y32" i="87"/>
  <c r="AD32" i="87" s="1"/>
  <c r="AE52" i="32"/>
  <c r="AE56" i="32" s="1"/>
  <c r="AD35" i="87"/>
  <c r="AA66" i="32"/>
  <c r="W36" i="87"/>
  <c r="Y34" i="31"/>
  <c r="AB56" i="32"/>
  <c r="AB66" i="32" s="1"/>
  <c r="Z26" i="32"/>
  <c r="AE47" i="31"/>
  <c r="AD37" i="83"/>
  <c r="AD42" i="83" s="1"/>
  <c r="Y42" i="83"/>
  <c r="U26" i="83"/>
  <c r="AA26" i="83" s="1"/>
  <c r="AA36" i="87"/>
  <c r="AE49" i="31"/>
  <c r="AD33" i="87"/>
  <c r="AD23" i="32"/>
  <c r="AD26" i="32" s="1"/>
  <c r="V49" i="83"/>
  <c r="BO41" i="31"/>
  <c r="BO42" i="31" s="1"/>
  <c r="BO51" i="31" s="1"/>
  <c r="BQ41" i="31"/>
  <c r="BQ42" i="31" s="1"/>
  <c r="BS41" i="31"/>
  <c r="BQ51" i="31"/>
  <c r="B22" i="56" s="1"/>
  <c r="Y34" i="87"/>
  <c r="X49" i="83"/>
  <c r="BW41" i="31"/>
  <c r="U41" i="31"/>
  <c r="U42" i="31" s="1"/>
  <c r="U51" i="31" s="1"/>
  <c r="W41" i="31"/>
  <c r="W42" i="31" s="1"/>
  <c r="W51" i="31" s="1"/>
  <c r="O42" i="31"/>
  <c r="O51" i="31" s="1"/>
  <c r="AD39" i="31"/>
  <c r="P48" i="83"/>
  <c r="L50" i="83"/>
  <c r="AD46" i="83"/>
  <c r="AD50" i="83" s="1"/>
  <c r="V40" i="31"/>
  <c r="P28" i="83"/>
  <c r="L34" i="83"/>
  <c r="L51" i="83" s="1"/>
  <c r="V26" i="83"/>
  <c r="BW48" i="31"/>
  <c r="T48" i="31"/>
  <c r="X48" i="31" s="1"/>
  <c r="X50" i="31" s="1"/>
  <c r="X51" i="31" s="1"/>
  <c r="P50" i="31"/>
  <c r="P51" i="31" s="1"/>
  <c r="B36" i="56" s="1"/>
  <c r="U25" i="87"/>
  <c r="Y25" i="87" s="1"/>
  <c r="V25" i="87"/>
  <c r="Z25" i="87" s="1"/>
  <c r="AD36" i="68"/>
  <c r="C19" i="88"/>
  <c r="T22" i="87"/>
  <c r="V22" i="87" s="1"/>
  <c r="AB22" i="87" s="1"/>
  <c r="AD22" i="68"/>
  <c r="AE36" i="32"/>
  <c r="C18" i="84"/>
  <c r="B17" i="84"/>
  <c r="BQ27" i="83"/>
  <c r="BQ34" i="83" s="1"/>
  <c r="BQ51" i="83" s="1"/>
  <c r="BO27" i="83"/>
  <c r="BO34" i="83" s="1"/>
  <c r="BO51" i="83" s="1"/>
  <c r="B22" i="84" s="1"/>
  <c r="BS27" i="83"/>
  <c r="BS34" i="83" s="1"/>
  <c r="BS51" i="83" s="1"/>
  <c r="BY34" i="83"/>
  <c r="BY51" i="83" s="1"/>
  <c r="V23" i="87"/>
  <c r="C18" i="88"/>
  <c r="B17" i="88"/>
  <c r="C22" i="88"/>
  <c r="AE46" i="32"/>
  <c r="C27" i="84"/>
  <c r="B25" i="84"/>
  <c r="T27" i="83"/>
  <c r="V27" i="83" s="1"/>
  <c r="C17" i="56"/>
  <c r="B24" i="88"/>
  <c r="C26" i="88"/>
  <c r="BS22" i="87"/>
  <c r="R22" i="87"/>
  <c r="O28" i="87"/>
  <c r="O37" i="87" s="1"/>
  <c r="B34" i="88" s="1"/>
  <c r="C24" i="84"/>
  <c r="AA26" i="68"/>
  <c r="AA66" i="68" s="1"/>
  <c r="Y36" i="68"/>
  <c r="BW27" i="83"/>
  <c r="R27" i="83"/>
  <c r="AE46" i="68"/>
  <c r="AD23" i="31"/>
  <c r="X21" i="87"/>
  <c r="Z21" i="87" s="1"/>
  <c r="C23" i="88"/>
  <c r="BO22" i="87"/>
  <c r="BO28" i="87" s="1"/>
  <c r="BO37" i="87" s="1"/>
  <c r="BK22" i="87"/>
  <c r="BK28" i="87" s="1"/>
  <c r="BK37" i="87" s="1"/>
  <c r="BM22" i="87"/>
  <c r="BM28" i="87" s="1"/>
  <c r="BM37" i="87" s="1"/>
  <c r="BU28" i="87"/>
  <c r="BU37" i="87" s="1"/>
  <c r="C19" i="84"/>
  <c r="C23" i="84"/>
  <c r="B16" i="106" l="1"/>
  <c r="C17" i="106"/>
  <c r="B11" i="106"/>
  <c r="B37" i="106"/>
  <c r="BM57" i="103"/>
  <c r="Y66" i="68"/>
  <c r="AD50" i="31"/>
  <c r="Y66" i="32"/>
  <c r="AE23" i="68"/>
  <c r="AE26" i="68" s="1"/>
  <c r="AE66" i="68" s="1"/>
  <c r="Z66" i="32"/>
  <c r="Z66" i="68"/>
  <c r="AA25" i="87"/>
  <c r="AD25" i="87" s="1"/>
  <c r="Y36" i="87"/>
  <c r="AE66" i="32"/>
  <c r="V48" i="31"/>
  <c r="V50" i="31" s="1"/>
  <c r="AD34" i="87"/>
  <c r="AD36" i="87" s="1"/>
  <c r="Z49" i="83"/>
  <c r="AB40" i="31"/>
  <c r="V42" i="31"/>
  <c r="Y26" i="83"/>
  <c r="AD26" i="83" s="1"/>
  <c r="Y41" i="31"/>
  <c r="AB27" i="83"/>
  <c r="AD66" i="32"/>
  <c r="AF15" i="32" s="1"/>
  <c r="AG48" i="32" s="1"/>
  <c r="BW48" i="83"/>
  <c r="P50" i="83"/>
  <c r="T48" i="83"/>
  <c r="V48" i="83" s="1"/>
  <c r="Z40" i="31"/>
  <c r="Z42" i="31" s="1"/>
  <c r="AA41" i="31"/>
  <c r="AA42" i="31" s="1"/>
  <c r="AA51" i="31" s="1"/>
  <c r="AB49" i="83"/>
  <c r="B38" i="56"/>
  <c r="B37" i="56"/>
  <c r="AE21" i="87"/>
  <c r="B21" i="84"/>
  <c r="C22" i="84"/>
  <c r="AD34" i="31"/>
  <c r="V28" i="87"/>
  <c r="V37" i="87" s="1"/>
  <c r="W27" i="83"/>
  <c r="W34" i="83" s="1"/>
  <c r="W51" i="83" s="1"/>
  <c r="B36" i="88"/>
  <c r="B35" i="88"/>
  <c r="U22" i="87"/>
  <c r="U28" i="87" s="1"/>
  <c r="U37" i="87" s="1"/>
  <c r="X27" i="83"/>
  <c r="Z27" i="83" s="1"/>
  <c r="C17" i="88"/>
  <c r="X22" i="87"/>
  <c r="X28" i="87" s="1"/>
  <c r="X37" i="87" s="1"/>
  <c r="Z26" i="83"/>
  <c r="AB25" i="87"/>
  <c r="BW28" i="83"/>
  <c r="T28" i="83"/>
  <c r="V28" i="83" s="1"/>
  <c r="P34" i="83"/>
  <c r="P51" i="83" s="1"/>
  <c r="B36" i="84" s="1"/>
  <c r="Z23" i="87"/>
  <c r="U27" i="83"/>
  <c r="U34" i="83" s="1"/>
  <c r="U51" i="83" s="1"/>
  <c r="W22" i="87"/>
  <c r="W28" i="87" s="1"/>
  <c r="W37" i="87" s="1"/>
  <c r="C25" i="84"/>
  <c r="B21" i="88"/>
  <c r="C24" i="88"/>
  <c r="C17" i="84"/>
  <c r="B16" i="84"/>
  <c r="AD26" i="68"/>
  <c r="AD66" i="68" s="1"/>
  <c r="AF15" i="68" s="1"/>
  <c r="B21" i="56"/>
  <c r="C22" i="56"/>
  <c r="AB23" i="87"/>
  <c r="AB26" i="83"/>
  <c r="B15" i="106" l="1"/>
  <c r="B25" i="106" s="1"/>
  <c r="B26" i="106" s="1"/>
  <c r="B38" i="106"/>
  <c r="C16" i="106"/>
  <c r="C11" i="106"/>
  <c r="AB48" i="31"/>
  <c r="AB50" i="31" s="1"/>
  <c r="AG51" i="32"/>
  <c r="AI51" i="32" s="1"/>
  <c r="AK51" i="32" s="1"/>
  <c r="AM51" i="32" s="1"/>
  <c r="AF25" i="32"/>
  <c r="AH25" i="32" s="1"/>
  <c r="AJ25" i="32" s="1"/>
  <c r="AL25" i="32" s="1"/>
  <c r="BI25" i="32" s="1"/>
  <c r="BJ25" i="32" s="1"/>
  <c r="AF38" i="32"/>
  <c r="AH38" i="32" s="1"/>
  <c r="AG61" i="32"/>
  <c r="AI61" i="32" s="1"/>
  <c r="AK61" i="32" s="1"/>
  <c r="AM61" i="32" s="1"/>
  <c r="AF44" i="32"/>
  <c r="AH44" i="32" s="1"/>
  <c r="AJ44" i="32" s="1"/>
  <c r="AL44" i="32" s="1"/>
  <c r="AG44" i="32"/>
  <c r="AI44" i="32" s="1"/>
  <c r="AK44" i="32" s="1"/>
  <c r="AM44" i="32" s="1"/>
  <c r="AG23" i="32"/>
  <c r="AF58" i="32"/>
  <c r="AF45" i="32"/>
  <c r="AH45" i="32" s="1"/>
  <c r="AJ45" i="32" s="1"/>
  <c r="AL45" i="32" s="1"/>
  <c r="AG52" i="32"/>
  <c r="AI52" i="32" s="1"/>
  <c r="AK52" i="32" s="1"/>
  <c r="AM52" i="32" s="1"/>
  <c r="AF40" i="32"/>
  <c r="AH40" i="32" s="1"/>
  <c r="AJ40" i="32" s="1"/>
  <c r="AL40" i="32" s="1"/>
  <c r="AF28" i="32"/>
  <c r="AH28" i="32" s="1"/>
  <c r="AF39" i="32"/>
  <c r="AH39" i="32" s="1"/>
  <c r="AJ39" i="32" s="1"/>
  <c r="AL39" i="32" s="1"/>
  <c r="AF20" i="32"/>
  <c r="AH20" i="32" s="1"/>
  <c r="AF60" i="32"/>
  <c r="AH60" i="32" s="1"/>
  <c r="AJ60" i="32" s="1"/>
  <c r="AL60" i="32" s="1"/>
  <c r="AF41" i="32"/>
  <c r="AH41" i="32" s="1"/>
  <c r="AJ41" i="32" s="1"/>
  <c r="AL41" i="32" s="1"/>
  <c r="X28" i="83"/>
  <c r="Z28" i="83" s="1"/>
  <c r="Z34" i="83" s="1"/>
  <c r="Z48" i="31"/>
  <c r="Z50" i="31" s="1"/>
  <c r="Z51" i="31" s="1"/>
  <c r="V51" i="31"/>
  <c r="AE49" i="83"/>
  <c r="AG35" i="32"/>
  <c r="AI35" i="32" s="1"/>
  <c r="AK35" i="32" s="1"/>
  <c r="AM35" i="32" s="1"/>
  <c r="AF50" i="32"/>
  <c r="AH50" i="32" s="1"/>
  <c r="AJ50" i="32" s="1"/>
  <c r="AL50" i="32" s="1"/>
  <c r="AG43" i="32"/>
  <c r="AI43" i="32" s="1"/>
  <c r="AK43" i="32" s="1"/>
  <c r="AM43" i="32" s="1"/>
  <c r="AF23" i="32"/>
  <c r="AH23" i="32" s="1"/>
  <c r="AJ23" i="32" s="1"/>
  <c r="AL23" i="32" s="1"/>
  <c r="AG64" i="32"/>
  <c r="AI64" i="32" s="1"/>
  <c r="AK64" i="32" s="1"/>
  <c r="AM64" i="32" s="1"/>
  <c r="AG38" i="32"/>
  <c r="AI38" i="32" s="1"/>
  <c r="AF64" i="32"/>
  <c r="AH64" i="32" s="1"/>
  <c r="AJ64" i="32" s="1"/>
  <c r="AL64" i="32" s="1"/>
  <c r="AG50" i="32"/>
  <c r="AI50" i="32" s="1"/>
  <c r="AK50" i="32" s="1"/>
  <c r="AM50" i="32" s="1"/>
  <c r="AE23" i="87"/>
  <c r="AG41" i="32"/>
  <c r="AI41" i="32" s="1"/>
  <c r="AK41" i="32" s="1"/>
  <c r="AM41" i="32" s="1"/>
  <c r="AG53" i="32"/>
  <c r="AI53" i="32" s="1"/>
  <c r="AK53" i="32" s="1"/>
  <c r="AM53" i="32" s="1"/>
  <c r="AF30" i="32"/>
  <c r="AH30" i="32" s="1"/>
  <c r="AJ30" i="32" s="1"/>
  <c r="AL30" i="32" s="1"/>
  <c r="BI30" i="32" s="1"/>
  <c r="BJ30" i="32" s="1"/>
  <c r="AF22" i="32"/>
  <c r="AH22" i="32" s="1"/>
  <c r="AJ22" i="32" s="1"/>
  <c r="AL22" i="32" s="1"/>
  <c r="BI22" i="32" s="1"/>
  <c r="BJ22" i="32" s="1"/>
  <c r="AF29" i="32"/>
  <c r="AH29" i="32" s="1"/>
  <c r="AJ29" i="32" s="1"/>
  <c r="AL29" i="32" s="1"/>
  <c r="BI29" i="32" s="1"/>
  <c r="BJ29" i="32" s="1"/>
  <c r="AF55" i="32"/>
  <c r="AH55" i="32" s="1"/>
  <c r="AJ55" i="32" s="1"/>
  <c r="AL55" i="32" s="1"/>
  <c r="AF43" i="32"/>
  <c r="AH43" i="32" s="1"/>
  <c r="AJ43" i="32" s="1"/>
  <c r="AL43" i="32" s="1"/>
  <c r="AF59" i="32"/>
  <c r="AH59" i="32" s="1"/>
  <c r="AJ59" i="32" s="1"/>
  <c r="AL59" i="32" s="1"/>
  <c r="V50" i="83"/>
  <c r="X48" i="83"/>
  <c r="AF34" i="32"/>
  <c r="AH34" i="32" s="1"/>
  <c r="AJ34" i="32" s="1"/>
  <c r="AL34" i="32" s="1"/>
  <c r="AF48" i="32"/>
  <c r="AH48" i="32" s="1"/>
  <c r="AF33" i="32"/>
  <c r="AH33" i="32" s="1"/>
  <c r="AJ33" i="32" s="1"/>
  <c r="AL33" i="32" s="1"/>
  <c r="BI33" i="32" s="1"/>
  <c r="BJ33" i="32" s="1"/>
  <c r="AF35" i="32"/>
  <c r="AH35" i="32" s="1"/>
  <c r="AJ35" i="32" s="1"/>
  <c r="AL35" i="32" s="1"/>
  <c r="AG42" i="32"/>
  <c r="AI42" i="32" s="1"/>
  <c r="AK42" i="32" s="1"/>
  <c r="AM42" i="32" s="1"/>
  <c r="AG55" i="32"/>
  <c r="AI55" i="32" s="1"/>
  <c r="AK55" i="32" s="1"/>
  <c r="AM55" i="32" s="1"/>
  <c r="AF21" i="32"/>
  <c r="AH21" i="32" s="1"/>
  <c r="AJ21" i="32" s="1"/>
  <c r="AL21" i="32" s="1"/>
  <c r="BI21" i="32" s="1"/>
  <c r="BJ21" i="32" s="1"/>
  <c r="AG58" i="32"/>
  <c r="AI58" i="32" s="1"/>
  <c r="AF32" i="32"/>
  <c r="AH32" i="32" s="1"/>
  <c r="AJ32" i="32" s="1"/>
  <c r="AL32" i="32" s="1"/>
  <c r="BI32" i="32" s="1"/>
  <c r="BJ32" i="32" s="1"/>
  <c r="AG62" i="32"/>
  <c r="AI62" i="32" s="1"/>
  <c r="AK62" i="32" s="1"/>
  <c r="AM62" i="32" s="1"/>
  <c r="AF24" i="32"/>
  <c r="AH24" i="32" s="1"/>
  <c r="AJ24" i="32" s="1"/>
  <c r="AL24" i="32" s="1"/>
  <c r="AF63" i="32"/>
  <c r="AH63" i="32" s="1"/>
  <c r="AJ63" i="32" s="1"/>
  <c r="AL63" i="32" s="1"/>
  <c r="AF52" i="32"/>
  <c r="AH52" i="32" s="1"/>
  <c r="AJ52" i="32" s="1"/>
  <c r="AL52" i="32" s="1"/>
  <c r="AF53" i="32"/>
  <c r="AH53" i="32" s="1"/>
  <c r="AJ53" i="32" s="1"/>
  <c r="AL53" i="32" s="1"/>
  <c r="AF51" i="32"/>
  <c r="AH51" i="32" s="1"/>
  <c r="AJ51" i="32" s="1"/>
  <c r="AL51" i="32" s="1"/>
  <c r="AF62" i="32"/>
  <c r="AH62" i="32" s="1"/>
  <c r="AJ62" i="32" s="1"/>
  <c r="AL62" i="32" s="1"/>
  <c r="AA22" i="87"/>
  <c r="AA28" i="87" s="1"/>
  <c r="AA37" i="87" s="1"/>
  <c r="AB48" i="83"/>
  <c r="AB50" i="83" s="1"/>
  <c r="AD41" i="31"/>
  <c r="AD42" i="31" s="1"/>
  <c r="AD51" i="31" s="1"/>
  <c r="AF17" i="31" s="1"/>
  <c r="Y42" i="31"/>
  <c r="Y51" i="31" s="1"/>
  <c r="AE40" i="31"/>
  <c r="AE42" i="31" s="1"/>
  <c r="AB42" i="31"/>
  <c r="AE26" i="83"/>
  <c r="AG34" i="32"/>
  <c r="AI34" i="32" s="1"/>
  <c r="AG24" i="32"/>
  <c r="AI24" i="32" s="1"/>
  <c r="AK24" i="32" s="1"/>
  <c r="AM24" i="32" s="1"/>
  <c r="AG54" i="32"/>
  <c r="AI54" i="32" s="1"/>
  <c r="AK54" i="32" s="1"/>
  <c r="AM54" i="32" s="1"/>
  <c r="AF31" i="32"/>
  <c r="AH31" i="32" s="1"/>
  <c r="AJ31" i="32" s="1"/>
  <c r="AL31" i="32" s="1"/>
  <c r="BI31" i="32" s="1"/>
  <c r="BJ31" i="32" s="1"/>
  <c r="AF49" i="32"/>
  <c r="AH49" i="32" s="1"/>
  <c r="AJ49" i="32" s="1"/>
  <c r="AL49" i="32" s="1"/>
  <c r="AG63" i="32"/>
  <c r="AI63" i="32" s="1"/>
  <c r="AK63" i="32" s="1"/>
  <c r="AM63" i="32" s="1"/>
  <c r="AG60" i="32"/>
  <c r="AI60" i="32" s="1"/>
  <c r="AK60" i="32" s="1"/>
  <c r="AM60" i="32" s="1"/>
  <c r="AG59" i="32"/>
  <c r="AI59" i="32" s="1"/>
  <c r="AK59" i="32" s="1"/>
  <c r="AM59" i="32" s="1"/>
  <c r="AG45" i="32"/>
  <c r="AI45" i="32" s="1"/>
  <c r="AK45" i="32" s="1"/>
  <c r="AM45" i="32" s="1"/>
  <c r="AF61" i="32"/>
  <c r="AH61" i="32" s="1"/>
  <c r="AJ61" i="32" s="1"/>
  <c r="AF42" i="32"/>
  <c r="AH42" i="32" s="1"/>
  <c r="AJ42" i="32" s="1"/>
  <c r="AG39" i="32"/>
  <c r="AI39" i="32" s="1"/>
  <c r="AK39" i="32" s="1"/>
  <c r="AM39" i="32" s="1"/>
  <c r="AG40" i="32"/>
  <c r="AI40" i="32" s="1"/>
  <c r="AK40" i="32" s="1"/>
  <c r="AM40" i="32" s="1"/>
  <c r="AF54" i="32"/>
  <c r="AH54" i="32" s="1"/>
  <c r="AJ54" i="32" s="1"/>
  <c r="AL54" i="32" s="1"/>
  <c r="AG49" i="32"/>
  <c r="AI49" i="32" s="1"/>
  <c r="AK49" i="32" s="1"/>
  <c r="AM49" i="32" s="1"/>
  <c r="AB28" i="83"/>
  <c r="AB34" i="83" s="1"/>
  <c r="V34" i="83"/>
  <c r="Z22" i="87"/>
  <c r="Z28" i="87" s="1"/>
  <c r="Z37" i="87" s="1"/>
  <c r="C21" i="56"/>
  <c r="B16" i="56"/>
  <c r="Y22" i="87"/>
  <c r="AE27" i="83"/>
  <c r="AI48" i="32"/>
  <c r="C21" i="88"/>
  <c r="B20" i="88"/>
  <c r="AF42" i="68"/>
  <c r="AH42" i="68" s="1"/>
  <c r="AF50" i="68"/>
  <c r="AH50" i="68" s="1"/>
  <c r="AF48" i="68"/>
  <c r="AF20" i="68"/>
  <c r="AF60" i="68"/>
  <c r="AH60" i="68" s="1"/>
  <c r="AF53" i="68"/>
  <c r="AH53" i="68" s="1"/>
  <c r="AF52" i="68"/>
  <c r="AH52" i="68" s="1"/>
  <c r="AF55" i="68"/>
  <c r="AH55" i="68" s="1"/>
  <c r="AF44" i="68"/>
  <c r="AH44" i="68" s="1"/>
  <c r="AG39" i="68"/>
  <c r="AI39" i="68" s="1"/>
  <c r="AK39" i="68" s="1"/>
  <c r="AM39" i="68" s="1"/>
  <c r="AF49" i="68"/>
  <c r="AH49" i="68" s="1"/>
  <c r="AF43" i="68"/>
  <c r="AH43" i="68" s="1"/>
  <c r="AF51" i="68"/>
  <c r="AH51" i="68" s="1"/>
  <c r="AF59" i="68"/>
  <c r="AH59" i="68" s="1"/>
  <c r="AF41" i="68"/>
  <c r="AH41" i="68" s="1"/>
  <c r="AF61" i="68"/>
  <c r="AH61" i="68" s="1"/>
  <c r="AF24" i="68"/>
  <c r="AH24" i="68" s="1"/>
  <c r="AF54" i="68"/>
  <c r="AH54" i="68" s="1"/>
  <c r="AF62" i="68"/>
  <c r="AH62" i="68" s="1"/>
  <c r="AF63" i="68"/>
  <c r="AH63" i="68" s="1"/>
  <c r="AG40" i="68"/>
  <c r="AI40" i="68" s="1"/>
  <c r="AK40" i="68" s="1"/>
  <c r="AM40" i="68" s="1"/>
  <c r="AG38" i="68"/>
  <c r="AF45" i="68"/>
  <c r="AH45" i="68" s="1"/>
  <c r="AF64" i="68"/>
  <c r="AH64" i="68" s="1"/>
  <c r="AF58" i="68"/>
  <c r="AG45" i="68"/>
  <c r="AI45" i="68" s="1"/>
  <c r="AK45" i="68" s="1"/>
  <c r="AM45" i="68" s="1"/>
  <c r="AG61" i="68"/>
  <c r="AI61" i="68" s="1"/>
  <c r="AK61" i="68" s="1"/>
  <c r="AM61" i="68" s="1"/>
  <c r="AG64" i="68"/>
  <c r="AI64" i="68" s="1"/>
  <c r="AK64" i="68" s="1"/>
  <c r="AM64" i="68" s="1"/>
  <c r="AG50" i="68"/>
  <c r="AI50" i="68" s="1"/>
  <c r="AK50" i="68" s="1"/>
  <c r="AM50" i="68" s="1"/>
  <c r="AG62" i="68"/>
  <c r="AI62" i="68" s="1"/>
  <c r="AK62" i="68" s="1"/>
  <c r="AM62" i="68" s="1"/>
  <c r="AF40" i="68"/>
  <c r="AH40" i="68" s="1"/>
  <c r="AG59" i="68"/>
  <c r="AI59" i="68" s="1"/>
  <c r="AK59" i="68" s="1"/>
  <c r="AM59" i="68" s="1"/>
  <c r="AG63" i="68"/>
  <c r="AI63" i="68" s="1"/>
  <c r="AK63" i="68" s="1"/>
  <c r="AM63" i="68" s="1"/>
  <c r="AF21" i="68"/>
  <c r="AH21" i="68" s="1"/>
  <c r="AF30" i="68"/>
  <c r="AH30" i="68" s="1"/>
  <c r="AG52" i="68"/>
  <c r="AI52" i="68" s="1"/>
  <c r="AK52" i="68" s="1"/>
  <c r="AM52" i="68" s="1"/>
  <c r="AG58" i="68"/>
  <c r="AG51" i="68"/>
  <c r="AI51" i="68" s="1"/>
  <c r="AK51" i="68" s="1"/>
  <c r="AM51" i="68" s="1"/>
  <c r="AG53" i="68"/>
  <c r="AI53" i="68" s="1"/>
  <c r="AK53" i="68" s="1"/>
  <c r="AM53" i="68" s="1"/>
  <c r="AG54" i="68"/>
  <c r="AI54" i="68" s="1"/>
  <c r="AK54" i="68" s="1"/>
  <c r="AM54" i="68" s="1"/>
  <c r="AG60" i="68"/>
  <c r="AI60" i="68" s="1"/>
  <c r="AK60" i="68" s="1"/>
  <c r="AM60" i="68" s="1"/>
  <c r="AG55" i="68"/>
  <c r="AI55" i="68" s="1"/>
  <c r="AK55" i="68" s="1"/>
  <c r="AM55" i="68" s="1"/>
  <c r="AF34" i="68"/>
  <c r="AH34" i="68" s="1"/>
  <c r="AF29" i="68"/>
  <c r="AH29" i="68" s="1"/>
  <c r="AG35" i="68"/>
  <c r="AI35" i="68" s="1"/>
  <c r="AK35" i="68" s="1"/>
  <c r="AM35" i="68" s="1"/>
  <c r="AG49" i="68"/>
  <c r="AI49" i="68" s="1"/>
  <c r="AK49" i="68" s="1"/>
  <c r="AM49" i="68" s="1"/>
  <c r="AG24" i="68"/>
  <c r="AI24" i="68" s="1"/>
  <c r="AK24" i="68" s="1"/>
  <c r="AM24" i="68" s="1"/>
  <c r="AF33" i="68"/>
  <c r="AH33" i="68" s="1"/>
  <c r="AG43" i="68"/>
  <c r="AI43" i="68" s="1"/>
  <c r="AK43" i="68" s="1"/>
  <c r="AM43" i="68" s="1"/>
  <c r="AG48" i="68"/>
  <c r="AF25" i="68"/>
  <c r="AH25" i="68" s="1"/>
  <c r="AG42" i="68"/>
  <c r="AI42" i="68" s="1"/>
  <c r="AK42" i="68" s="1"/>
  <c r="AM42" i="68" s="1"/>
  <c r="AF35" i="68"/>
  <c r="AH35" i="68" s="1"/>
  <c r="AG44" i="68"/>
  <c r="AI44" i="68" s="1"/>
  <c r="AK44" i="68" s="1"/>
  <c r="AM44" i="68" s="1"/>
  <c r="AF32" i="68"/>
  <c r="AH32" i="68" s="1"/>
  <c r="AF39" i="68"/>
  <c r="AH39" i="68" s="1"/>
  <c r="AF31" i="68"/>
  <c r="AH31" i="68" s="1"/>
  <c r="AG41" i="68"/>
  <c r="AI41" i="68" s="1"/>
  <c r="AK41" i="68" s="1"/>
  <c r="AM41" i="68" s="1"/>
  <c r="AG34" i="68"/>
  <c r="AG23" i="68"/>
  <c r="AF23" i="68"/>
  <c r="AH23" i="68" s="1"/>
  <c r="AF28" i="68"/>
  <c r="AF38" i="68"/>
  <c r="C16" i="84"/>
  <c r="B38" i="84"/>
  <c r="B37" i="84"/>
  <c r="AB28" i="87"/>
  <c r="AB37" i="87" s="1"/>
  <c r="AE25" i="87"/>
  <c r="Y27" i="83"/>
  <c r="Y34" i="83" s="1"/>
  <c r="Y51" i="83" s="1"/>
  <c r="AA27" i="83"/>
  <c r="AA34" i="83" s="1"/>
  <c r="AA51" i="83" s="1"/>
  <c r="AF22" i="68"/>
  <c r="AH22" i="68" s="1"/>
  <c r="C21" i="84"/>
  <c r="C15" i="106" l="1"/>
  <c r="B27" i="106"/>
  <c r="C25" i="106"/>
  <c r="AB51" i="31"/>
  <c r="BI44" i="32"/>
  <c r="BJ44" i="32" s="1"/>
  <c r="BI41" i="32"/>
  <c r="BJ41" i="32" s="1"/>
  <c r="BI52" i="32"/>
  <c r="BJ52" i="32" s="1"/>
  <c r="BI60" i="32"/>
  <c r="BJ60" i="32" s="1"/>
  <c r="BI59" i="32"/>
  <c r="BJ59" i="32" s="1"/>
  <c r="BI64" i="32"/>
  <c r="BJ64" i="32" s="1"/>
  <c r="BI24" i="32"/>
  <c r="BJ24" i="32" s="1"/>
  <c r="BI43" i="32"/>
  <c r="BJ43" i="32" s="1"/>
  <c r="BI50" i="32"/>
  <c r="BJ50" i="32" s="1"/>
  <c r="AG26" i="32"/>
  <c r="AI23" i="32"/>
  <c r="AK23" i="32" s="1"/>
  <c r="BI51" i="32"/>
  <c r="BJ51" i="32" s="1"/>
  <c r="AF46" i="32"/>
  <c r="BI39" i="32"/>
  <c r="BJ39" i="32" s="1"/>
  <c r="AG65" i="32"/>
  <c r="BI54" i="32"/>
  <c r="BJ54" i="32" s="1"/>
  <c r="AF26" i="32"/>
  <c r="AF65" i="32"/>
  <c r="AH58" i="32"/>
  <c r="AH65" i="32" s="1"/>
  <c r="AF36" i="32"/>
  <c r="X34" i="83"/>
  <c r="BI55" i="32"/>
  <c r="BJ55" i="32" s="1"/>
  <c r="BI62" i="32"/>
  <c r="BJ62" i="32" s="1"/>
  <c r="AG36" i="32"/>
  <c r="BI49" i="32"/>
  <c r="BJ49" i="32" s="1"/>
  <c r="BI53" i="32"/>
  <c r="BJ53" i="32" s="1"/>
  <c r="AL61" i="32"/>
  <c r="BI61" i="32" s="1"/>
  <c r="BJ61" i="32" s="1"/>
  <c r="AG46" i="32"/>
  <c r="AE22" i="87"/>
  <c r="AE28" i="87" s="1"/>
  <c r="AE37" i="87" s="1"/>
  <c r="AE48" i="31"/>
  <c r="AE50" i="31" s="1"/>
  <c r="AE51" i="31" s="1"/>
  <c r="BI63" i="32"/>
  <c r="BJ63" i="32" s="1"/>
  <c r="BI35" i="32"/>
  <c r="BJ35" i="32" s="1"/>
  <c r="AF56" i="32"/>
  <c r="AB51" i="83"/>
  <c r="AL42" i="32"/>
  <c r="BI42" i="32" s="1"/>
  <c r="BJ42" i="32" s="1"/>
  <c r="AF40" i="31"/>
  <c r="AH40" i="31" s="1"/>
  <c r="AJ40" i="31" s="1"/>
  <c r="AL40" i="31" s="1"/>
  <c r="AG44" i="31"/>
  <c r="AI44" i="31" s="1"/>
  <c r="AF24" i="31"/>
  <c r="AH24" i="31" s="1"/>
  <c r="AJ24" i="31" s="1"/>
  <c r="AL24" i="31" s="1"/>
  <c r="BU24" i="31" s="1"/>
  <c r="BV24" i="31" s="1"/>
  <c r="AF30" i="31"/>
  <c r="AH30" i="31" s="1"/>
  <c r="AJ30" i="31" s="1"/>
  <c r="AL30" i="31" s="1"/>
  <c r="AG31" i="31"/>
  <c r="AI31" i="31" s="1"/>
  <c r="AK31" i="31" s="1"/>
  <c r="AM31" i="31" s="1"/>
  <c r="AG26" i="31"/>
  <c r="AI26" i="31" s="1"/>
  <c r="AF44" i="31"/>
  <c r="AH44" i="31" s="1"/>
  <c r="AF26" i="31"/>
  <c r="AH26" i="31" s="1"/>
  <c r="AJ26" i="31" s="1"/>
  <c r="AF36" i="31"/>
  <c r="AH36" i="31" s="1"/>
  <c r="AG47" i="31"/>
  <c r="AI47" i="31" s="1"/>
  <c r="AK47" i="31" s="1"/>
  <c r="AM47" i="31" s="1"/>
  <c r="BU47" i="31" s="1"/>
  <c r="BV47" i="31" s="1"/>
  <c r="AF27" i="31"/>
  <c r="AH27" i="31" s="1"/>
  <c r="AJ27" i="31" s="1"/>
  <c r="AL27" i="31" s="1"/>
  <c r="AF46" i="31"/>
  <c r="AH46" i="31" s="1"/>
  <c r="AJ46" i="31" s="1"/>
  <c r="AL46" i="31" s="1"/>
  <c r="BU46" i="31" s="1"/>
  <c r="BV46" i="31" s="1"/>
  <c r="AG38" i="31"/>
  <c r="AI38" i="31" s="1"/>
  <c r="AK38" i="31" s="1"/>
  <c r="AM38" i="31" s="1"/>
  <c r="AF31" i="31"/>
  <c r="AH31" i="31" s="1"/>
  <c r="AJ31" i="31" s="1"/>
  <c r="AL31" i="31" s="1"/>
  <c r="AG37" i="31"/>
  <c r="AI37" i="31" s="1"/>
  <c r="AK37" i="31" s="1"/>
  <c r="AM37" i="31" s="1"/>
  <c r="AG32" i="31"/>
  <c r="AI32" i="31" s="1"/>
  <c r="AK32" i="31" s="1"/>
  <c r="AM32" i="31" s="1"/>
  <c r="AG29" i="31"/>
  <c r="AI29" i="31" s="1"/>
  <c r="AK29" i="31" s="1"/>
  <c r="AM29" i="31" s="1"/>
  <c r="AG49" i="31"/>
  <c r="AI49" i="31" s="1"/>
  <c r="AK49" i="31" s="1"/>
  <c r="AM49" i="31" s="1"/>
  <c r="BU49" i="31" s="1"/>
  <c r="BV49" i="31" s="1"/>
  <c r="AF28" i="31"/>
  <c r="AH28" i="31" s="1"/>
  <c r="AJ28" i="31" s="1"/>
  <c r="AL28" i="31" s="1"/>
  <c r="AF22" i="31"/>
  <c r="AH22" i="31" s="1"/>
  <c r="AG39" i="31"/>
  <c r="AI39" i="31" s="1"/>
  <c r="AK39" i="31" s="1"/>
  <c r="AM39" i="31" s="1"/>
  <c r="AF25" i="31"/>
  <c r="AH25" i="31" s="1"/>
  <c r="AJ25" i="31" s="1"/>
  <c r="AL25" i="31" s="1"/>
  <c r="BU25" i="31" s="1"/>
  <c r="BV25" i="31" s="1"/>
  <c r="AG41" i="31"/>
  <c r="AI41" i="31" s="1"/>
  <c r="AK41" i="31" s="1"/>
  <c r="AM41" i="31" s="1"/>
  <c r="AF41" i="31"/>
  <c r="AH41" i="31" s="1"/>
  <c r="AJ41" i="31" s="1"/>
  <c r="AG36" i="31"/>
  <c r="AI36" i="31" s="1"/>
  <c r="AF38" i="31"/>
  <c r="AH38" i="31" s="1"/>
  <c r="AJ38" i="31" s="1"/>
  <c r="AL38" i="31" s="1"/>
  <c r="AF29" i="31"/>
  <c r="AH29" i="31" s="1"/>
  <c r="AJ29" i="31" s="1"/>
  <c r="AL29" i="31" s="1"/>
  <c r="AF37" i="31"/>
  <c r="AH37" i="31" s="1"/>
  <c r="AJ37" i="31" s="1"/>
  <c r="AL37" i="31" s="1"/>
  <c r="AF32" i="31"/>
  <c r="AH32" i="31" s="1"/>
  <c r="AJ32" i="31" s="1"/>
  <c r="AL32" i="31" s="1"/>
  <c r="AG28" i="31"/>
  <c r="AI28" i="31" s="1"/>
  <c r="AK28" i="31" s="1"/>
  <c r="AM28" i="31" s="1"/>
  <c r="AG30" i="31"/>
  <c r="AI30" i="31" s="1"/>
  <c r="AK30" i="31" s="1"/>
  <c r="AM30" i="31" s="1"/>
  <c r="AF39" i="31"/>
  <c r="AH39" i="31" s="1"/>
  <c r="AJ39" i="31" s="1"/>
  <c r="AF45" i="31"/>
  <c r="AH45" i="31" s="1"/>
  <c r="AJ45" i="31" s="1"/>
  <c r="AL45" i="31" s="1"/>
  <c r="BU45" i="31" s="1"/>
  <c r="BV45" i="31" s="1"/>
  <c r="AF23" i="31"/>
  <c r="AH23" i="31" s="1"/>
  <c r="AJ23" i="31" s="1"/>
  <c r="AL23" i="31" s="1"/>
  <c r="BU23" i="31" s="1"/>
  <c r="BV23" i="31" s="1"/>
  <c r="AG27" i="31"/>
  <c r="AI27" i="31" s="1"/>
  <c r="AK27" i="31" s="1"/>
  <c r="AM27" i="31" s="1"/>
  <c r="BI45" i="32"/>
  <c r="BJ45" i="32" s="1"/>
  <c r="AG56" i="32"/>
  <c r="V51" i="83"/>
  <c r="Z48" i="83"/>
  <c r="Z50" i="83" s="1"/>
  <c r="Z51" i="83" s="1"/>
  <c r="X50" i="83"/>
  <c r="BI40" i="32"/>
  <c r="BJ40" i="32" s="1"/>
  <c r="AG40" i="31"/>
  <c r="AI40" i="31" s="1"/>
  <c r="AK40" i="31" s="1"/>
  <c r="AM40" i="31" s="1"/>
  <c r="AJ28" i="32"/>
  <c r="AJ36" i="32" s="1"/>
  <c r="AH36" i="32"/>
  <c r="AJ32" i="68"/>
  <c r="AL32" i="68" s="1"/>
  <c r="BI32" i="68" s="1"/>
  <c r="BJ32" i="68" s="1"/>
  <c r="AJ25" i="68"/>
  <c r="AL25" i="68" s="1"/>
  <c r="BI25" i="68" s="1"/>
  <c r="BJ25" i="68" s="1"/>
  <c r="AJ62" i="68"/>
  <c r="AL62" i="68" s="1"/>
  <c r="BI62" i="68" s="1"/>
  <c r="BJ62" i="68" s="1"/>
  <c r="AJ49" i="68"/>
  <c r="AL49" i="68" s="1"/>
  <c r="BI49" i="68" s="1"/>
  <c r="BJ49" i="68" s="1"/>
  <c r="AH26" i="32"/>
  <c r="AJ20" i="32"/>
  <c r="AJ26" i="32" s="1"/>
  <c r="AJ23" i="68"/>
  <c r="AL23" i="68" s="1"/>
  <c r="AJ31" i="68"/>
  <c r="AL31" i="68" s="1"/>
  <c r="BI31" i="68" s="1"/>
  <c r="BJ31" i="68" s="1"/>
  <c r="AJ35" i="68"/>
  <c r="AL35" i="68" s="1"/>
  <c r="BI35" i="68" s="1"/>
  <c r="BJ35" i="68" s="1"/>
  <c r="AG65" i="68"/>
  <c r="AI58" i="68"/>
  <c r="AF65" i="68"/>
  <c r="AH58" i="68"/>
  <c r="AJ24" i="68"/>
  <c r="AL24" i="68" s="1"/>
  <c r="BI24" i="68" s="1"/>
  <c r="BJ24" i="68" s="1"/>
  <c r="AJ51" i="68"/>
  <c r="AL51" i="68" s="1"/>
  <c r="BI51" i="68" s="1"/>
  <c r="BJ51" i="68" s="1"/>
  <c r="AJ44" i="68"/>
  <c r="AL44" i="68" s="1"/>
  <c r="BI44" i="68" s="1"/>
  <c r="BJ44" i="68" s="1"/>
  <c r="AJ60" i="68"/>
  <c r="AL60" i="68" s="1"/>
  <c r="BI60" i="68" s="1"/>
  <c r="BJ60" i="68" s="1"/>
  <c r="AJ42" i="68"/>
  <c r="AL42" i="68" s="1"/>
  <c r="BI42" i="68" s="1"/>
  <c r="BJ42" i="68" s="1"/>
  <c r="C20" i="88"/>
  <c r="B16" i="88"/>
  <c r="C16" i="56"/>
  <c r="AD27" i="83"/>
  <c r="AJ38" i="32"/>
  <c r="AJ46" i="32" s="1"/>
  <c r="AH46" i="32"/>
  <c r="AG26" i="68"/>
  <c r="AI23" i="68"/>
  <c r="AJ39" i="68"/>
  <c r="AL39" i="68" s="1"/>
  <c r="BI39" i="68" s="1"/>
  <c r="BJ39" i="68" s="1"/>
  <c r="AJ33" i="68"/>
  <c r="AL33" i="68" s="1"/>
  <c r="BI33" i="68" s="1"/>
  <c r="BJ33" i="68" s="1"/>
  <c r="AJ29" i="68"/>
  <c r="AL29" i="68" s="1"/>
  <c r="BI29" i="68" s="1"/>
  <c r="BJ29" i="68" s="1"/>
  <c r="AJ64" i="68"/>
  <c r="AL64" i="68" s="1"/>
  <c r="BI64" i="68" s="1"/>
  <c r="BJ64" i="68" s="1"/>
  <c r="AJ63" i="68"/>
  <c r="AL63" i="68" s="1"/>
  <c r="BI63" i="68" s="1"/>
  <c r="BJ63" i="68" s="1"/>
  <c r="AJ61" i="68"/>
  <c r="AL61" i="68" s="1"/>
  <c r="BI61" i="68" s="1"/>
  <c r="BJ61" i="68" s="1"/>
  <c r="AJ43" i="68"/>
  <c r="AL43" i="68" s="1"/>
  <c r="BI43" i="68" s="1"/>
  <c r="BJ43" i="68" s="1"/>
  <c r="AJ55" i="68"/>
  <c r="AL55" i="68" s="1"/>
  <c r="BI55" i="68" s="1"/>
  <c r="BJ55" i="68" s="1"/>
  <c r="AF26" i="68"/>
  <c r="AH20" i="68"/>
  <c r="AE28" i="83"/>
  <c r="AI46" i="32"/>
  <c r="AK38" i="32"/>
  <c r="AF46" i="68"/>
  <c r="AH38" i="68"/>
  <c r="AG36" i="68"/>
  <c r="AI34" i="68"/>
  <c r="AJ34" i="68"/>
  <c r="AL34" i="68" s="1"/>
  <c r="AJ30" i="68"/>
  <c r="AL30" i="68" s="1"/>
  <c r="BI30" i="68" s="1"/>
  <c r="BJ30" i="68" s="1"/>
  <c r="AJ40" i="68"/>
  <c r="AL40" i="68" s="1"/>
  <c r="BI40" i="68" s="1"/>
  <c r="BJ40" i="68" s="1"/>
  <c r="AJ45" i="68"/>
  <c r="AL45" i="68" s="1"/>
  <c r="BI45" i="68" s="1"/>
  <c r="BJ45" i="68" s="1"/>
  <c r="AJ41" i="68"/>
  <c r="AL41" i="68" s="1"/>
  <c r="BI41" i="68" s="1"/>
  <c r="BJ41" i="68" s="1"/>
  <c r="AJ52" i="68"/>
  <c r="AL52" i="68" s="1"/>
  <c r="BI52" i="68" s="1"/>
  <c r="BJ52" i="68" s="1"/>
  <c r="AF56" i="68"/>
  <c r="AH48" i="68"/>
  <c r="AK34" i="32"/>
  <c r="AI36" i="32"/>
  <c r="AH56" i="32"/>
  <c r="AJ48" i="32"/>
  <c r="AJ56" i="32" s="1"/>
  <c r="AJ22" i="68"/>
  <c r="AL22" i="68" s="1"/>
  <c r="BI22" i="68" s="1"/>
  <c r="BJ22" i="68" s="1"/>
  <c r="AK58" i="32"/>
  <c r="AI65" i="32"/>
  <c r="AF36" i="68"/>
  <c r="AH28" i="68"/>
  <c r="AG56" i="68"/>
  <c r="AI48" i="68"/>
  <c r="AJ21" i="68"/>
  <c r="AL21" i="68" s="1"/>
  <c r="BI21" i="68" s="1"/>
  <c r="BJ21" i="68" s="1"/>
  <c r="AG46" i="68"/>
  <c r="AI38" i="68"/>
  <c r="AJ54" i="68"/>
  <c r="AL54" i="68" s="1"/>
  <c r="BI54" i="68" s="1"/>
  <c r="BJ54" i="68" s="1"/>
  <c r="AJ59" i="68"/>
  <c r="AL59" i="68" s="1"/>
  <c r="BI59" i="68" s="1"/>
  <c r="BJ59" i="68" s="1"/>
  <c r="AJ53" i="68"/>
  <c r="AL53" i="68" s="1"/>
  <c r="BI53" i="68" s="1"/>
  <c r="BJ53" i="68" s="1"/>
  <c r="AJ50" i="68"/>
  <c r="AL50" i="68" s="1"/>
  <c r="BI50" i="68" s="1"/>
  <c r="BJ50" i="68" s="1"/>
  <c r="AI56" i="32"/>
  <c r="AK48" i="32"/>
  <c r="Y28" i="87"/>
  <c r="Y37" i="87" s="1"/>
  <c r="AD22" i="87"/>
  <c r="D16" i="106" l="1"/>
  <c r="B29" i="106"/>
  <c r="B30" i="106" s="1"/>
  <c r="D15" i="106"/>
  <c r="C27" i="106"/>
  <c r="B28" i="106"/>
  <c r="D14" i="106"/>
  <c r="D13" i="106"/>
  <c r="D18" i="106"/>
  <c r="D24" i="106"/>
  <c r="D27" i="106"/>
  <c r="D12" i="106"/>
  <c r="D17" i="106"/>
  <c r="D23" i="106"/>
  <c r="D22" i="106"/>
  <c r="D21" i="106"/>
  <c r="D20" i="106"/>
  <c r="D19" i="106"/>
  <c r="D11" i="106"/>
  <c r="D25" i="106"/>
  <c r="C26" i="106"/>
  <c r="D26" i="106"/>
  <c r="BU28" i="31"/>
  <c r="BV28" i="31" s="1"/>
  <c r="AJ58" i="32"/>
  <c r="AJ65" i="32" s="1"/>
  <c r="AJ66" i="32" s="1"/>
  <c r="AI26" i="32"/>
  <c r="AF66" i="32"/>
  <c r="AF42" i="31"/>
  <c r="BU31" i="31"/>
  <c r="BV31" i="31" s="1"/>
  <c r="AL20" i="32"/>
  <c r="AL26" i="32" s="1"/>
  <c r="X51" i="83"/>
  <c r="AG66" i="32"/>
  <c r="AF34" i="31"/>
  <c r="BU38" i="31"/>
  <c r="BV38" i="31" s="1"/>
  <c r="BU40" i="31"/>
  <c r="BV40" i="31" s="1"/>
  <c r="BU29" i="31"/>
  <c r="BV29" i="31" s="1"/>
  <c r="AG48" i="31"/>
  <c r="AI48" i="31" s="1"/>
  <c r="AK48" i="31" s="1"/>
  <c r="AM48" i="31" s="1"/>
  <c r="BU48" i="31" s="1"/>
  <c r="BV48" i="31" s="1"/>
  <c r="BU32" i="31"/>
  <c r="BV32" i="31" s="1"/>
  <c r="AL28" i="32"/>
  <c r="BI28" i="32" s="1"/>
  <c r="BU37" i="31"/>
  <c r="BV37" i="31" s="1"/>
  <c r="AL41" i="31"/>
  <c r="BU41" i="31" s="1"/>
  <c r="BV41" i="31" s="1"/>
  <c r="AL26" i="31"/>
  <c r="BU30" i="31"/>
  <c r="BV30" i="31" s="1"/>
  <c r="AG34" i="31"/>
  <c r="AF66" i="68"/>
  <c r="AL38" i="32"/>
  <c r="AL39" i="31"/>
  <c r="BU39" i="31" s="1"/>
  <c r="BV39" i="31" s="1"/>
  <c r="BU27" i="31"/>
  <c r="BV27" i="31" s="1"/>
  <c r="AG42" i="31"/>
  <c r="AF50" i="31"/>
  <c r="AE48" i="83"/>
  <c r="AE50" i="83" s="1"/>
  <c r="AM38" i="32"/>
  <c r="AM46" i="32" s="1"/>
  <c r="AK46" i="32"/>
  <c r="AK48" i="68"/>
  <c r="AI56" i="68"/>
  <c r="AH42" i="31"/>
  <c r="AJ36" i="31"/>
  <c r="AJ42" i="31" s="1"/>
  <c r="AH56" i="68"/>
  <c r="AJ48" i="68"/>
  <c r="AJ56" i="68" s="1"/>
  <c r="AJ38" i="68"/>
  <c r="AJ46" i="68" s="1"/>
  <c r="AH46" i="68"/>
  <c r="AE34" i="83"/>
  <c r="AL48" i="32"/>
  <c r="AJ20" i="68"/>
  <c r="AJ26" i="68" s="1"/>
  <c r="AH26" i="68"/>
  <c r="AI42" i="31"/>
  <c r="AK36" i="31"/>
  <c r="AK26" i="32"/>
  <c r="AM23" i="32"/>
  <c r="AK58" i="68"/>
  <c r="AI65" i="68"/>
  <c r="AK44" i="31"/>
  <c r="AJ44" i="31"/>
  <c r="AJ50" i="31" s="1"/>
  <c r="AH50" i="31"/>
  <c r="AJ28" i="68"/>
  <c r="AJ36" i="68" s="1"/>
  <c r="AH36" i="68"/>
  <c r="AJ22" i="31"/>
  <c r="AJ34" i="31" s="1"/>
  <c r="AH34" i="31"/>
  <c r="AD34" i="83"/>
  <c r="AD51" i="83" s="1"/>
  <c r="AF17" i="83" s="1"/>
  <c r="C16" i="88"/>
  <c r="AK65" i="32"/>
  <c r="AM58" i="32"/>
  <c r="AM65" i="32" s="1"/>
  <c r="AM34" i="32"/>
  <c r="AK36" i="32"/>
  <c r="AK23" i="68"/>
  <c r="AI26" i="68"/>
  <c r="AH65" i="68"/>
  <c r="AJ58" i="68"/>
  <c r="AJ65" i="68" s="1"/>
  <c r="AI34" i="31"/>
  <c r="AK26" i="31"/>
  <c r="AH66" i="32"/>
  <c r="AK56" i="32"/>
  <c r="AM48" i="32"/>
  <c r="AM56" i="32" s="1"/>
  <c r="AK34" i="68"/>
  <c r="AI36" i="68"/>
  <c r="AD28" i="87"/>
  <c r="AD37" i="87" s="1"/>
  <c r="AF12" i="87" s="1"/>
  <c r="AI46" i="68"/>
  <c r="AK38" i="68"/>
  <c r="AG66" i="68"/>
  <c r="AI66" i="32" l="1"/>
  <c r="AG50" i="31"/>
  <c r="AG51" i="31" s="1"/>
  <c r="AL58" i="32"/>
  <c r="AL65" i="32" s="1"/>
  <c r="AL36" i="32"/>
  <c r="BI20" i="32"/>
  <c r="BJ20" i="32" s="1"/>
  <c r="AI50" i="31"/>
  <c r="AI51" i="31" s="1"/>
  <c r="B41" i="56" s="1"/>
  <c r="B44" i="56" s="1"/>
  <c r="AF51" i="31"/>
  <c r="AE51" i="83"/>
  <c r="AL38" i="68"/>
  <c r="AL46" i="68" s="1"/>
  <c r="BI38" i="32"/>
  <c r="BI46" i="32" s="1"/>
  <c r="AL46" i="32"/>
  <c r="AL58" i="68"/>
  <c r="AL65" i="68" s="1"/>
  <c r="AL36" i="31"/>
  <c r="AL42" i="31" s="1"/>
  <c r="AL22" i="31"/>
  <c r="BU22" i="31" s="1"/>
  <c r="AL28" i="68"/>
  <c r="BI28" i="68" s="1"/>
  <c r="AL20" i="68"/>
  <c r="BI20" i="68" s="1"/>
  <c r="AJ51" i="31"/>
  <c r="AL44" i="31"/>
  <c r="AL50" i="31" s="1"/>
  <c r="AM36" i="32"/>
  <c r="BI34" i="32"/>
  <c r="BJ34" i="32" s="1"/>
  <c r="AG35" i="87"/>
  <c r="AI35" i="87" s="1"/>
  <c r="AK35" i="87" s="1"/>
  <c r="AM35" i="87" s="1"/>
  <c r="AF18" i="87"/>
  <c r="AH18" i="87" s="1"/>
  <c r="AG17" i="87"/>
  <c r="AG31" i="87"/>
  <c r="AI31" i="87" s="1"/>
  <c r="AK31" i="87" s="1"/>
  <c r="AM31" i="87" s="1"/>
  <c r="AF23" i="87"/>
  <c r="AH23" i="87" s="1"/>
  <c r="AG33" i="87"/>
  <c r="AI33" i="87" s="1"/>
  <c r="AK33" i="87" s="1"/>
  <c r="AM33" i="87" s="1"/>
  <c r="AF17" i="87"/>
  <c r="AG32" i="87"/>
  <c r="AI32" i="87" s="1"/>
  <c r="AK32" i="87" s="1"/>
  <c r="AM32" i="87" s="1"/>
  <c r="AG20" i="87"/>
  <c r="AI20" i="87" s="1"/>
  <c r="AK20" i="87" s="1"/>
  <c r="AM20" i="87" s="1"/>
  <c r="AF21" i="87"/>
  <c r="AH21" i="87" s="1"/>
  <c r="AG30" i="87"/>
  <c r="AF20" i="87"/>
  <c r="AH20" i="87" s="1"/>
  <c r="AG18" i="87"/>
  <c r="AI18" i="87" s="1"/>
  <c r="AK18" i="87" s="1"/>
  <c r="AM18" i="87" s="1"/>
  <c r="AG34" i="87"/>
  <c r="AI34" i="87" s="1"/>
  <c r="AK34" i="87" s="1"/>
  <c r="AM34" i="87" s="1"/>
  <c r="AF26" i="87"/>
  <c r="AH26" i="87" s="1"/>
  <c r="AF19" i="87"/>
  <c r="AH19" i="87" s="1"/>
  <c r="AG27" i="87"/>
  <c r="AI27" i="87" s="1"/>
  <c r="AK27" i="87" s="1"/>
  <c r="AM27" i="87" s="1"/>
  <c r="AF24" i="87"/>
  <c r="AH24" i="87" s="1"/>
  <c r="AG19" i="87"/>
  <c r="AI19" i="87" s="1"/>
  <c r="AK19" i="87" s="1"/>
  <c r="AM19" i="87" s="1"/>
  <c r="AF27" i="87"/>
  <c r="AH27" i="87" s="1"/>
  <c r="AF33" i="87"/>
  <c r="AH33" i="87" s="1"/>
  <c r="AG24" i="87"/>
  <c r="AI24" i="87" s="1"/>
  <c r="AK24" i="87" s="1"/>
  <c r="AM24" i="87" s="1"/>
  <c r="AF30" i="87"/>
  <c r="AF32" i="87"/>
  <c r="AH32" i="87" s="1"/>
  <c r="AF35" i="87"/>
  <c r="AH35" i="87" s="1"/>
  <c r="AF31" i="87"/>
  <c r="AH31" i="87" s="1"/>
  <c r="AG26" i="87"/>
  <c r="AI26" i="87" s="1"/>
  <c r="AK26" i="87" s="1"/>
  <c r="AM26" i="87" s="1"/>
  <c r="AF25" i="87"/>
  <c r="AH25" i="87" s="1"/>
  <c r="AF34" i="87"/>
  <c r="AH34" i="87" s="1"/>
  <c r="AG23" i="87"/>
  <c r="AI23" i="87" s="1"/>
  <c r="AK23" i="87" s="1"/>
  <c r="AM23" i="87" s="1"/>
  <c r="AG21" i="87"/>
  <c r="AI21" i="87" s="1"/>
  <c r="AK21" i="87" s="1"/>
  <c r="AM21" i="87" s="1"/>
  <c r="AG25" i="87"/>
  <c r="AI25" i="87" s="1"/>
  <c r="AK25" i="87" s="1"/>
  <c r="AM25" i="87" s="1"/>
  <c r="AG22" i="87"/>
  <c r="AI22" i="87" s="1"/>
  <c r="AK22" i="87" s="1"/>
  <c r="AM22" i="87" s="1"/>
  <c r="AI66" i="68"/>
  <c r="AK50" i="31"/>
  <c r="AM44" i="31"/>
  <c r="AM50" i="31" s="1"/>
  <c r="AK66" i="32"/>
  <c r="AL56" i="32"/>
  <c r="BI48" i="32"/>
  <c r="AM48" i="68"/>
  <c r="AM56" i="68" s="1"/>
  <c r="AK56" i="68"/>
  <c r="AG41" i="83"/>
  <c r="AI41" i="83" s="1"/>
  <c r="AK41" i="83" s="1"/>
  <c r="AM41" i="83" s="1"/>
  <c r="AF28" i="83"/>
  <c r="AH28" i="83" s="1"/>
  <c r="AG44" i="83"/>
  <c r="AF31" i="83"/>
  <c r="AH31" i="83" s="1"/>
  <c r="AF24" i="83"/>
  <c r="AH24" i="83" s="1"/>
  <c r="AF22" i="83"/>
  <c r="AF40" i="83"/>
  <c r="AH40" i="83" s="1"/>
  <c r="AG37" i="83"/>
  <c r="AI37" i="83" s="1"/>
  <c r="AK37" i="83" s="1"/>
  <c r="AM37" i="83" s="1"/>
  <c r="AF38" i="83"/>
  <c r="AH38" i="83" s="1"/>
  <c r="AF29" i="83"/>
  <c r="AH29" i="83" s="1"/>
  <c r="AG39" i="83"/>
  <c r="AI39" i="83" s="1"/>
  <c r="AK39" i="83" s="1"/>
  <c r="AM39" i="83" s="1"/>
  <c r="AF36" i="83"/>
  <c r="AF37" i="83"/>
  <c r="AH37" i="83" s="1"/>
  <c r="AG49" i="83"/>
  <c r="AI49" i="83" s="1"/>
  <c r="AK49" i="83" s="1"/>
  <c r="AM49" i="83" s="1"/>
  <c r="BU49" i="83" s="1"/>
  <c r="BV49" i="83" s="1"/>
  <c r="AG40" i="83"/>
  <c r="AI40" i="83" s="1"/>
  <c r="AK40" i="83" s="1"/>
  <c r="AM40" i="83" s="1"/>
  <c r="AF41" i="83"/>
  <c r="AH41" i="83" s="1"/>
  <c r="AG31" i="83"/>
  <c r="AI31" i="83" s="1"/>
  <c r="AK31" i="83" s="1"/>
  <c r="AM31" i="83" s="1"/>
  <c r="AF23" i="83"/>
  <c r="AH23" i="83" s="1"/>
  <c r="AG38" i="83"/>
  <c r="AI38" i="83" s="1"/>
  <c r="AK38" i="83" s="1"/>
  <c r="AM38" i="83" s="1"/>
  <c r="AG48" i="83"/>
  <c r="AI48" i="83" s="1"/>
  <c r="AK48" i="83" s="1"/>
  <c r="AM48" i="83" s="1"/>
  <c r="BU48" i="83" s="1"/>
  <c r="BV48" i="83" s="1"/>
  <c r="AF46" i="83"/>
  <c r="AH46" i="83" s="1"/>
  <c r="AG32" i="83"/>
  <c r="AI32" i="83" s="1"/>
  <c r="AK32" i="83" s="1"/>
  <c r="AM32" i="83" s="1"/>
  <c r="AG47" i="83"/>
  <c r="AI47" i="83" s="1"/>
  <c r="AK47" i="83" s="1"/>
  <c r="AM47" i="83" s="1"/>
  <c r="BU47" i="83" s="1"/>
  <c r="BV47" i="83" s="1"/>
  <c r="AF39" i="83"/>
  <c r="AH39" i="83" s="1"/>
  <c r="AF45" i="83"/>
  <c r="AH45" i="83" s="1"/>
  <c r="AF32" i="83"/>
  <c r="AH32" i="83" s="1"/>
  <c r="AF44" i="83"/>
  <c r="AF30" i="83"/>
  <c r="AH30" i="83" s="1"/>
  <c r="AG30" i="83"/>
  <c r="AI30" i="83" s="1"/>
  <c r="AK30" i="83" s="1"/>
  <c r="AM30" i="83" s="1"/>
  <c r="AG36" i="83"/>
  <c r="AF25" i="83"/>
  <c r="AH25" i="83" s="1"/>
  <c r="AG29" i="83"/>
  <c r="AI29" i="83" s="1"/>
  <c r="AK29" i="83" s="1"/>
  <c r="AM29" i="83" s="1"/>
  <c r="AF26" i="83"/>
  <c r="AH26" i="83" s="1"/>
  <c r="AG26" i="83"/>
  <c r="AG27" i="83"/>
  <c r="AI27" i="83" s="1"/>
  <c r="AK27" i="83" s="1"/>
  <c r="AM27" i="83" s="1"/>
  <c r="AM26" i="32"/>
  <c r="BI23" i="32"/>
  <c r="BJ23" i="32" s="1"/>
  <c r="AK42" i="31"/>
  <c r="AM36" i="31"/>
  <c r="AM42" i="31" s="1"/>
  <c r="AG28" i="83"/>
  <c r="AI28" i="83" s="1"/>
  <c r="AK28" i="83" s="1"/>
  <c r="AM28" i="83" s="1"/>
  <c r="AM34" i="68"/>
  <c r="AK36" i="68"/>
  <c r="AK26" i="68"/>
  <c r="AM23" i="68"/>
  <c r="BJ28" i="32"/>
  <c r="AF27" i="83"/>
  <c r="AH27" i="83" s="1"/>
  <c r="AH66" i="68"/>
  <c r="AK34" i="31"/>
  <c r="AM26" i="31"/>
  <c r="AM38" i="68"/>
  <c r="AM46" i="68" s="1"/>
  <c r="AK46" i="68"/>
  <c r="AF22" i="87"/>
  <c r="AH22" i="87" s="1"/>
  <c r="AH51" i="31"/>
  <c r="AM58" i="68"/>
  <c r="AM65" i="68" s="1"/>
  <c r="AK65" i="68"/>
  <c r="AJ66" i="68"/>
  <c r="AL48" i="68"/>
  <c r="BJ38" i="32" l="1"/>
  <c r="BI58" i="32"/>
  <c r="AL34" i="31"/>
  <c r="AL51" i="31" s="1"/>
  <c r="BI36" i="32"/>
  <c r="AL26" i="68"/>
  <c r="AL36" i="68"/>
  <c r="AM66" i="32"/>
  <c r="AL66" i="32"/>
  <c r="BI26" i="32"/>
  <c r="AK51" i="31"/>
  <c r="AK66" i="68"/>
  <c r="BI38" i="68"/>
  <c r="BJ38" i="68" s="1"/>
  <c r="AJ26" i="83"/>
  <c r="AL26" i="83" s="1"/>
  <c r="AJ46" i="83"/>
  <c r="AL46" i="83" s="1"/>
  <c r="BU46" i="83" s="1"/>
  <c r="BV46" i="83" s="1"/>
  <c r="AJ24" i="83"/>
  <c r="AL24" i="83" s="1"/>
  <c r="BU24" i="83" s="1"/>
  <c r="BV24" i="83" s="1"/>
  <c r="B40" i="56"/>
  <c r="B43" i="56" s="1"/>
  <c r="B39" i="56"/>
  <c r="B42" i="56" s="1"/>
  <c r="BJ28" i="68"/>
  <c r="BU36" i="31"/>
  <c r="AI44" i="83"/>
  <c r="AG50" i="83"/>
  <c r="AL56" i="68"/>
  <c r="BI48" i="68"/>
  <c r="BV22" i="31"/>
  <c r="AM26" i="68"/>
  <c r="BI23" i="68"/>
  <c r="BJ23" i="68" s="1"/>
  <c r="AM36" i="68"/>
  <c r="BI34" i="68"/>
  <c r="BJ34" i="68" s="1"/>
  <c r="AG34" i="83"/>
  <c r="AI26" i="83"/>
  <c r="AG42" i="83"/>
  <c r="AI36" i="83"/>
  <c r="AJ32" i="83"/>
  <c r="AL32" i="83" s="1"/>
  <c r="BU32" i="83" s="1"/>
  <c r="BV32" i="83" s="1"/>
  <c r="AJ23" i="83"/>
  <c r="AL23" i="83" s="1"/>
  <c r="BU23" i="83" s="1"/>
  <c r="BV23" i="83" s="1"/>
  <c r="AJ29" i="83"/>
  <c r="AL29" i="83" s="1"/>
  <c r="BU29" i="83" s="1"/>
  <c r="BV29" i="83" s="1"/>
  <c r="AF34" i="83"/>
  <c r="AH22" i="83"/>
  <c r="AJ28" i="83"/>
  <c r="AL28" i="83" s="1"/>
  <c r="BU28" i="83" s="1"/>
  <c r="BV28" i="83" s="1"/>
  <c r="AJ25" i="87"/>
  <c r="AL25" i="87" s="1"/>
  <c r="BQ25" i="87" s="1"/>
  <c r="BR25" i="87" s="1"/>
  <c r="AJ32" i="87"/>
  <c r="AL32" i="87" s="1"/>
  <c r="BQ32" i="87" s="1"/>
  <c r="BR32" i="87" s="1"/>
  <c r="AJ27" i="87"/>
  <c r="AL27" i="87" s="1"/>
  <c r="BQ27" i="87" s="1"/>
  <c r="BR27" i="87" s="1"/>
  <c r="AJ19" i="87"/>
  <c r="AL19" i="87" s="1"/>
  <c r="BQ19" i="87" s="1"/>
  <c r="BR19" i="87" s="1"/>
  <c r="AJ20" i="87"/>
  <c r="AL20" i="87" s="1"/>
  <c r="BQ20" i="87" s="1"/>
  <c r="BR20" i="87" s="1"/>
  <c r="AJ37" i="83"/>
  <c r="AL37" i="83" s="1"/>
  <c r="BU37" i="83" s="1"/>
  <c r="BV37" i="83" s="1"/>
  <c r="AJ38" i="83"/>
  <c r="AL38" i="83" s="1"/>
  <c r="BU38" i="83" s="1"/>
  <c r="BV38" i="83" s="1"/>
  <c r="AF36" i="87"/>
  <c r="AH30" i="87"/>
  <c r="AJ26" i="87"/>
  <c r="AL26" i="87" s="1"/>
  <c r="BQ26" i="87" s="1"/>
  <c r="BR26" i="87" s="1"/>
  <c r="AG36" i="87"/>
  <c r="AI30" i="87"/>
  <c r="AF28" i="87"/>
  <c r="AH17" i="87"/>
  <c r="AI17" i="87"/>
  <c r="AG28" i="87"/>
  <c r="AJ22" i="87"/>
  <c r="AL22" i="87" s="1"/>
  <c r="BQ22" i="87" s="1"/>
  <c r="BR22" i="87" s="1"/>
  <c r="AM34" i="31"/>
  <c r="AM51" i="31" s="1"/>
  <c r="BU26" i="31"/>
  <c r="BV26" i="31" s="1"/>
  <c r="BU44" i="31"/>
  <c r="AJ30" i="83"/>
  <c r="AL30" i="83" s="1"/>
  <c r="BU30" i="83" s="1"/>
  <c r="BV30" i="83" s="1"/>
  <c r="AJ39" i="83"/>
  <c r="AL39" i="83" s="1"/>
  <c r="BU39" i="83" s="1"/>
  <c r="BV39" i="83" s="1"/>
  <c r="AJ41" i="83"/>
  <c r="AL41" i="83" s="1"/>
  <c r="BU41" i="83" s="1"/>
  <c r="BV41" i="83" s="1"/>
  <c r="AF42" i="83"/>
  <c r="AH36" i="83"/>
  <c r="AJ31" i="83"/>
  <c r="AL31" i="83" s="1"/>
  <c r="BU31" i="83" s="1"/>
  <c r="BV31" i="83" s="1"/>
  <c r="BI56" i="32"/>
  <c r="BJ48" i="32"/>
  <c r="AJ31" i="87"/>
  <c r="AL31" i="87" s="1"/>
  <c r="BQ31" i="87" s="1"/>
  <c r="BR31" i="87" s="1"/>
  <c r="AJ24" i="87"/>
  <c r="AL24" i="87" s="1"/>
  <c r="BQ24" i="87" s="1"/>
  <c r="BR24" i="87" s="1"/>
  <c r="AJ21" i="87"/>
  <c r="AL21" i="87" s="1"/>
  <c r="BQ21" i="87" s="1"/>
  <c r="BR21" i="87" s="1"/>
  <c r="AJ18" i="87"/>
  <c r="AL18" i="87" s="1"/>
  <c r="BQ18" i="87" s="1"/>
  <c r="BR18" i="87" s="1"/>
  <c r="BI58" i="68"/>
  <c r="AJ27" i="83"/>
  <c r="AL27" i="83" s="1"/>
  <c r="BU27" i="83" s="1"/>
  <c r="BV27" i="83" s="1"/>
  <c r="AJ45" i="83"/>
  <c r="AL45" i="83" s="1"/>
  <c r="BU45" i="83" s="1"/>
  <c r="BV45" i="83" s="1"/>
  <c r="AJ25" i="83"/>
  <c r="AL25" i="83" s="1"/>
  <c r="BU25" i="83" s="1"/>
  <c r="BV25" i="83" s="1"/>
  <c r="AF50" i="83"/>
  <c r="AH44" i="83"/>
  <c r="AJ40" i="83"/>
  <c r="AL40" i="83" s="1"/>
  <c r="BU40" i="83" s="1"/>
  <c r="BV40" i="83" s="1"/>
  <c r="AJ34" i="87"/>
  <c r="AL34" i="87" s="1"/>
  <c r="BQ34" i="87" s="1"/>
  <c r="BR34" i="87" s="1"/>
  <c r="AJ35" i="87"/>
  <c r="AL35" i="87" s="1"/>
  <c r="BQ35" i="87" s="1"/>
  <c r="BR35" i="87" s="1"/>
  <c r="AJ33" i="87"/>
  <c r="AL33" i="87" s="1"/>
  <c r="BQ33" i="87" s="1"/>
  <c r="BR33" i="87" s="1"/>
  <c r="AJ23" i="87"/>
  <c r="AL23" i="87" s="1"/>
  <c r="BQ23" i="87" s="1"/>
  <c r="BR23" i="87" s="1"/>
  <c r="BJ20" i="68"/>
  <c r="BJ58" i="32" l="1"/>
  <c r="BI65" i="32"/>
  <c r="BI66" i="32" s="1"/>
  <c r="BI46" i="68"/>
  <c r="AL66" i="68"/>
  <c r="B12" i="56"/>
  <c r="B30" i="56" s="1"/>
  <c r="BI26" i="68"/>
  <c r="BI36" i="68"/>
  <c r="AG51" i="83"/>
  <c r="AK17" i="87"/>
  <c r="AI28" i="87"/>
  <c r="AH28" i="87"/>
  <c r="AJ17" i="87"/>
  <c r="AJ28" i="87" s="1"/>
  <c r="AJ22" i="83"/>
  <c r="AJ34" i="83" s="1"/>
  <c r="AH34" i="83"/>
  <c r="AI42" i="83"/>
  <c r="AK36" i="83"/>
  <c r="BJ48" i="68"/>
  <c r="BI56" i="68"/>
  <c r="BU42" i="31"/>
  <c r="BV36" i="31"/>
  <c r="AH50" i="83"/>
  <c r="AJ44" i="83"/>
  <c r="AJ50" i="83" s="1"/>
  <c r="AJ36" i="83"/>
  <c r="AJ42" i="83" s="1"/>
  <c r="AH42" i="83"/>
  <c r="AF37" i="87"/>
  <c r="AF51" i="83"/>
  <c r="AM66" i="68"/>
  <c r="BU34" i="31"/>
  <c r="BU50" i="31"/>
  <c r="BV44" i="31"/>
  <c r="AK44" i="83"/>
  <c r="AI50" i="83"/>
  <c r="BJ58" i="68"/>
  <c r="BI65" i="68"/>
  <c r="AG37" i="87"/>
  <c r="AI36" i="87"/>
  <c r="AK30" i="87"/>
  <c r="AJ30" i="87"/>
  <c r="AJ36" i="87" s="1"/>
  <c r="AH36" i="87"/>
  <c r="AK26" i="83"/>
  <c r="AI34" i="83"/>
  <c r="C12" i="56" l="1"/>
  <c r="AI51" i="83"/>
  <c r="B41" i="84" s="1"/>
  <c r="B44" i="84" s="1"/>
  <c r="AL17" i="87"/>
  <c r="AL28" i="87" s="1"/>
  <c r="BI66" i="68"/>
  <c r="AL30" i="87"/>
  <c r="AL36" i="87" s="1"/>
  <c r="AK50" i="83"/>
  <c r="AM44" i="83"/>
  <c r="AM50" i="83" s="1"/>
  <c r="BU51" i="31"/>
  <c r="AL36" i="83"/>
  <c r="AM36" i="83"/>
  <c r="AM42" i="83" s="1"/>
  <c r="AK42" i="83"/>
  <c r="AJ51" i="83"/>
  <c r="AJ37" i="87"/>
  <c r="AI37" i="87"/>
  <c r="B39" i="88" s="1"/>
  <c r="B42" i="88" s="1"/>
  <c r="AH51" i="83"/>
  <c r="AL44" i="83"/>
  <c r="AH37" i="87"/>
  <c r="AK28" i="87"/>
  <c r="AM17" i="87"/>
  <c r="AM28" i="87" s="1"/>
  <c r="AM26" i="83"/>
  <c r="AK34" i="83"/>
  <c r="AM30" i="87"/>
  <c r="AM36" i="87" s="1"/>
  <c r="AK36" i="87"/>
  <c r="AL22" i="83"/>
  <c r="C30" i="56"/>
  <c r="B31" i="56"/>
  <c r="B32" i="56" s="1"/>
  <c r="AL37" i="87" l="1"/>
  <c r="BQ17" i="87"/>
  <c r="BR17" i="87" s="1"/>
  <c r="B35" i="56"/>
  <c r="D15" i="56"/>
  <c r="D14" i="56"/>
  <c r="D13" i="56"/>
  <c r="D26" i="56"/>
  <c r="D29" i="56"/>
  <c r="B33" i="56"/>
  <c r="D20" i="56"/>
  <c r="C32" i="56"/>
  <c r="D28" i="56"/>
  <c r="B34" i="56"/>
  <c r="D27" i="56"/>
  <c r="D23" i="56"/>
  <c r="D24" i="56"/>
  <c r="D18" i="56"/>
  <c r="D19" i="56"/>
  <c r="D25" i="56"/>
  <c r="D17" i="56"/>
  <c r="D22" i="56"/>
  <c r="D21" i="56"/>
  <c r="D16" i="56"/>
  <c r="D12" i="56"/>
  <c r="D30" i="56"/>
  <c r="AK37" i="87"/>
  <c r="B39" i="84"/>
  <c r="B42" i="84" s="1"/>
  <c r="B40" i="84"/>
  <c r="B43" i="84" s="1"/>
  <c r="BU36" i="83"/>
  <c r="AL42" i="83"/>
  <c r="AL50" i="83"/>
  <c r="BU44" i="83"/>
  <c r="AL34" i="83"/>
  <c r="BU22" i="83"/>
  <c r="AK51" i="83"/>
  <c r="B38" i="88"/>
  <c r="B41" i="88" s="1"/>
  <c r="B37" i="88"/>
  <c r="B40" i="88" s="1"/>
  <c r="BQ30" i="87"/>
  <c r="D31" i="56"/>
  <c r="C31" i="56"/>
  <c r="AM34" i="83"/>
  <c r="AM51" i="83" s="1"/>
  <c r="BU26" i="83"/>
  <c r="BV26" i="83" s="1"/>
  <c r="AM37" i="87"/>
  <c r="BQ28" i="87" l="1"/>
  <c r="B12" i="88"/>
  <c r="C12" i="88" s="1"/>
  <c r="AL51" i="83"/>
  <c r="B12" i="84" s="1"/>
  <c r="D32" i="56"/>
  <c r="BU34" i="83"/>
  <c r="BV22" i="83"/>
  <c r="BU50" i="83"/>
  <c r="BV44" i="83"/>
  <c r="BR30" i="87"/>
  <c r="BQ36" i="87"/>
  <c r="BU42" i="83"/>
  <c r="BV36" i="83"/>
  <c r="BQ37" i="87" l="1"/>
  <c r="B29" i="88"/>
  <c r="C29" i="88" s="1"/>
  <c r="B28" i="88"/>
  <c r="C28" i="88" s="1"/>
  <c r="C12" i="84"/>
  <c r="B30" i="84"/>
  <c r="BU51" i="83"/>
  <c r="B30" i="88" l="1"/>
  <c r="D14" i="88" s="1"/>
  <c r="B31" i="84"/>
  <c r="B32" i="84" s="1"/>
  <c r="D30" i="84" s="1"/>
  <c r="C30" i="84"/>
  <c r="D24" i="88" l="1"/>
  <c r="D13" i="88"/>
  <c r="D26" i="88"/>
  <c r="D12" i="88"/>
  <c r="D27" i="88"/>
  <c r="D16" i="88"/>
  <c r="D18" i="88"/>
  <c r="B32" i="88"/>
  <c r="B31" i="88"/>
  <c r="D20" i="88"/>
  <c r="D19" i="88"/>
  <c r="D22" i="88"/>
  <c r="B33" i="88"/>
  <c r="D25" i="88"/>
  <c r="D17" i="88"/>
  <c r="D21" i="88"/>
  <c r="D23" i="88"/>
  <c r="D15" i="88"/>
  <c r="C30" i="88"/>
  <c r="D28" i="88"/>
  <c r="D29" i="88"/>
  <c r="D26" i="84"/>
  <c r="D28" i="84"/>
  <c r="D20" i="84"/>
  <c r="D14" i="84"/>
  <c r="D29" i="84"/>
  <c r="B35" i="84"/>
  <c r="D15" i="84"/>
  <c r="B34" i="84"/>
  <c r="C32" i="84"/>
  <c r="B33" i="84"/>
  <c r="D13" i="84"/>
  <c r="D27" i="84"/>
  <c r="D19" i="84"/>
  <c r="D18" i="84"/>
  <c r="D24" i="84"/>
  <c r="D23" i="84"/>
  <c r="D22" i="84"/>
  <c r="D17" i="84"/>
  <c r="D25" i="84"/>
  <c r="D16" i="84"/>
  <c r="D21" i="84"/>
  <c r="D12" i="84"/>
  <c r="C31" i="84"/>
  <c r="D31" i="84"/>
  <c r="D32" i="84" s="1"/>
  <c r="D30" i="88" l="1"/>
</calcChain>
</file>

<file path=xl/comments1.xml><?xml version="1.0" encoding="utf-8"?>
<comments xmlns="http://schemas.openxmlformats.org/spreadsheetml/2006/main">
  <authors>
    <author>Любовь</author>
  </authors>
  <commentLis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26950 руб за 216,5 л
124,5 руб за 1л
136,8 руб за 1 кг
13680 руб за 1 ц</t>
        </r>
      </text>
    </comment>
    <comment ref="B65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220 за 1 кг</t>
        </r>
      </text>
    </comment>
    <comment ref="A101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Приказ об утв метод реком по сост техкарт от 30.12.2016 №867</t>
        </r>
      </text>
    </comment>
  </commentList>
</comments>
</file>

<file path=xl/comments2.xml><?xml version="1.0" encoding="utf-8"?>
<comments xmlns="http://schemas.openxmlformats.org/spreadsheetml/2006/main">
  <authors>
    <author>Максимов Р.М.</author>
  </authors>
  <commentList>
    <comment ref="F44" authorId="0">
      <text>
        <r>
          <rPr>
            <sz val="8"/>
            <color indexed="81"/>
            <rFont val="Tahoma"/>
            <family val="2"/>
            <charset val="204"/>
          </rPr>
          <t xml:space="preserve">Среднем 95 смен полива за вегетационный период по 7ч.
</t>
        </r>
      </text>
    </comment>
    <comment ref="F45" authorId="0">
      <text>
        <r>
          <rPr>
            <sz val="8"/>
            <color indexed="81"/>
            <rFont val="Tahoma"/>
            <family val="2"/>
            <charset val="204"/>
          </rPr>
          <t>Сборник нормативных материалов на работы, выполняемые машинно-технологическими станциями (мтс). — М.: ФГНУ “Росинформагротех”, 2001. — 190 с.</t>
        </r>
      </text>
    </comment>
    <comment ref="F86" authorId="0">
      <text>
        <r>
          <rPr>
            <sz val="8"/>
            <color indexed="81"/>
            <rFont val="Tahoma"/>
            <family val="2"/>
            <charset val="204"/>
          </rPr>
          <t xml:space="preserve">За 1 смену 70 тонн
Годовая закрузка (с 15 августа по 1 октября 45 дней) 315 ч.
</t>
        </r>
      </text>
    </comment>
  </commentList>
</comments>
</file>

<file path=xl/comments3.xml><?xml version="1.0" encoding="utf-8"?>
<comments xmlns="http://schemas.openxmlformats.org/spreadsheetml/2006/main">
  <authors>
    <author>1</author>
    <author>Максимов Р.М.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4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5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3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ч.1, стр. 83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"Типовые нормы выроботки и расход топлива на с/х мех. Работы" М.-1994, ч.1, стр. 53
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выроботки и расход топлива на с/х мех. Работы" М.-1994, ч.1, стр. 37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6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6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4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8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8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89" authorId="1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E9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9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10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10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9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0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1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2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4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5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E120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1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E122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3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4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5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4.xml><?xml version="1.0" encoding="utf-8"?>
<comments xmlns="http://schemas.openxmlformats.org/spreadsheetml/2006/main">
  <authors>
    <author>Максимов Р.М.</author>
    <author>Trasser</author>
    <author>ОЭР</author>
  </authors>
  <commentList>
    <comment ref="K1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"Справочник овощевода" Я-1984 Стр. 36</t>
        </r>
      </text>
    </comment>
    <comment ref="K12" authorId="1">
      <text>
        <r>
          <rPr>
            <sz val="8"/>
            <color indexed="81"/>
            <rFont val="Tahoma"/>
            <family val="2"/>
            <charset val="204"/>
          </rPr>
          <t xml:space="preserve"> 
Технология возделывания семенного картофеля, 1986, Якутск, с.46
</t>
        </r>
      </text>
    </comment>
    <comment ref="K15" authorId="1">
      <text>
        <r>
          <rPr>
            <sz val="8"/>
            <color indexed="81"/>
            <rFont val="Tahoma"/>
            <family val="2"/>
            <charset val="204"/>
          </rPr>
          <t xml:space="preserve">Выращивание картофеля в ЯАССР, Якутск, 1983, с.47
</t>
        </r>
      </text>
    </comment>
    <comment ref="K16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расход топлива на с/х мех.работы М. -1982, ст.55
</t>
        </r>
      </text>
    </comment>
    <comment ref="K17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расход топлива на с/х мех.работы. М., 1994, с.25
</t>
        </r>
      </text>
    </comment>
    <comment ref="K18" authorId="1">
      <text>
        <r>
          <rPr>
            <sz val="8"/>
            <color indexed="81"/>
            <rFont val="Tahoma"/>
            <family val="2"/>
            <charset val="204"/>
          </rPr>
          <t xml:space="preserve">Выращивание картофеля в ЯАССР, 1983, с.43
</t>
        </r>
      </text>
    </comment>
    <comment ref="K19" authorId="1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нормативы времени. М., 1992, с. 527
</t>
        </r>
      </text>
    </comment>
    <comment ref="K20" authorId="2">
      <text>
        <r>
          <rPr>
            <sz val="8"/>
            <color indexed="81"/>
            <rFont val="Tahoma"/>
            <family val="2"/>
            <charset val="204"/>
          </rPr>
          <t xml:space="preserve">Единые нормы выработки и расхода топлива на тракторно-транспортные и погрузочные работы в с/х. М., 1980 с. 35
</t>
        </r>
      </text>
    </comment>
    <comment ref="K21" authorId="1">
      <text>
        <r>
          <rPr>
            <sz val="8"/>
            <color indexed="81"/>
            <rFont val="Tahoma"/>
            <family val="2"/>
            <charset val="204"/>
          </rPr>
          <t xml:space="preserve">Выращивание картофеля в ЯАССР, 1983, с. 44
</t>
        </r>
      </text>
    </comment>
    <comment ref="K22" authorId="1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нормативы времени. М., 1992, с.216
</t>
        </r>
      </text>
    </comment>
    <comment ref="K23" authorId="1">
      <text>
        <r>
          <rPr>
            <sz val="8"/>
            <color indexed="81"/>
            <rFont val="Tahoma"/>
            <family val="2"/>
            <charset val="204"/>
          </rPr>
          <t>Типовые нормы выработки и нормативы времени. М., 1992, с.214</t>
        </r>
      </text>
    </comment>
    <comment ref="K24" authorId="1">
      <text>
        <r>
          <rPr>
            <sz val="8"/>
            <color indexed="81"/>
            <rFont val="Tahoma"/>
            <family val="2"/>
            <charset val="204"/>
          </rPr>
          <t xml:space="preserve"> Единые нормы выработки и расхода топлива на тракторно-транспортные и погрузочные работы в с/х. М. - 1980, с.35
</t>
        </r>
      </text>
    </comment>
    <comment ref="K25" authorId="2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нормативы времени. М., 1992, с.214
</t>
        </r>
      </text>
    </comment>
    <comment ref="K26" authorId="1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расход топлива на с/х работы. М.-1982, с.146
</t>
        </r>
      </text>
    </comment>
    <comment ref="K29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расход топлива на с/х работы. М.-1982, с.25
</t>
        </r>
      </text>
    </comment>
    <comment ref="K30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рсход топлива на с/х мехработы. М., 1994, ст.233
</t>
        </r>
      </text>
    </comment>
    <comment ref="K33" authorId="0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4" authorId="0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5" authorId="0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6" authorId="0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7" authorId="0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 xml:space="preserve">Выращивание картофеля в ЯАССР, 1983, с. 44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рсход топлива на с/х мехработы. М., 1994, ст.199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нормативы времени. М.,1992, с.46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 Типовые нормы выработки и рсход топлива на с/х мехработы. М., 1994, ст.199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>Типовые нормы выработки и нормативы времени. М.,1992, с.46</t>
        </r>
      </text>
    </comment>
    <comment ref="K45" authorId="2">
      <text>
        <r>
          <rPr>
            <sz val="8"/>
            <color indexed="81"/>
            <rFont val="Tahoma"/>
            <family val="2"/>
            <charset val="204"/>
          </rPr>
          <t xml:space="preserve">
Типовые нормы выработки и нормативы времени, М., 1992, с.536
</t>
        </r>
      </text>
    </comment>
    <comment ref="K46" authorId="1">
      <text>
        <r>
          <rPr>
            <sz val="8"/>
            <color indexed="81"/>
            <rFont val="Tahoma"/>
            <family val="2"/>
            <charset val="204"/>
          </rPr>
          <t xml:space="preserve"> Единые нормы выработки и расхода топлива на тракторно-транспортные и погрузочные работы в с/х. М. - 1980, с.35
</t>
        </r>
      </text>
    </comment>
    <comment ref="K47" authorId="1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нормативы времени, М., 1992, с.48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>Типовые нормы выработки и нормативы времени. М.,1992, с.537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 
Технология возделывания семенного картофеля, 1986, Якутск, с.46
</t>
        </r>
      </text>
    </comment>
    <comment ref="K52" authorId="2">
      <text>
        <r>
          <rPr>
            <sz val="8"/>
            <color indexed="81"/>
            <rFont val="Tahoma"/>
            <family val="2"/>
            <charset val="204"/>
          </rPr>
          <t xml:space="preserve">Типовые нормы выработки и расхода топлива на с/х мех.работы. 1994, с. 29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>Выращивание картофеля в ЯАССР, 1983, с.47</t>
        </r>
      </text>
    </comment>
  </commentList>
</comments>
</file>

<file path=xl/comments5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2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3" authorId="1">
      <text>
        <r>
          <rPr>
            <sz val="8"/>
            <color indexed="81"/>
            <rFont val="Tahoma"/>
            <family val="2"/>
            <charset val="204"/>
          </rPr>
          <t xml:space="preserve">Расчет сделан на основании расхода топлива на 1 усл.га
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4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</commentList>
</comments>
</file>

<file path=xl/comments6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  <author>gurieva.am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AT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 центнер овса + 0,05 рапса</t>
        </r>
      </text>
    </comment>
    <comment ref="AV32" authorId="3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20+40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7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8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9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sharedStrings.xml><?xml version="1.0" encoding="utf-8"?>
<sst xmlns="http://schemas.openxmlformats.org/spreadsheetml/2006/main" count="2491" uniqueCount="680">
  <si>
    <t>Трактор МТЗ-1221</t>
  </si>
  <si>
    <t>Борона БДП-3,0</t>
  </si>
  <si>
    <t>Прицепной кормоуборочный комбайн</t>
  </si>
  <si>
    <t>Погрузчик ПМТ-0,1</t>
  </si>
  <si>
    <t>300руб</t>
  </si>
  <si>
    <t>138руб</t>
  </si>
  <si>
    <t>с НДС</t>
  </si>
  <si>
    <t>ДТЗ, ДТА</t>
  </si>
  <si>
    <t>вил.</t>
  </si>
  <si>
    <t>центр.</t>
  </si>
  <si>
    <t>масла</t>
  </si>
  <si>
    <t>Балансовая стоимость, (тыс.руб.)*</t>
  </si>
  <si>
    <t>Наименование работ</t>
  </si>
  <si>
    <t>Расход ГСМ</t>
  </si>
  <si>
    <t>за весь объем работ</t>
  </si>
  <si>
    <t>Единица измерения</t>
  </si>
  <si>
    <t>Трактористов-машинистов</t>
  </si>
  <si>
    <t>Прицепщиков и рабочих на ручных работах</t>
  </si>
  <si>
    <t>Северный и районный коэффициент</t>
  </si>
  <si>
    <t>Разряд оплаты труда</t>
  </si>
  <si>
    <t>Часовая ставка</t>
  </si>
  <si>
    <t>Итого</t>
  </si>
  <si>
    <t>Погрузка семян вручную</t>
  </si>
  <si>
    <t>Транспортировка семян к месту посева</t>
  </si>
  <si>
    <t>Разгрузка семян вручную</t>
  </si>
  <si>
    <t>Погрузка минеральных удобрений вручную</t>
  </si>
  <si>
    <t>Разгрузка минеральных удобрений вручную</t>
  </si>
  <si>
    <t>Посев зерна с внесением минеральных удобрений</t>
  </si>
  <si>
    <t>Послепосевное прикатывание</t>
  </si>
  <si>
    <t>Всего</t>
  </si>
  <si>
    <t>Сроки выполнения работ</t>
  </si>
  <si>
    <t>Дата начала</t>
  </si>
  <si>
    <t>Дата окончания</t>
  </si>
  <si>
    <t>Количество рабочих дней</t>
  </si>
  <si>
    <t>Объемы работ в физическом выражении</t>
  </si>
  <si>
    <t>Обслуживающий персонал  для выполнения нормы</t>
  </si>
  <si>
    <t>механизаторов</t>
  </si>
  <si>
    <t>разнорабочих</t>
  </si>
  <si>
    <t>Количество нормо-смен в объеме работы</t>
  </si>
  <si>
    <t>Норма выработки (норма смен / га; норма смен / тн)</t>
  </si>
  <si>
    <t>Требуется агрегатов</t>
  </si>
  <si>
    <t>количество</t>
  </si>
  <si>
    <t>коэфф.перевода, кг</t>
  </si>
  <si>
    <t>вид ГСМ</t>
  </si>
  <si>
    <t>Амортизация техники</t>
  </si>
  <si>
    <t>тракторов</t>
  </si>
  <si>
    <t>сельхозмашин</t>
  </si>
  <si>
    <t>на 1 час работы</t>
  </si>
  <si>
    <t>Прямые затраты</t>
  </si>
  <si>
    <t>всего (ц)</t>
  </si>
  <si>
    <t>за 7 часовую смену усл.эт.га</t>
  </si>
  <si>
    <t>Наименование работ и средства механизации</t>
  </si>
  <si>
    <t>марка сельхозмашин</t>
  </si>
  <si>
    <t>марка тракторов, комбайнов, автомашин</t>
  </si>
  <si>
    <t>НОРМАТИВНО-ТЕХНОЛОГИЧЕСКАЯ КАРТА</t>
  </si>
  <si>
    <t>№№ п/п</t>
  </si>
  <si>
    <t>Предпосевная подготовка почвы и посев</t>
  </si>
  <si>
    <t>по производству продукции растениеводства</t>
  </si>
  <si>
    <t>Эталонная выработка трактора, комбайна (усл.-эт.га)</t>
  </si>
  <si>
    <t>Погрузка минеральных удобрений</t>
  </si>
  <si>
    <t>Разгрузка минеральных удобрений</t>
  </si>
  <si>
    <t>Погрузка семян</t>
  </si>
  <si>
    <t>Разгрузка семян</t>
  </si>
  <si>
    <t>Транспортировка минеральных удобрений</t>
  </si>
  <si>
    <t>Транспортировка семян</t>
  </si>
  <si>
    <t>Уборка</t>
  </si>
  <si>
    <t>Кошение с одновременным плющением</t>
  </si>
  <si>
    <t>Вспушение и подвяливание</t>
  </si>
  <si>
    <t>Формирование валок</t>
  </si>
  <si>
    <t>Прессование рулонов с последующей их транспортировкой к месту упаковки и хранения</t>
  </si>
  <si>
    <t>Упаковка рулонов</t>
  </si>
  <si>
    <t>Культура: Зерновые на сенаж (без полива)</t>
  </si>
  <si>
    <t>Полив</t>
  </si>
  <si>
    <t>Подача воды в оросительную сеть</t>
  </si>
  <si>
    <t>Вегетационный полив</t>
  </si>
  <si>
    <t>Транспортировка минеральных удобрений к месту посева</t>
  </si>
  <si>
    <t>Кошение</t>
  </si>
  <si>
    <t>Транспортировка зеленой массы</t>
  </si>
  <si>
    <t>Утрамбовка</t>
  </si>
  <si>
    <t>Разбрасивание и перемешивание кормовой соли</t>
  </si>
  <si>
    <t>Укрытие зеленой массы пленкой</t>
  </si>
  <si>
    <t>Укрытие силосной массы сеном или соломой</t>
  </si>
  <si>
    <t>Уборка и закладка</t>
  </si>
  <si>
    <t>Культура: Сено</t>
  </si>
  <si>
    <t>Ворошение</t>
  </si>
  <si>
    <t>Сгребание в валки</t>
  </si>
  <si>
    <t>Прием и укладка сена в стогообразователь</t>
  </si>
  <si>
    <t>Сгребание сена после подбора стогообразователем</t>
  </si>
  <si>
    <t>Прессование</t>
  </si>
  <si>
    <t>Сгребание сена после пресс-подборщика</t>
  </si>
  <si>
    <t>Погрузка рулонов на транспортный прицеп</t>
  </si>
  <si>
    <t>Транспортировка рулонов к месту скирдования</t>
  </si>
  <si>
    <t>Укладка сена в штабеля</t>
  </si>
  <si>
    <t>Копнение</t>
  </si>
  <si>
    <t>Сгребание после копнения</t>
  </si>
  <si>
    <t>Подача сена на стог</t>
  </si>
  <si>
    <t>Укладка сена на стогу</t>
  </si>
  <si>
    <t>Вариант 3: Заготовка сена полумеханизированным способом</t>
  </si>
  <si>
    <t>Вариант 2: Заготовка сена механизированным способом с прессованием</t>
  </si>
  <si>
    <t>Вариант 1: Заготовка сена механизированным способом со стогообразователем</t>
  </si>
  <si>
    <t>Сгребание</t>
  </si>
  <si>
    <t>Поднос копны</t>
  </si>
  <si>
    <t>Вариант 5: Заготовка сена ручным способом</t>
  </si>
  <si>
    <t>ДТ-75</t>
  </si>
  <si>
    <t>СВУ-2,6</t>
  </si>
  <si>
    <t>МТЗ-82</t>
  </si>
  <si>
    <t>га</t>
  </si>
  <si>
    <t>Т-150</t>
  </si>
  <si>
    <t xml:space="preserve">Закрытие влаги </t>
  </si>
  <si>
    <t>тн</t>
  </si>
  <si>
    <t>СЗ-3,6</t>
  </si>
  <si>
    <t>БЗСС-1,0</t>
  </si>
  <si>
    <t>ОВТ-1А</t>
  </si>
  <si>
    <t>ПН-4-35</t>
  </si>
  <si>
    <t>Енисей</t>
  </si>
  <si>
    <t>2ПТС-4</t>
  </si>
  <si>
    <t>ЗАВ-10</t>
  </si>
  <si>
    <t>СЗ-6</t>
  </si>
  <si>
    <t>Вручную</t>
  </si>
  <si>
    <t>тн.</t>
  </si>
  <si>
    <t>БДТ-3,0</t>
  </si>
  <si>
    <t>КПГ-250</t>
  </si>
  <si>
    <t>шт</t>
  </si>
  <si>
    <t>кв.м.</t>
  </si>
  <si>
    <t>Бульд.</t>
  </si>
  <si>
    <t>ПФ-0,5</t>
  </si>
  <si>
    <t>ЛДГ-10 А</t>
  </si>
  <si>
    <t>РОУ-5</t>
  </si>
  <si>
    <t>ИСУ-4</t>
  </si>
  <si>
    <t>РМГ-4</t>
  </si>
  <si>
    <t>КРН-4,2</t>
  </si>
  <si>
    <t>СНП-50/80</t>
  </si>
  <si>
    <t>ДДН-70</t>
  </si>
  <si>
    <t>КИР-1,5</t>
  </si>
  <si>
    <t>КТН-2В</t>
  </si>
  <si>
    <t>СН-4Б</t>
  </si>
  <si>
    <t>КСМ-4</t>
  </si>
  <si>
    <t>ПБ-35</t>
  </si>
  <si>
    <t>Т-16</t>
  </si>
  <si>
    <t>ОЗГ-120А</t>
  </si>
  <si>
    <t>ФС-07</t>
  </si>
  <si>
    <t>ПРСМ-7</t>
  </si>
  <si>
    <t>Теплогенератор</t>
  </si>
  <si>
    <t>ЛДГ-5</t>
  </si>
  <si>
    <t>П-4</t>
  </si>
  <si>
    <t>Д-606</t>
  </si>
  <si>
    <t>ПТС-6</t>
  </si>
  <si>
    <t>РУМ-3</t>
  </si>
  <si>
    <t>СКН-6А</t>
  </si>
  <si>
    <t>АПР</t>
  </si>
  <si>
    <t>КПС-4</t>
  </si>
  <si>
    <t>ЗКВГ-1,4</t>
  </si>
  <si>
    <t>Коэффициент перевода на кг</t>
  </si>
  <si>
    <t>ДТЛ</t>
  </si>
  <si>
    <t>ДТЗ</t>
  </si>
  <si>
    <t>Тарифные разряды, ставки для оплаты труда работников сельскохозяйственных предприятий</t>
  </si>
  <si>
    <t>Профессия</t>
  </si>
  <si>
    <t>ставки</t>
  </si>
  <si>
    <t>разряды</t>
  </si>
  <si>
    <t>коэффициент</t>
  </si>
  <si>
    <t>месячная ставка, руб./коп</t>
  </si>
  <si>
    <t>дневная ставка (сменная) руб./коп</t>
  </si>
  <si>
    <t>часовая ставка, руб./коп</t>
  </si>
  <si>
    <t>Надбавка за стаж работы в данном хозяйстве</t>
  </si>
  <si>
    <t>Резерв отпусков</t>
  </si>
  <si>
    <t>Процент доплат за качественное и своевременное выполнение работ</t>
  </si>
  <si>
    <t>Вид работ</t>
  </si>
  <si>
    <t>За высококачественную подготовку почвы согласны агротехническим требованиям</t>
  </si>
  <si>
    <t>За качественное проведение сева, посадки культур в строго установленные сроки</t>
  </si>
  <si>
    <t>За своевременное и качественное проведение работ по обработке почвы, проведению работ по борьбе с вредителями, болезнями и уничтожению сорняков с применением гербецидов</t>
  </si>
  <si>
    <t>За высокое качество уборки урожая в установленные сроки без потерь</t>
  </si>
  <si>
    <t>Размер дополнительной оплаты, в% к заработной плате (не менее)</t>
  </si>
  <si>
    <t>За заготовку кормов высокого качества и в сжатые агротехнические сроки</t>
  </si>
  <si>
    <t>Трактористов-машинистов (1класс-20%, 2класс-10%)</t>
  </si>
  <si>
    <t>Прицепщиков и рабочих на ручных работах (мастер растениеводства 1 класса-20%, 2го класса-10%)</t>
  </si>
  <si>
    <t>Стаж работы в данном хозяйстве</t>
  </si>
  <si>
    <t>Размер надбавки за стаж работы (в% к заработку)</t>
  </si>
  <si>
    <t>от 2 до 5 лет</t>
  </si>
  <si>
    <t>от 5 до 10 лет</t>
  </si>
  <si>
    <t>от 10 до 15 лет</t>
  </si>
  <si>
    <t>от 15 до 20 лет</t>
  </si>
  <si>
    <t>свыше 20 лет</t>
  </si>
  <si>
    <t>Марка тракторов</t>
  </si>
  <si>
    <t>К-700</t>
  </si>
  <si>
    <t>МТЗ-1221</t>
  </si>
  <si>
    <t>Синтай-220</t>
  </si>
  <si>
    <t>СНП-50/79</t>
  </si>
  <si>
    <t>Расход семян</t>
  </si>
  <si>
    <t>всего (тн)</t>
  </si>
  <si>
    <t>Норма</t>
  </si>
  <si>
    <t>ЗКК-6А</t>
  </si>
  <si>
    <t>BRG 225/90</t>
  </si>
  <si>
    <t>GT 540 H</t>
  </si>
  <si>
    <t>GR 385 3 PS</t>
  </si>
  <si>
    <t>R 12 Super</t>
  </si>
  <si>
    <t>FW 10/2000</t>
  </si>
  <si>
    <t>КТП-6</t>
  </si>
  <si>
    <t>КСК-100</t>
  </si>
  <si>
    <t>бульд.</t>
  </si>
  <si>
    <t>КС-2,1</t>
  </si>
  <si>
    <t>ГВР-6</t>
  </si>
  <si>
    <t>Подбор валков сена стогообразователем</t>
  </si>
  <si>
    <t>СПТ-60</t>
  </si>
  <si>
    <t>Вилы</t>
  </si>
  <si>
    <t>ГПП-6</t>
  </si>
  <si>
    <t>ПРП-1,6</t>
  </si>
  <si>
    <t>ПКУ-0,8</t>
  </si>
  <si>
    <t>ППУ-0,5</t>
  </si>
  <si>
    <t>Грабли</t>
  </si>
  <si>
    <t>Кони</t>
  </si>
  <si>
    <t>КК-1,2</t>
  </si>
  <si>
    <t>ГК-4</t>
  </si>
  <si>
    <t>Носилки</t>
  </si>
  <si>
    <t>Коса</t>
  </si>
  <si>
    <t>на единицу, (цн/га)</t>
  </si>
  <si>
    <t>Расчет амортизации основных средств</t>
  </si>
  <si>
    <t>Наименование трактора (машины)</t>
  </si>
  <si>
    <t>Марка трактора (машины)</t>
  </si>
  <si>
    <t>Вариант 1</t>
  </si>
  <si>
    <t>Вариант 2</t>
  </si>
  <si>
    <t>Вариант 3</t>
  </si>
  <si>
    <t>Вариант 4</t>
  </si>
  <si>
    <t>Вариант 5</t>
  </si>
  <si>
    <t>Трактор ДТ-75</t>
  </si>
  <si>
    <t>КАМАЗ-5320</t>
  </si>
  <si>
    <t>Камаз</t>
  </si>
  <si>
    <t>ЗИЛ-130</t>
  </si>
  <si>
    <t>ЗИЛ</t>
  </si>
  <si>
    <t>Трактор МТЗ-82</t>
  </si>
  <si>
    <t>Трактор</t>
  </si>
  <si>
    <t>Комбайн «Енисей-1200»</t>
  </si>
  <si>
    <t>Китайский комбайн</t>
  </si>
  <si>
    <t>Рабочие лошади</t>
  </si>
  <si>
    <t>Гигант Петкус</t>
  </si>
  <si>
    <t>Петкус</t>
  </si>
  <si>
    <t>Семяочистительная машина</t>
  </si>
  <si>
    <t>СМ-4</t>
  </si>
  <si>
    <t>Зерноочистительный комплекс  ЗАВ-25</t>
  </si>
  <si>
    <t>Прицеп 2ПТС-4</t>
  </si>
  <si>
    <t>Роторная навесная косилка-плющилка</t>
  </si>
  <si>
    <t>Упаковщик рулонов</t>
  </si>
  <si>
    <t>Грабли волкообразователи</t>
  </si>
  <si>
    <t xml:space="preserve">Вспушиватель </t>
  </si>
  <si>
    <t>Пресс подборщик рулонный</t>
  </si>
  <si>
    <t>Автомат приготовления растворов</t>
  </si>
  <si>
    <t>Борона БДТ-3,0</t>
  </si>
  <si>
    <t>Борона БЗСС-1,0</t>
  </si>
  <si>
    <t>Борона БСО-4,0</t>
  </si>
  <si>
    <t>БСО-4,0</t>
  </si>
  <si>
    <t>Бульдозерный отвал</t>
  </si>
  <si>
    <t>Грабли (грабли валковые)</t>
  </si>
  <si>
    <t>ГВК</t>
  </si>
  <si>
    <t>Грабли-ворошилка</t>
  </si>
  <si>
    <t>Грабли конные</t>
  </si>
  <si>
    <t>Грабли поперечные</t>
  </si>
  <si>
    <t>Дожд. установка ДДН-70</t>
  </si>
  <si>
    <t>Каток ЗКВГ-1,4</t>
  </si>
  <si>
    <t>Каток ЗКК-6</t>
  </si>
  <si>
    <t>Измельчитель минеральных удобрений</t>
  </si>
  <si>
    <t>Косилка измель. ротац. КИР-1,5</t>
  </si>
  <si>
    <t>Косилка конная</t>
  </si>
  <si>
    <t>Картофелекомбайн ККУ-2А</t>
  </si>
  <si>
    <t>ККУ-2А</t>
  </si>
  <si>
    <t>Культиватор окучник КОН-2,8</t>
  </si>
  <si>
    <t>КОН-2,8</t>
  </si>
  <si>
    <t>Плоскорез КПГ-250</t>
  </si>
  <si>
    <t>Культиватор КПС-4</t>
  </si>
  <si>
    <t>Культиватор окучник навесной КРН-4,2</t>
  </si>
  <si>
    <t>Косилка тракторная</t>
  </si>
  <si>
    <t>Комбайн</t>
  </si>
  <si>
    <t>Картофелесажалка КСМ-4</t>
  </si>
  <si>
    <t>Картофелекопалка КТН-2В</t>
  </si>
  <si>
    <t>Косилка</t>
  </si>
  <si>
    <t>КТП-4</t>
  </si>
  <si>
    <t>Лущильник дисковый ЛДГ-10</t>
  </si>
  <si>
    <t>Лущильник дисковый ЛДГ-5</t>
  </si>
  <si>
    <t xml:space="preserve">Опрыскиватели </t>
  </si>
  <si>
    <t>Опрыскиватель для защищенного грунта</t>
  </si>
  <si>
    <t>Планировщик</t>
  </si>
  <si>
    <t>Погрузчик ПБ-35</t>
  </si>
  <si>
    <t>Погрузчик ковшевый универсальный</t>
  </si>
  <si>
    <t>Плуг навесной ПН-4-35</t>
  </si>
  <si>
    <t>Опрыскиватель вентиляторный ПОМ-603</t>
  </si>
  <si>
    <t>ПОМ-603</t>
  </si>
  <si>
    <t xml:space="preserve">Пресс-подборщики </t>
  </si>
  <si>
    <t>ПР-3</t>
  </si>
  <si>
    <t>Пресподборщик</t>
  </si>
  <si>
    <t>Сеялка</t>
  </si>
  <si>
    <t>Прицеп ПТС-6</t>
  </si>
  <si>
    <t>Погрузчик фронтальный</t>
  </si>
  <si>
    <t xml:space="preserve">Разбрасывателями минеральных удобрений </t>
  </si>
  <si>
    <t>Разбрасыватель органических удобрений РОУ-5</t>
  </si>
  <si>
    <t>Снегопах СВУ-2,6</t>
  </si>
  <si>
    <t xml:space="preserve">Сеялка зерновая СЗ-3,6 </t>
  </si>
  <si>
    <t>Сушилки зерна</t>
  </si>
  <si>
    <t>Рассадопосадочная машина СКН-6</t>
  </si>
  <si>
    <t>СКН-6</t>
  </si>
  <si>
    <t>Картофелесажалка навесная четырехрядная</t>
  </si>
  <si>
    <t>Дожд. установка СНП-50/80</t>
  </si>
  <si>
    <t>Дожд. установка СНП-75/100</t>
  </si>
  <si>
    <t>СНП-75/100</t>
  </si>
  <si>
    <t>Дожд. установка СНП-80/50</t>
  </si>
  <si>
    <t>СНП-80/50</t>
  </si>
  <si>
    <t>Подборщик-стогообразователь</t>
  </si>
  <si>
    <t>ТГ-1,5</t>
  </si>
  <si>
    <t>ТГ-150</t>
  </si>
  <si>
    <t>Фреза</t>
  </si>
  <si>
    <t>на 1 усл.-эт.га</t>
  </si>
  <si>
    <t>ремонт тракторов</t>
  </si>
  <si>
    <t>техническое обслуживание тракторов</t>
  </si>
  <si>
    <t>замена шин тракторов</t>
  </si>
  <si>
    <t>ремонт и тех.обслуживание сельхозмашин (руб)</t>
  </si>
  <si>
    <t>всего (руб)</t>
  </si>
  <si>
    <t xml:space="preserve">Текущий ремонт и тех.обслуживание </t>
  </si>
  <si>
    <t>на весь объем работ (руб)</t>
  </si>
  <si>
    <t>Тарифная ставка за норму (руб)</t>
  </si>
  <si>
    <t>Затраты труда на весь объем работ (чел-час)</t>
  </si>
  <si>
    <t>Дополнительная оплата за качественное и своевременное выполнение работ (руб)</t>
  </si>
  <si>
    <t>Доплата за продукцию (руб)</t>
  </si>
  <si>
    <t>Надбавка за классность, за звание (руб)</t>
  </si>
  <si>
    <t>Надбавка за стаж работы в данном хозяйстве (руб)</t>
  </si>
  <si>
    <t>Всего фонд заработной платы (руб)</t>
  </si>
  <si>
    <t>Отчисления на страховые взносы (руб)</t>
  </si>
  <si>
    <t>Итого Фонд заработной платы с отчислениями на страховые взносы (руб)</t>
  </si>
  <si>
    <t>стоимость 1 ц (руб)</t>
  </si>
  <si>
    <t>стоимость всего (руб)</t>
  </si>
  <si>
    <t>стоимость 1 кг (руб)</t>
  </si>
  <si>
    <t>Затраты труда на 1 га (чел-час)</t>
  </si>
  <si>
    <t>на 1 га (руб)</t>
  </si>
  <si>
    <t>на единицу, (литр/га; литр/тн)</t>
  </si>
  <si>
    <t>Расход удобрений</t>
  </si>
  <si>
    <t>Культура</t>
  </si>
  <si>
    <t>ГСМ</t>
  </si>
  <si>
    <t>амортизация</t>
  </si>
  <si>
    <t>текущий ремонт</t>
  </si>
  <si>
    <t>на 1 га</t>
  </si>
  <si>
    <t>на 1 цн</t>
  </si>
  <si>
    <t>трактористов-машинистов</t>
  </si>
  <si>
    <t>прицепщиков и рабочих на ручных работах</t>
  </si>
  <si>
    <t>Доля, %</t>
  </si>
  <si>
    <t>тракторы</t>
  </si>
  <si>
    <t>сельхозмашины</t>
  </si>
  <si>
    <t>Прочие затраты, руб</t>
  </si>
  <si>
    <t>Итого прямые затраты, руб</t>
  </si>
  <si>
    <t>Организация производства и управления, руб</t>
  </si>
  <si>
    <t>Всего затрат, руб</t>
  </si>
  <si>
    <t>Затраты на 1 га, руб</t>
  </si>
  <si>
    <t>Затраты труда всего, чел.-час</t>
  </si>
  <si>
    <t>Среднемесячная заработная плата на 1 работника, руб</t>
  </si>
  <si>
    <t>Семена и посадочный материал, руб</t>
  </si>
  <si>
    <t>Удобрения, руб</t>
  </si>
  <si>
    <t>Содержание основных средств, руб</t>
  </si>
  <si>
    <t>ФОТ с отчислениями, руб</t>
  </si>
  <si>
    <t>Урожайность, цн/га:</t>
  </si>
  <si>
    <t>Средняя заработная плата за 1 чел-час, руб</t>
  </si>
  <si>
    <t>ТЕХНОЛОГИЧЕСКАЯ КАРТА</t>
  </si>
  <si>
    <t>земельный налог (15,12руб/га)</t>
  </si>
  <si>
    <t xml:space="preserve">Валовый сбор основной продукции (цн):  </t>
  </si>
  <si>
    <t>Урожайность (цн/га):</t>
  </si>
  <si>
    <t>транспортный налог</t>
  </si>
  <si>
    <t>Донгфен, Синтай</t>
  </si>
  <si>
    <t>ремонт изгороди</t>
  </si>
  <si>
    <t xml:space="preserve">Площадь посева (га):           </t>
  </si>
  <si>
    <t>пленка</t>
  </si>
  <si>
    <t>Сорт: Овес</t>
  </si>
  <si>
    <t xml:space="preserve">Выход зеленой массы на сенаж (цн):  </t>
  </si>
  <si>
    <t>Выход готового сенажа (цн)</t>
  </si>
  <si>
    <t>Затраты на 1 цн зеленой массы, руб</t>
  </si>
  <si>
    <t>Затраты на 1 цн сенажа, руб</t>
  </si>
  <si>
    <t xml:space="preserve">Выход зеленой массы на силос (цн):  </t>
  </si>
  <si>
    <t>Выход готового силоса (цн)</t>
  </si>
  <si>
    <t>Разбрасывание и перемешивание кормовой соли</t>
  </si>
  <si>
    <t>Расход кормовой соли</t>
  </si>
  <si>
    <t>на единицу, (кг/тн)</t>
  </si>
  <si>
    <t>Кормовая соль, руб</t>
  </si>
  <si>
    <t>Затраты на 1 цн силоса, руб</t>
  </si>
  <si>
    <t xml:space="preserve">Площадь сенокосных угодий (га):           </t>
  </si>
  <si>
    <t>ПЛН-4-35</t>
  </si>
  <si>
    <t>Силосная траншея:</t>
  </si>
  <si>
    <t>глубина (м)</t>
  </si>
  <si>
    <t>ширина (м)</t>
  </si>
  <si>
    <t>длина (м)</t>
  </si>
  <si>
    <t>объем (м3)</t>
  </si>
  <si>
    <t>Расход пленки</t>
  </si>
  <si>
    <t>всего (кв.м)</t>
  </si>
  <si>
    <t>Рассадопосадочная машина СКН-6А</t>
  </si>
  <si>
    <t>Дожд. установка СНП-50/79</t>
  </si>
  <si>
    <t>Петкус-Селектра К-218</t>
  </si>
  <si>
    <t>2ПТС-4А</t>
  </si>
  <si>
    <t>Прицеп 2ПТС-4А</t>
  </si>
  <si>
    <t>БДН-3</t>
  </si>
  <si>
    <t>Борона БДН-3</t>
  </si>
  <si>
    <t>Плуг навесной ПЛН-4-35</t>
  </si>
  <si>
    <t>Китайский трактор</t>
  </si>
  <si>
    <t>Gushen 2000</t>
  </si>
  <si>
    <t>Расход вспомогательных материалов</t>
  </si>
  <si>
    <t>Вспомогательные материалы</t>
  </si>
  <si>
    <t xml:space="preserve">Амортизация </t>
  </si>
  <si>
    <t>силосной траншеи</t>
  </si>
  <si>
    <t>силосной траншеи (руб)</t>
  </si>
  <si>
    <t>Трактористы-машинисты для расчета расценок за продукцию (II группа)</t>
  </si>
  <si>
    <t>Трактористы-машинисты для расчета расценок за продукцию (III группа)</t>
  </si>
  <si>
    <t>Трактористы-машинисты для расчета расценок за продукцию (I группа)</t>
  </si>
  <si>
    <t>Рабочие реммастерских</t>
  </si>
  <si>
    <t>На работах в животноводстве и на ручных работах в растениеводстве для расчета расценок за продукцию</t>
  </si>
  <si>
    <t>на единицу, (шпагат/шт, пленки/шт)</t>
  </si>
  <si>
    <t>всего, шт (шпагат, пленка)</t>
  </si>
  <si>
    <t>стоимость 1 шпагата, пленки (руб)</t>
  </si>
  <si>
    <t>на единицу, (шпагат/шт)</t>
  </si>
  <si>
    <t>всего (шт шпагата)</t>
  </si>
  <si>
    <t>стоимость 1 шт шпагата (руб)</t>
  </si>
  <si>
    <t>Зяблевая вспашка (1 раз в 3 года)</t>
  </si>
  <si>
    <t>Дискование, прикатывание</t>
  </si>
  <si>
    <t>Предпосевная обработка 2 раза по мере всхода сорняков</t>
  </si>
  <si>
    <t>МТЗ1221</t>
  </si>
  <si>
    <t>БДП-3,0</t>
  </si>
  <si>
    <t>АПК-4,2</t>
  </si>
  <si>
    <t>Складирование</t>
  </si>
  <si>
    <t>ПМТ-0,1</t>
  </si>
  <si>
    <t>Дискование (выравнивание)</t>
  </si>
  <si>
    <t>Закрытие влаги</t>
  </si>
  <si>
    <t>Боронование допосевное</t>
  </si>
  <si>
    <t>Посев зерна с предпосевной обработкой, внесением минеральных удобрений, прикатыванием</t>
  </si>
  <si>
    <t>БДП-3х4</t>
  </si>
  <si>
    <t>Кошение с измельчением, погрузкой</t>
  </si>
  <si>
    <t>КСД-2,0</t>
  </si>
  <si>
    <t>Итого ФОТ с учетом северного и районного коэффициентов (руб)</t>
  </si>
  <si>
    <t>ЦЗ</t>
  </si>
  <si>
    <t>Центральная зона</t>
  </si>
  <si>
    <t>ЮЖНАЯ ЗОНА</t>
  </si>
  <si>
    <t>Анализ урожайности естественных сенокосных угодий  за 2011-2015 гг. в хозяйствах всех категорий Республики Саха (Якутия)</t>
  </si>
  <si>
    <t>тонн</t>
  </si>
  <si>
    <t>п/п</t>
  </si>
  <si>
    <t>Муниципальные образования</t>
  </si>
  <si>
    <t>2016 план</t>
  </si>
  <si>
    <t>среднее за 2011-2015</t>
  </si>
  <si>
    <t>Всего по РС (Я)</t>
  </si>
  <si>
    <t>Абыйский</t>
  </si>
  <si>
    <t>Алданский</t>
  </si>
  <si>
    <t>Аллаиховский</t>
  </si>
  <si>
    <t>Амгинский</t>
  </si>
  <si>
    <t xml:space="preserve">Анабарский  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</si>
  <si>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</si>
  <si>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</si>
  <si>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</si>
  <si>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</si>
  <si>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</si>
  <si>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</si>
  <si>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</si>
  <si>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</si>
  <si>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</si>
  <si>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М-Кангаласский</t>
  </si>
  <si>
    <t>Мирнинский</t>
  </si>
  <si>
    <t>Момский</t>
  </si>
  <si>
    <t>Намский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</si>
  <si>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</si>
  <si>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</si>
  <si>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</si>
  <si>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</si>
  <si>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</si>
  <si>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</si>
  <si>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</si>
  <si>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</si>
  <si>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</si>
  <si>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 xml:space="preserve">Усть-Алданский </t>
  </si>
  <si>
    <t xml:space="preserve">Усть-Майский </t>
  </si>
  <si>
    <t xml:space="preserve">Усть-Янский </t>
  </si>
  <si>
    <t>Хангаласский</t>
  </si>
  <si>
    <t>Чурапчинский</t>
  </si>
  <si>
    <t>Э-Бытантайский</t>
  </si>
  <si>
    <t>Нерюнгри</t>
  </si>
  <si>
    <t>Якутск</t>
  </si>
  <si>
    <t>п. Жатай</t>
  </si>
  <si>
    <t>Аркт Зона</t>
  </si>
  <si>
    <t>СевВостЗона</t>
  </si>
  <si>
    <t>Запад Зона</t>
  </si>
  <si>
    <t>Центральная Зона</t>
  </si>
  <si>
    <t>Южная Зона</t>
  </si>
  <si>
    <t>Вариант 4: Заготовка сена мини-трактором</t>
  </si>
  <si>
    <t> 9G-1.8</t>
  </si>
  <si>
    <t>9LCJ-2.1</t>
  </si>
  <si>
    <t>9LCJ-2.2</t>
  </si>
  <si>
    <t>АРКТИЧЕСКАЯ, СЕВЕРОВОСТОЧНАЯ ЗОНА</t>
  </si>
  <si>
    <t>БНЗ-5,7</t>
  </si>
  <si>
    <t>Обь-4-ЗТ</t>
  </si>
  <si>
    <t>Прицепной кормоуборочный комбайн Sterh 2000</t>
  </si>
  <si>
    <t>МТЗ-82 (автомобили самосвалы)</t>
  </si>
  <si>
    <t>Гусеничный трактор</t>
  </si>
  <si>
    <t>Транспортировка семян к месту посева (180кг/га)</t>
  </si>
  <si>
    <t xml:space="preserve">Пневматическая сеялка LEMKEN SOLITAIR 9/600 Кa-Ds </t>
  </si>
  <si>
    <t>Культура: РАПС на силос (с поливом)</t>
  </si>
  <si>
    <t>ДОН-680</t>
  </si>
  <si>
    <t>Комб.</t>
  </si>
  <si>
    <t>Посев зерна с предпосевной обработкой, внесением минеральных удобрений, прикатыванием, послепосевное прикатывание</t>
  </si>
  <si>
    <t>Культура: Кукуруза на силос (с поливом)</t>
  </si>
  <si>
    <t>2+СКП-2,1 (Омичка)</t>
  </si>
  <si>
    <t>2019 год</t>
  </si>
  <si>
    <t>Руководитель Департамента прогнозирвания, планирования, государствененых программ</t>
  </si>
  <si>
    <t>Попова В.В.</t>
  </si>
  <si>
    <t>Руководитель Отдела экономики сельского хозяйства и финансового оздоровления сельскохозяйственных организаций</t>
  </si>
  <si>
    <t>Халтанова Ф.Д.</t>
  </si>
  <si>
    <t>Чичигинаров В.В.</t>
  </si>
  <si>
    <t>Руководитель Департамента растениеводства, мелиорации, МТО и информатизации сельского хозяйства</t>
  </si>
  <si>
    <t>Исходные данные</t>
  </si>
  <si>
    <t>Размер минимальной заработной платы в РС (Я)</t>
  </si>
  <si>
    <t>рублей</t>
  </si>
  <si>
    <t>Норма рабочего времени в год (40-час. раб.нед.)</t>
  </si>
  <si>
    <t>часов</t>
  </si>
  <si>
    <t xml:space="preserve">Норма рабочего времени в месяц </t>
  </si>
  <si>
    <t>дней</t>
  </si>
  <si>
    <t xml:space="preserve">Количество рабочих дней в месяц </t>
  </si>
  <si>
    <t>Среднее количество часов в день</t>
  </si>
  <si>
    <t>Стоимость за 1 ед, рублей/тонна</t>
  </si>
  <si>
    <t>Норма внесения органических удобрений, цн/га</t>
  </si>
  <si>
    <t>Норма внесения минеральных удобрений, цн/га</t>
  </si>
  <si>
    <t>Норма расхода пестицида, л/тн</t>
  </si>
  <si>
    <t>Стоимость за 1 ед, рублей</t>
  </si>
  <si>
    <t>35000 за тонну</t>
  </si>
  <si>
    <t>500 за тонну</t>
  </si>
  <si>
    <t>33000 за тонну</t>
  </si>
  <si>
    <t>1000-4000 за литр</t>
  </si>
  <si>
    <t>Улусы (районы)</t>
  </si>
  <si>
    <t>Срок службы, лет</t>
  </si>
  <si>
    <t>Дневная норма амортизационных отчислений</t>
  </si>
  <si>
    <t>Трактор К-700, К-701</t>
  </si>
  <si>
    <t>Комбайн Нива</t>
  </si>
  <si>
    <t>Нива</t>
  </si>
  <si>
    <t>Комбайн "Вектор-410"</t>
  </si>
  <si>
    <t>Вектор</t>
  </si>
  <si>
    <t>Каток кольчото-шпоровый</t>
  </si>
  <si>
    <t>ЗККШ</t>
  </si>
  <si>
    <t xml:space="preserve">Посевная машина </t>
  </si>
  <si>
    <t>Т-150К</t>
  </si>
  <si>
    <t>Культура: Картофель товарный</t>
  </si>
  <si>
    <t>Буртовка органических удобрений</t>
  </si>
  <si>
    <t>т</t>
  </si>
  <si>
    <t>Погрузка орг.удобр.</t>
  </si>
  <si>
    <t>Вывозка орг.удобр.</t>
  </si>
  <si>
    <t>Закрытие влаги в 2 следа</t>
  </si>
  <si>
    <t>Разбрасывание орг. удобр.</t>
  </si>
  <si>
    <t>Заделка орг.удобр.</t>
  </si>
  <si>
    <t>Весновспашка в агрегате с кольчатым катком</t>
  </si>
  <si>
    <t>Измельчение минеральных удобрений</t>
  </si>
  <si>
    <t xml:space="preserve">Погрузка  мин. удобр. </t>
  </si>
  <si>
    <t>Транспортировка на поле</t>
  </si>
  <si>
    <t>Разбрасывание мин. удобр.</t>
  </si>
  <si>
    <t>Сортировка семенных клубней</t>
  </si>
  <si>
    <t>Погрузка  картофеля</t>
  </si>
  <si>
    <t>Перевозка картофеля</t>
  </si>
  <si>
    <t>Разгрузка картофеля на сажалку</t>
  </si>
  <si>
    <t>Посадка</t>
  </si>
  <si>
    <t>Уход за посевами</t>
  </si>
  <si>
    <t>Боронование до всходов в 2 следа</t>
  </si>
  <si>
    <t>Окучивание в 2 следа</t>
  </si>
  <si>
    <t>Подача воды</t>
  </si>
  <si>
    <t>куб. м.</t>
  </si>
  <si>
    <t>Послепосадочный полив</t>
  </si>
  <si>
    <t>Полив по всходам</t>
  </si>
  <si>
    <t>Полив перед уборкой</t>
  </si>
  <si>
    <t xml:space="preserve">Скашивание ботвы                                                                                                                                                                                                                          </t>
  </si>
  <si>
    <t>Копка картофеля</t>
  </si>
  <si>
    <t>Сбор картофеля после копателя с затариванием</t>
  </si>
  <si>
    <t>Вторичная перекопка</t>
  </si>
  <si>
    <t>Подбор за копателем после перекопки</t>
  </si>
  <si>
    <t>Погрузка картофеля</t>
  </si>
  <si>
    <t>Транспортировка в хранилище</t>
  </si>
  <si>
    <t>Взвешивание картофеля во время уборки</t>
  </si>
  <si>
    <t>Разгрузка картофеля</t>
  </si>
  <si>
    <t>Закладка семян картофеля в закрома</t>
  </si>
  <si>
    <t>Послеубопрочная обработка почвы</t>
  </si>
  <si>
    <t>Зяблевая вспашка</t>
  </si>
  <si>
    <t>Охрана</t>
  </si>
  <si>
    <t>Охрана посевов</t>
  </si>
  <si>
    <t>дн</t>
  </si>
  <si>
    <t>0,5-5,0</t>
  </si>
  <si>
    <t>Картофель</t>
  </si>
  <si>
    <t>Средства защиты растений, руб</t>
  </si>
  <si>
    <t>Затраты на 1 цн основной продукции, руб</t>
  </si>
  <si>
    <t>Затраты на 1 кг основной продукции, руб</t>
  </si>
  <si>
    <t>Урожайность цн./га.</t>
  </si>
  <si>
    <t>Урожайность продукции растениеводства, цн/га</t>
  </si>
  <si>
    <t xml:space="preserve">Коэффициент перевода нефтепродукты на кг </t>
  </si>
  <si>
    <t>Основные показатели для расчета оплаты труда</t>
  </si>
  <si>
    <t>Норма высева семян,  ц/га</t>
  </si>
  <si>
    <t>на 1 день работы</t>
  </si>
  <si>
    <t>Годовая норма амортизационных отчислений, (%)</t>
  </si>
  <si>
    <t>Годовая нормативная загрузка трактора (машины), (ч.)</t>
  </si>
  <si>
    <t>Нормы полива</t>
  </si>
  <si>
    <t>Кратность</t>
  </si>
  <si>
    <t>Объем, м3/га</t>
  </si>
  <si>
    <t>Картофель семенной (оригинальный)</t>
  </si>
  <si>
    <t>Норма полива воды</t>
  </si>
  <si>
    <t>Картофель семенной (суперэлита, элита)</t>
  </si>
  <si>
    <t>Картофель семенной (1-2 репродукции)</t>
  </si>
  <si>
    <t>Картофель ранний</t>
  </si>
  <si>
    <t>Картофель товарный</t>
  </si>
  <si>
    <t>Естественная убыль 10% (цн)</t>
  </si>
  <si>
    <t>Выход готовой продукции (цн)</t>
  </si>
  <si>
    <t>Перечень таблиц типовой (примерной) технологической карты по производству товарного картофеля</t>
  </si>
  <si>
    <t>Нормы расхода семян, удобрений</t>
  </si>
  <si>
    <t>1. Нормы расхода семян, удобрений</t>
  </si>
  <si>
    <t>2. ИСХОДНЫЕ ДАННЫЕ</t>
  </si>
  <si>
    <t>3. Расчет амортизации основных средств</t>
  </si>
  <si>
    <t>Отпускная цена смазочных материалов на 1 ц, руб.</t>
  </si>
  <si>
    <t>Виды смазочных материалов</t>
  </si>
  <si>
    <t>Цена за 1 ц</t>
  </si>
  <si>
    <t>Моторные масла (дизельное масло)</t>
  </si>
  <si>
    <t>Трансмиссионные масла (автол)</t>
  </si>
  <si>
    <t>Индустриальные масла (солидол)</t>
  </si>
  <si>
    <t xml:space="preserve">Средняя стоимость 1 литра ДТ </t>
  </si>
  <si>
    <t xml:space="preserve"> ДТЗ (зима)</t>
  </si>
  <si>
    <t xml:space="preserve"> ДТЛ (лето)</t>
  </si>
  <si>
    <t>Амгинский, Нижний Бестях, Вилюйский</t>
  </si>
  <si>
    <t>Расчет комплексной (укрупненной) цены 1 ц основного горючего (дизельного топлива) для тракторов</t>
  </si>
  <si>
    <t>ДТ-75М</t>
  </si>
  <si>
    <t>К-700, К-701</t>
  </si>
  <si>
    <t>Т-150, МТЗ-1221</t>
  </si>
  <si>
    <t>Т-150 К</t>
  </si>
  <si>
    <t>МТЗ-80, МТЗ-82</t>
  </si>
  <si>
    <t>Т-40</t>
  </si>
  <si>
    <t>Т-25</t>
  </si>
  <si>
    <t>Нормы расхода смазочных масел в расчете на 1 ц основного горючего, кг.</t>
  </si>
  <si>
    <t>Расход смазочных масел на 1 ц основного горючего, руб.</t>
  </si>
  <si>
    <t>Всего, руб.</t>
  </si>
  <si>
    <t>Комплексная (укрупненная) цена топлива на 2021 год на 1 ц, руб.</t>
  </si>
  <si>
    <t>Зима</t>
  </si>
  <si>
    <t>Лето</t>
  </si>
  <si>
    <t>Расчет примерных нормативов затрат денежных средств на техническое обслуживание, ремонт и хранение тракторов на 1 условный эталонный гектар, в рублях (2020)</t>
  </si>
  <si>
    <t>К-700, К-701, МТЗ-1221, Т-150</t>
  </si>
  <si>
    <t>Ремонт</t>
  </si>
  <si>
    <t>из них</t>
  </si>
  <si>
    <t>запчасти</t>
  </si>
  <si>
    <t>оплата труда с отчислениями</t>
  </si>
  <si>
    <t>прочие</t>
  </si>
  <si>
    <t>Техническое обслуживание</t>
  </si>
  <si>
    <t>материалы</t>
  </si>
  <si>
    <t>Замена шин</t>
  </si>
  <si>
    <t>Эталонная выработка тракторов за смену</t>
  </si>
  <si>
    <t>Эталонная выработка за 7 часовую смену, усл. эт. га.</t>
  </si>
  <si>
    <t>Гусеничные:</t>
  </si>
  <si>
    <t>ДТ-75 выпуска после 1972 г.</t>
  </si>
  <si>
    <t>Колесные:</t>
  </si>
  <si>
    <t>Т-25, Т-30</t>
  </si>
  <si>
    <t>МТЗ-80</t>
  </si>
  <si>
    <t>Донфен-304</t>
  </si>
  <si>
    <t>Синтай- 220</t>
  </si>
  <si>
    <t>Зерноуборочные комбайны</t>
  </si>
  <si>
    <t>Поправочные коэффициенты к годовой наработке в зависимости от срока службы техники</t>
  </si>
  <si>
    <t>Поправочные коэффициенты по сроку службы, год</t>
  </si>
  <si>
    <t>Срок службы, год</t>
  </si>
  <si>
    <t>Тракторы:</t>
  </si>
  <si>
    <t>К-700.</t>
  </si>
  <si>
    <t>Т-150К, МТЗ-80, МТЗ-82, МТЗ-1221.</t>
  </si>
  <si>
    <t>1Д</t>
  </si>
  <si>
    <t>Т-150К, ДТ-75 выпуска после 1972 г.</t>
  </si>
  <si>
    <t xml:space="preserve">Коэффициенты дифференцирования затрат на техническое обслуживание ремонт и хранение тракторов, комбайнов.
</t>
  </si>
  <si>
    <t>Год эксплуатации</t>
  </si>
  <si>
    <t>«Дон- 1500»</t>
  </si>
  <si>
    <t>СКД-6 «Енисей»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</si>
  <si>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</si>
  <si>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</si>
  <si>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</si>
  <si>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</si>
  <si>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</si>
  <si>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</si>
  <si>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</si>
  <si>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</si>
  <si>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</si>
  <si>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</si>
  <si>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-</t>
  </si>
  <si>
    <t>11-й</t>
  </si>
  <si>
    <t>12-й</t>
  </si>
  <si>
    <t>Размер минимальной заработной платы в РС (Я) без районного коэффициента и северной надбавки 01.01.2023</t>
  </si>
  <si>
    <t>Количество рабочих дней в году (без выходных и праздников) на 2023 год</t>
  </si>
  <si>
    <t>Отпускная цена дизельного топлива за 1 кг, руб. на 01.12.2022</t>
  </si>
  <si>
    <t>Обслуживающий персонал</t>
  </si>
  <si>
    <t>Технологическая карта по производству товарного картофеля</t>
  </si>
  <si>
    <t>Расчет себестоимости производства товарного картофеля</t>
  </si>
  <si>
    <t>4. ТЕХНОЛОГИЧЕСКАЯ КАРТА по производству товарного картофеля</t>
  </si>
  <si>
    <t>5. Расчет себестоимости производства товарного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</si>
</sst>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0.0"/>
    <numFmt numFmtId="167" formatCode="#,##0.0_ ;[Red]\-#,##0.0\ "/>
    <numFmt numFmtId="168" formatCode="#,##0_ ;\-#,##0\ "/>
    <numFmt numFmtId="169" formatCode="#,##0.000_ ;[Red]\-#,##0.000\ "/>
    <numFmt numFmtId="170" formatCode="0.000"/>
    <numFmt numFmtId="171" formatCode="#,##0.000"/>
    <numFmt numFmtId="172" formatCode="0.0%"/>
    <numFmt numFmtId="173" formatCode="#,##0.0"/>
    <numFmt numFmtId="174" formatCode="#,##0.0000_ ;[Red]\-#,##0.0000\ "/>
    <numFmt numFmtId="175" formatCode="#,##0.00_ ;\-#,##0.00\ "/>
    <numFmt numFmtId="176" formatCode="_-* #,##0.00\ _₽_-;\-* #,##0.00\ _₽_-;_-* &quot;-&quot;??\ _₽_-;_-@_-"/>
    <numFmt numFmtId="177" formatCode="_-* #,##0_р_._-;\-* #,##0_р_._-;_-* &quot;-&quot;??_р_._-;_-@_-"/>
    <numFmt numFmtId="178" formatCode="[$-419]d\ mmm;@"/>
    <numFmt numFmtId="179" formatCode="_-* #,##0.0_р_._-;\-* #,##0.0_р_._-;_-* &quot;-&quot;??_р_._-;_-@_-"/>
    <numFmt numFmtId="180" formatCode="#,##0.0_ ;\-#,##0.0\ "/>
    <numFmt numFmtId="181" formatCode="_-* #,##0\ _₽_-;\-* #,##0\ _₽_-;_-* &quot;-&quot;??\ _₽_-;_-@_-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i/>
      <sz val="10"/>
      <color rgb="FFFFFFFF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3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1" fillId="0" borderId="0"/>
    <xf numFmtId="0" fontId="2" fillId="0" borderId="0"/>
  </cellStyleXfs>
  <cellXfs count="54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165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68" fontId="7" fillId="0" borderId="1" xfId="2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vertical="center"/>
    </xf>
    <xf numFmtId="166" fontId="7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166" fontId="7" fillId="0" borderId="0" xfId="0" applyNumberFormat="1" applyFont="1" applyFill="1" applyAlignment="1" applyProtection="1">
      <alignment vertical="center"/>
      <protection locked="0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16" fontId="7" fillId="0" borderId="1" xfId="0" applyNumberFormat="1" applyFont="1" applyFill="1" applyBorder="1" applyAlignment="1" applyProtection="1">
      <alignment vertical="center"/>
    </xf>
    <xf numFmtId="16" fontId="7" fillId="0" borderId="1" xfId="0" applyNumberFormat="1" applyFont="1" applyFill="1" applyBorder="1" applyAlignment="1" applyProtection="1">
      <alignment vertical="center"/>
      <protection locked="0"/>
    </xf>
    <xf numFmtId="173" fontId="7" fillId="0" borderId="1" xfId="0" applyNumberFormat="1" applyFont="1" applyFill="1" applyBorder="1" applyAlignment="1" applyProtection="1">
      <alignment vertical="center"/>
    </xf>
    <xf numFmtId="168" fontId="7" fillId="0" borderId="1" xfId="2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16" fillId="0" borderId="1" xfId="0" applyFont="1" applyBorder="1"/>
    <xf numFmtId="3" fontId="16" fillId="0" borderId="1" xfId="0" applyNumberFormat="1" applyFont="1" applyBorder="1" applyAlignment="1">
      <alignment horizontal="center"/>
    </xf>
    <xf numFmtId="0" fontId="16" fillId="0" borderId="0" xfId="0" applyFont="1"/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5" fontId="16" fillId="0" borderId="0" xfId="0" applyNumberFormat="1" applyFont="1" applyFill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indent="2"/>
    </xf>
    <xf numFmtId="0" fontId="16" fillId="0" borderId="1" xfId="0" applyFont="1" applyFill="1" applyBorder="1" applyAlignment="1">
      <alignment horizontal="left" indent="2"/>
    </xf>
    <xf numFmtId="0" fontId="16" fillId="0" borderId="1" xfId="0" applyFont="1" applyFill="1" applyBorder="1" applyAlignment="1" applyProtection="1">
      <alignment horizontal="left" vertical="center" wrapText="1" indent="2"/>
      <protection locked="0"/>
    </xf>
    <xf numFmtId="173" fontId="5" fillId="0" borderId="1" xfId="0" applyNumberFormat="1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vertical="center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165" fontId="9" fillId="0" borderId="0" xfId="0" applyNumberFormat="1" applyFont="1" applyFill="1" applyAlignment="1" applyProtection="1">
      <alignment vertical="center"/>
      <protection locked="0"/>
    </xf>
    <xf numFmtId="166" fontId="7" fillId="0" borderId="0" xfId="0" applyNumberFormat="1" applyFont="1" applyFill="1" applyAlignment="1" applyProtection="1">
      <alignment horizontal="right" vertical="center"/>
      <protection locked="0"/>
    </xf>
    <xf numFmtId="2" fontId="5" fillId="0" borderId="0" xfId="0" applyNumberFormat="1" applyFont="1" applyFill="1" applyAlignment="1" applyProtection="1">
      <alignment vertical="center"/>
      <protection locked="0"/>
    </xf>
    <xf numFmtId="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indent="2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top" wrapText="1"/>
    </xf>
    <xf numFmtId="170" fontId="13" fillId="0" borderId="1" xfId="0" applyNumberFormat="1" applyFont="1" applyBorder="1" applyAlignment="1">
      <alignment vertical="center" wrapText="1"/>
    </xf>
    <xf numFmtId="16" fontId="7" fillId="0" borderId="1" xfId="0" applyNumberFormat="1" applyFont="1" applyFill="1" applyBorder="1" applyAlignment="1" applyProtection="1">
      <alignment horizontal="center" vertical="center"/>
    </xf>
    <xf numFmtId="168" fontId="7" fillId="5" borderId="1" xfId="2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16" fillId="6" borderId="1" xfId="0" applyNumberFormat="1" applyFont="1" applyFill="1" applyBorder="1" applyAlignment="1">
      <alignment horizontal="center"/>
    </xf>
    <xf numFmtId="173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/>
    <xf numFmtId="0" fontId="16" fillId="6" borderId="0" xfId="0" applyFont="1" applyFill="1"/>
    <xf numFmtId="0" fontId="18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vertical="center"/>
      <protection locked="0"/>
    </xf>
    <xf numFmtId="2" fontId="7" fillId="3" borderId="1" xfId="0" applyNumberFormat="1" applyFont="1" applyFill="1" applyBorder="1" applyAlignment="1" applyProtection="1">
      <alignment vertical="center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174" fontId="7" fillId="6" borderId="1" xfId="0" applyNumberFormat="1" applyFont="1" applyFill="1" applyBorder="1" applyAlignment="1" applyProtection="1">
      <alignment vertical="center"/>
    </xf>
    <xf numFmtId="0" fontId="24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right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left" vertical="center" wrapText="1"/>
    </xf>
    <xf numFmtId="2" fontId="17" fillId="8" borderId="1" xfId="0" applyNumberFormat="1" applyFont="1" applyFill="1" applyBorder="1" applyAlignment="1">
      <alignment horizontal="center" vertical="center" wrapText="1"/>
    </xf>
    <xf numFmtId="2" fontId="7" fillId="9" borderId="0" xfId="0" applyNumberFormat="1" applyFont="1" applyFill="1" applyAlignment="1" applyProtection="1">
      <alignment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vertical="center"/>
      <protection locked="0"/>
    </xf>
    <xf numFmtId="16" fontId="7" fillId="6" borderId="1" xfId="0" applyNumberFormat="1" applyFont="1" applyFill="1" applyBorder="1" applyAlignment="1" applyProtection="1">
      <alignment horizontal="center" vertical="center"/>
    </xf>
    <xf numFmtId="16" fontId="7" fillId="6" borderId="1" xfId="0" applyNumberFormat="1" applyFont="1" applyFill="1" applyBorder="1" applyAlignment="1" applyProtection="1">
      <alignment horizontal="center" vertical="center"/>
      <protection locked="0"/>
    </xf>
    <xf numFmtId="16" fontId="7" fillId="6" borderId="1" xfId="0" applyNumberFormat="1" applyFont="1" applyFill="1" applyBorder="1" applyAlignment="1" applyProtection="1">
      <alignment vertical="center"/>
    </xf>
    <xf numFmtId="1" fontId="7" fillId="6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vertical="center"/>
    </xf>
    <xf numFmtId="3" fontId="16" fillId="9" borderId="1" xfId="0" applyNumberFormat="1" applyFont="1" applyFill="1" applyBorder="1" applyAlignment="1">
      <alignment horizontal="center"/>
    </xf>
    <xf numFmtId="0" fontId="5" fillId="6" borderId="0" xfId="0" applyFont="1" applyFill="1" applyAlignment="1" applyProtection="1">
      <alignment horizontal="left" vertical="center"/>
      <protection locked="0"/>
    </xf>
    <xf numFmtId="16" fontId="7" fillId="6" borderId="1" xfId="0" applyNumberFormat="1" applyFont="1" applyFill="1" applyBorder="1" applyAlignment="1" applyProtection="1">
      <alignment vertical="center"/>
      <protection locked="0"/>
    </xf>
    <xf numFmtId="173" fontId="7" fillId="6" borderId="1" xfId="0" applyNumberFormat="1" applyFont="1" applyFill="1" applyBorder="1" applyAlignment="1" applyProtection="1">
      <alignment vertical="center"/>
    </xf>
    <xf numFmtId="168" fontId="7" fillId="0" borderId="1" xfId="3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68" fontId="3" fillId="0" borderId="1" xfId="3" applyNumberFormat="1" applyFont="1" applyFill="1" applyBorder="1" applyAlignment="1" applyProtection="1">
      <alignment vertical="center"/>
      <protection locked="0"/>
    </xf>
    <xf numFmtId="164" fontId="7" fillId="9" borderId="1" xfId="0" applyNumberFormat="1" applyFont="1" applyFill="1" applyBorder="1" applyAlignment="1" applyProtection="1">
      <alignment vertical="center"/>
    </xf>
    <xf numFmtId="164" fontId="7" fillId="9" borderId="1" xfId="0" applyNumberFormat="1" applyFont="1" applyFill="1" applyBorder="1" applyAlignment="1" applyProtection="1">
      <alignment vertical="center"/>
      <protection locked="0"/>
    </xf>
    <xf numFmtId="173" fontId="7" fillId="6" borderId="1" xfId="0" applyNumberFormat="1" applyFont="1" applyFill="1" applyBorder="1" applyAlignment="1" applyProtection="1">
      <alignment horizontal="center" vertical="center"/>
    </xf>
    <xf numFmtId="168" fontId="7" fillId="0" borderId="1" xfId="3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29" fillId="0" borderId="0" xfId="5"/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8" fillId="9" borderId="0" xfId="0" applyFont="1" applyFill="1" applyAlignment="1">
      <alignment horizontal="left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center" wrapText="1"/>
    </xf>
    <xf numFmtId="165" fontId="7" fillId="9" borderId="0" xfId="0" applyNumberFormat="1" applyFont="1" applyFill="1" applyAlignment="1">
      <alignment vertical="center"/>
    </xf>
    <xf numFmtId="173" fontId="7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 wrapText="1"/>
    </xf>
    <xf numFmtId="168" fontId="7" fillId="9" borderId="1" xfId="2" applyNumberFormat="1" applyFont="1" applyFill="1" applyBorder="1" applyAlignment="1">
      <alignment vertical="center" wrapText="1"/>
    </xf>
    <xf numFmtId="168" fontId="7" fillId="9" borderId="1" xfId="2" applyNumberFormat="1" applyFont="1" applyFill="1" applyBorder="1" applyAlignment="1">
      <alignment vertical="center"/>
    </xf>
    <xf numFmtId="165" fontId="7" fillId="9" borderId="1" xfId="2" applyNumberFormat="1" applyFont="1" applyFill="1" applyBorder="1" applyAlignment="1">
      <alignment vertical="center"/>
    </xf>
    <xf numFmtId="173" fontId="7" fillId="9" borderId="1" xfId="2" applyNumberFormat="1" applyFont="1" applyFill="1" applyBorder="1" applyAlignment="1">
      <alignment horizontal="center" vertical="center"/>
    </xf>
    <xf numFmtId="175" fontId="7" fillId="9" borderId="1" xfId="2" applyNumberFormat="1" applyFont="1" applyFill="1" applyBorder="1" applyAlignment="1">
      <alignment vertical="center"/>
    </xf>
    <xf numFmtId="176" fontId="7" fillId="9" borderId="0" xfId="0" applyNumberFormat="1" applyFont="1" applyFill="1" applyAlignment="1">
      <alignment vertical="center"/>
    </xf>
    <xf numFmtId="168" fontId="7" fillId="0" borderId="1" xfId="2" applyNumberFormat="1" applyFont="1" applyFill="1" applyBorder="1" applyAlignment="1">
      <alignment horizontal="left" vertical="center" wrapText="1"/>
    </xf>
    <xf numFmtId="168" fontId="7" fillId="0" borderId="1" xfId="2" applyNumberFormat="1" applyFont="1" applyFill="1" applyBorder="1" applyAlignment="1">
      <alignment horizontal="left" vertical="center"/>
    </xf>
    <xf numFmtId="43" fontId="7" fillId="9" borderId="1" xfId="2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vertical="center" wrapText="1"/>
      <protection locked="0"/>
    </xf>
    <xf numFmtId="173" fontId="7" fillId="9" borderId="1" xfId="0" applyNumberFormat="1" applyFont="1" applyFill="1" applyBorder="1" applyAlignment="1" applyProtection="1">
      <alignment vertical="center" wrapText="1"/>
      <protection locked="0"/>
    </xf>
    <xf numFmtId="168" fontId="7" fillId="9" borderId="1" xfId="2" applyNumberFormat="1" applyFont="1" applyFill="1" applyBorder="1" applyAlignment="1" applyProtection="1">
      <alignment vertical="center" wrapText="1"/>
      <protection locked="0"/>
    </xf>
    <xf numFmtId="168" fontId="7" fillId="9" borderId="1" xfId="2" applyNumberFormat="1" applyFont="1" applyFill="1" applyBorder="1" applyAlignment="1" applyProtection="1">
      <alignment vertical="center"/>
      <protection locked="0"/>
    </xf>
    <xf numFmtId="43" fontId="7" fillId="0" borderId="1" xfId="2" applyFont="1" applyBorder="1" applyAlignment="1">
      <alignment horizontal="center" vertical="center" wrapText="1"/>
    </xf>
    <xf numFmtId="165" fontId="7" fillId="9" borderId="0" xfId="0" applyNumberFormat="1" applyFont="1" applyFill="1" applyBorder="1" applyAlignment="1">
      <alignment vertical="center"/>
    </xf>
    <xf numFmtId="173" fontId="7" fillId="9" borderId="0" xfId="0" applyNumberFormat="1" applyFont="1" applyFill="1" applyBorder="1" applyAlignment="1">
      <alignment vertical="center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6" fillId="9" borderId="0" xfId="0" applyFont="1" applyFill="1" applyAlignment="1" applyProtection="1">
      <alignment vertical="center"/>
      <protection locked="0"/>
    </xf>
    <xf numFmtId="0" fontId="6" fillId="9" borderId="0" xfId="0" applyFont="1" applyFill="1" applyAlignment="1" applyProtection="1">
      <alignment vertical="center" wrapText="1"/>
      <protection locked="0"/>
    </xf>
    <xf numFmtId="0" fontId="6" fillId="9" borderId="0" xfId="0" applyFont="1" applyFill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vertical="center"/>
      <protection locked="0"/>
    </xf>
    <xf numFmtId="164" fontId="6" fillId="9" borderId="0" xfId="0" applyNumberFormat="1" applyFont="1" applyFill="1" applyAlignment="1" applyProtection="1">
      <alignment vertical="center"/>
      <protection locked="0"/>
    </xf>
    <xf numFmtId="164" fontId="6" fillId="9" borderId="0" xfId="0" applyNumberFormat="1" applyFont="1" applyFill="1" applyAlignment="1" applyProtection="1">
      <alignment horizontal="center" vertical="center"/>
      <protection locked="0"/>
    </xf>
    <xf numFmtId="165" fontId="6" fillId="9" borderId="0" xfId="0" applyNumberFormat="1" applyFont="1" applyFill="1" applyAlignment="1" applyProtection="1">
      <alignment vertical="center"/>
      <protection locked="0"/>
    </xf>
    <xf numFmtId="0" fontId="5" fillId="9" borderId="0" xfId="0" applyFont="1" applyFill="1" applyAlignment="1" applyProtection="1">
      <alignment horizontal="left" vertical="center"/>
      <protection locked="0"/>
    </xf>
    <xf numFmtId="0" fontId="5" fillId="9" borderId="0" xfId="0" applyFont="1" applyFill="1" applyAlignment="1" applyProtection="1">
      <alignment horizontal="center" vertical="center"/>
      <protection locked="0"/>
    </xf>
    <xf numFmtId="164" fontId="5" fillId="9" borderId="0" xfId="0" applyNumberFormat="1" applyFont="1" applyFill="1" applyAlignment="1" applyProtection="1">
      <alignment vertical="center"/>
      <protection locked="0"/>
    </xf>
    <xf numFmtId="165" fontId="5" fillId="9" borderId="0" xfId="0" applyNumberFormat="1" applyFont="1" applyFill="1" applyAlignment="1" applyProtection="1">
      <alignment vertical="center"/>
      <protection locked="0"/>
    </xf>
    <xf numFmtId="0" fontId="7" fillId="9" borderId="0" xfId="0" applyFont="1" applyFill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vertical="center"/>
      <protection locked="0"/>
    </xf>
    <xf numFmtId="0" fontId="7" fillId="9" borderId="0" xfId="0" applyFont="1" applyFill="1" applyAlignment="1" applyProtection="1">
      <alignment vertical="center" wrapText="1"/>
      <protection locked="0"/>
    </xf>
    <xf numFmtId="0" fontId="7" fillId="9" borderId="0" xfId="0" applyFont="1" applyFill="1" applyAlignment="1" applyProtection="1">
      <alignment horizontal="center" vertical="center" wrapText="1"/>
      <protection locked="0"/>
    </xf>
    <xf numFmtId="164" fontId="7" fillId="9" borderId="0" xfId="0" applyNumberFormat="1" applyFont="1" applyFill="1" applyAlignment="1" applyProtection="1">
      <alignment vertical="center"/>
      <protection locked="0"/>
    </xf>
    <xf numFmtId="165" fontId="7" fillId="9" borderId="0" xfId="0" applyNumberFormat="1" applyFont="1" applyFill="1" applyAlignment="1" applyProtection="1">
      <alignment vertical="center"/>
      <protection locked="0"/>
    </xf>
    <xf numFmtId="177" fontId="6" fillId="9" borderId="1" xfId="2" applyNumberFormat="1" applyFont="1" applyFill="1" applyBorder="1" applyAlignment="1" applyProtection="1">
      <alignment vertical="center"/>
      <protection locked="0"/>
    </xf>
    <xf numFmtId="3" fontId="7" fillId="9" borderId="1" xfId="0" applyNumberFormat="1" applyFont="1" applyFill="1" applyBorder="1" applyAlignment="1" applyProtection="1">
      <alignment vertical="center"/>
    </xf>
    <xf numFmtId="0" fontId="7" fillId="9" borderId="1" xfId="0" applyFont="1" applyFill="1" applyBorder="1" applyAlignment="1" applyProtection="1">
      <alignment vertical="center"/>
      <protection locked="0"/>
    </xf>
    <xf numFmtId="164" fontId="7" fillId="9" borderId="1" xfId="0" applyNumberFormat="1" applyFont="1" applyFill="1" applyBorder="1" applyAlignment="1" applyProtection="1">
      <alignment horizontal="right" vertical="center"/>
    </xf>
    <xf numFmtId="178" fontId="7" fillId="9" borderId="1" xfId="0" applyNumberFormat="1" applyFont="1" applyFill="1" applyBorder="1" applyAlignment="1" applyProtection="1">
      <alignment horizontal="center" vertical="center"/>
    </xf>
    <xf numFmtId="173" fontId="7" fillId="9" borderId="1" xfId="0" applyNumberFormat="1" applyFont="1" applyFill="1" applyBorder="1" applyAlignment="1" applyProtection="1">
      <alignment horizontal="right" vertical="center"/>
    </xf>
    <xf numFmtId="4" fontId="7" fillId="9" borderId="1" xfId="0" applyNumberFormat="1" applyFont="1" applyFill="1" applyBorder="1" applyAlignment="1" applyProtection="1">
      <alignment horizontal="right" vertical="center"/>
      <protection locked="0"/>
    </xf>
    <xf numFmtId="177" fontId="7" fillId="9" borderId="1" xfId="2" applyNumberFormat="1" applyFont="1" applyFill="1" applyBorder="1" applyAlignment="1" applyProtection="1">
      <alignment horizontal="right" vertical="center"/>
    </xf>
    <xf numFmtId="177" fontId="7" fillId="9" borderId="1" xfId="2" applyNumberFormat="1" applyFont="1" applyFill="1" applyBorder="1" applyAlignment="1" applyProtection="1">
      <alignment horizontal="right" vertical="center"/>
      <protection locked="0"/>
    </xf>
    <xf numFmtId="177" fontId="7" fillId="9" borderId="1" xfId="2" applyNumberFormat="1" applyFont="1" applyFill="1" applyBorder="1" applyAlignment="1" applyProtection="1">
      <alignment vertical="center"/>
    </xf>
    <xf numFmtId="177" fontId="7" fillId="9" borderId="1" xfId="2" applyNumberFormat="1" applyFont="1" applyFill="1" applyBorder="1" applyAlignment="1" applyProtection="1">
      <alignment horizontal="right" vertical="center" wrapText="1"/>
    </xf>
    <xf numFmtId="177" fontId="7" fillId="9" borderId="1" xfId="2" applyNumberFormat="1" applyFont="1" applyFill="1" applyBorder="1" applyAlignment="1" applyProtection="1">
      <alignment horizontal="right" vertical="center" wrapText="1"/>
      <protection locked="0"/>
    </xf>
    <xf numFmtId="43" fontId="7" fillId="9" borderId="1" xfId="2" applyNumberFormat="1" applyFont="1" applyFill="1" applyBorder="1" applyAlignment="1" applyProtection="1">
      <alignment horizontal="right" vertical="center"/>
      <protection locked="0"/>
    </xf>
    <xf numFmtId="43" fontId="7" fillId="9" borderId="1" xfId="2" applyNumberFormat="1" applyFont="1" applyFill="1" applyBorder="1" applyAlignment="1" applyProtection="1">
      <alignment horizontal="right" vertical="center"/>
    </xf>
    <xf numFmtId="177" fontId="7" fillId="9" borderId="1" xfId="2" applyNumberFormat="1" applyFont="1" applyFill="1" applyBorder="1" applyAlignment="1">
      <alignment horizontal="right"/>
    </xf>
    <xf numFmtId="0" fontId="7" fillId="9" borderId="1" xfId="0" applyFont="1" applyFill="1" applyBorder="1" applyAlignment="1" applyProtection="1">
      <alignment horizontal="right" vertical="center"/>
    </xf>
    <xf numFmtId="178" fontId="7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7" fillId="9" borderId="1" xfId="0" applyFont="1" applyFill="1" applyBorder="1" applyAlignment="1" applyProtection="1">
      <alignment vertical="center"/>
    </xf>
    <xf numFmtId="177" fontId="6" fillId="9" borderId="1" xfId="2" applyNumberFormat="1" applyFont="1" applyFill="1" applyBorder="1" applyAlignment="1" applyProtection="1">
      <alignment horizontal="right" vertical="center"/>
    </xf>
    <xf numFmtId="177" fontId="6" fillId="9" borderId="1" xfId="2" applyNumberFormat="1" applyFont="1" applyFill="1" applyBorder="1" applyAlignment="1" applyProtection="1">
      <alignment horizontal="right" vertical="center"/>
      <protection locked="0"/>
    </xf>
    <xf numFmtId="3" fontId="7" fillId="9" borderId="0" xfId="0" applyNumberFormat="1" applyFont="1" applyFill="1" applyAlignment="1" applyProtection="1">
      <alignment vertical="center"/>
      <protection locked="0"/>
    </xf>
    <xf numFmtId="164" fontId="7" fillId="9" borderId="0" xfId="0" applyNumberFormat="1" applyFont="1" applyFill="1" applyAlignment="1" applyProtection="1">
      <alignment horizontal="center" vertical="center"/>
      <protection locked="0"/>
    </xf>
    <xf numFmtId="179" fontId="7" fillId="9" borderId="1" xfId="2" applyNumberFormat="1" applyFont="1" applyFill="1" applyBorder="1" applyAlignment="1" applyProtection="1">
      <alignment horizontal="right" vertical="center"/>
    </xf>
    <xf numFmtId="177" fontId="7" fillId="6" borderId="1" xfId="2" applyNumberFormat="1" applyFont="1" applyFill="1" applyBorder="1" applyAlignment="1" applyProtection="1">
      <alignment horizontal="right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vertical="center" wrapText="1"/>
      <protection locked="0"/>
    </xf>
    <xf numFmtId="0" fontId="7" fillId="7" borderId="1" xfId="0" applyFont="1" applyFill="1" applyBorder="1" applyAlignment="1" applyProtection="1">
      <alignment vertical="center"/>
    </xf>
    <xf numFmtId="0" fontId="7" fillId="7" borderId="1" xfId="0" applyFont="1" applyFill="1" applyBorder="1" applyAlignment="1" applyProtection="1">
      <alignment vertical="center"/>
      <protection locked="0"/>
    </xf>
    <xf numFmtId="168" fontId="7" fillId="7" borderId="1" xfId="2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right" vertical="center"/>
    </xf>
    <xf numFmtId="178" fontId="7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right" vertical="center"/>
    </xf>
    <xf numFmtId="179" fontId="6" fillId="7" borderId="1" xfId="2" applyNumberFormat="1" applyFont="1" applyFill="1" applyBorder="1" applyAlignment="1" applyProtection="1">
      <alignment horizontal="right" vertical="center"/>
    </xf>
    <xf numFmtId="177" fontId="6" fillId="7" borderId="1" xfId="2" applyNumberFormat="1" applyFont="1" applyFill="1" applyBorder="1" applyAlignment="1" applyProtection="1">
      <alignment horizontal="right" vertical="center"/>
    </xf>
    <xf numFmtId="43" fontId="6" fillId="7" borderId="1" xfId="2" applyNumberFormat="1" applyFont="1" applyFill="1" applyBorder="1" applyAlignment="1" applyProtection="1">
      <alignment horizontal="right" vertical="center"/>
    </xf>
    <xf numFmtId="0" fontId="7" fillId="7" borderId="0" xfId="0" applyFont="1" applyFill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right" vertical="center"/>
      <protection locked="0"/>
    </xf>
    <xf numFmtId="178" fontId="6" fillId="7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 applyProtection="1">
      <alignment horizontal="right" vertical="center"/>
      <protection locked="0"/>
    </xf>
    <xf numFmtId="177" fontId="6" fillId="7" borderId="1" xfId="2" applyNumberFormat="1" applyFont="1" applyFill="1" applyBorder="1" applyAlignment="1" applyProtection="1">
      <alignment horizontal="right" vertical="center"/>
      <protection locked="0"/>
    </xf>
    <xf numFmtId="43" fontId="6" fillId="7" borderId="1" xfId="2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178" fontId="7" fillId="7" borderId="1" xfId="0" applyNumberFormat="1" applyFont="1" applyFill="1" applyBorder="1" applyAlignment="1" applyProtection="1">
      <alignment horizontal="right" vertical="center"/>
    </xf>
    <xf numFmtId="177" fontId="7" fillId="7" borderId="1" xfId="2" applyNumberFormat="1" applyFont="1" applyFill="1" applyBorder="1" applyAlignment="1" applyProtection="1">
      <alignment horizontal="right" vertical="center" wrapText="1"/>
    </xf>
    <xf numFmtId="178" fontId="6" fillId="7" borderId="1" xfId="0" applyNumberFormat="1" applyFont="1" applyFill="1" applyBorder="1" applyAlignment="1" applyProtection="1">
      <alignment horizontal="right" vertical="center"/>
      <protection locked="0"/>
    </xf>
    <xf numFmtId="0" fontId="6" fillId="10" borderId="1" xfId="0" applyFont="1" applyFill="1" applyBorder="1" applyAlignment="1" applyProtection="1">
      <alignment vertical="center"/>
      <protection locked="0"/>
    </xf>
    <xf numFmtId="177" fontId="6" fillId="10" borderId="1" xfId="2" applyNumberFormat="1" applyFont="1" applyFill="1" applyBorder="1" applyAlignment="1" applyProtection="1">
      <alignment vertical="center"/>
      <protection locked="0"/>
    </xf>
    <xf numFmtId="177" fontId="6" fillId="10" borderId="1" xfId="2" applyNumberFormat="1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Alignment="1" applyProtection="1">
      <alignment vertical="center"/>
      <protection locked="0"/>
    </xf>
    <xf numFmtId="0" fontId="6" fillId="10" borderId="1" xfId="0" applyFont="1" applyFill="1" applyBorder="1" applyAlignment="1" applyProtection="1">
      <alignment horizontal="right" vertical="center"/>
      <protection locked="0"/>
    </xf>
    <xf numFmtId="178" fontId="6" fillId="10" borderId="1" xfId="0" applyNumberFormat="1" applyFont="1" applyFill="1" applyBorder="1" applyAlignment="1" applyProtection="1">
      <alignment horizontal="center" vertical="center"/>
      <protection locked="0"/>
    </xf>
    <xf numFmtId="177" fontId="6" fillId="10" borderId="1" xfId="2" applyNumberFormat="1" applyFont="1" applyFill="1" applyBorder="1" applyAlignment="1" applyProtection="1">
      <alignment horizontal="right" vertical="center"/>
    </xf>
    <xf numFmtId="177" fontId="6" fillId="10" borderId="1" xfId="2" applyNumberFormat="1" applyFont="1" applyFill="1" applyBorder="1" applyAlignment="1" applyProtection="1">
      <alignment horizontal="right" vertical="center"/>
      <protection locked="0"/>
    </xf>
    <xf numFmtId="177" fontId="7" fillId="10" borderId="1" xfId="2" applyNumberFormat="1" applyFont="1" applyFill="1" applyBorder="1" applyAlignment="1" applyProtection="1">
      <alignment vertical="center"/>
    </xf>
    <xf numFmtId="177" fontId="7" fillId="10" borderId="1" xfId="2" applyNumberFormat="1" applyFont="1" applyFill="1" applyBorder="1" applyAlignment="1" applyProtection="1">
      <alignment horizontal="right" vertical="center" wrapText="1"/>
    </xf>
    <xf numFmtId="43" fontId="6" fillId="10" borderId="1" xfId="2" applyNumberFormat="1" applyFont="1" applyFill="1" applyBorder="1" applyAlignment="1" applyProtection="1">
      <alignment horizontal="right" vertical="center"/>
      <protection locked="0"/>
    </xf>
    <xf numFmtId="43" fontId="6" fillId="10" borderId="1" xfId="2" applyNumberFormat="1" applyFont="1" applyFill="1" applyBorder="1" applyAlignment="1" applyProtection="1">
      <alignment horizontal="right" vertical="center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right" vertical="center"/>
    </xf>
    <xf numFmtId="178" fontId="7" fillId="10" borderId="1" xfId="0" applyNumberFormat="1" applyFont="1" applyFill="1" applyBorder="1" applyAlignment="1" applyProtection="1">
      <alignment horizontal="center" vertical="center"/>
    </xf>
    <xf numFmtId="4" fontId="7" fillId="10" borderId="1" xfId="0" applyNumberFormat="1" applyFont="1" applyFill="1" applyBorder="1" applyAlignment="1" applyProtection="1">
      <alignment horizontal="right" vertical="center"/>
      <protection locked="0"/>
    </xf>
    <xf numFmtId="177" fontId="7" fillId="10" borderId="1" xfId="2" applyNumberFormat="1" applyFont="1" applyFill="1" applyBorder="1" applyAlignment="1" applyProtection="1">
      <alignment horizontal="right" vertical="center"/>
    </xf>
    <xf numFmtId="177" fontId="7" fillId="10" borderId="1" xfId="2" applyNumberFormat="1" applyFont="1" applyFill="1" applyBorder="1" applyAlignment="1" applyProtection="1">
      <alignment horizontal="right" vertical="center"/>
      <protection locked="0"/>
    </xf>
    <xf numFmtId="43" fontId="7" fillId="10" borderId="1" xfId="2" applyNumberFormat="1" applyFont="1" applyFill="1" applyBorder="1" applyAlignment="1" applyProtection="1">
      <alignment horizontal="right" vertical="center"/>
      <protection locked="0"/>
    </xf>
    <xf numFmtId="43" fontId="7" fillId="10" borderId="1" xfId="2" applyNumberFormat="1" applyFont="1" applyFill="1" applyBorder="1" applyAlignment="1" applyProtection="1">
      <alignment horizontal="right" vertical="center"/>
    </xf>
    <xf numFmtId="0" fontId="7" fillId="10" borderId="0" xfId="0" applyFont="1" applyFill="1" applyAlignment="1" applyProtection="1">
      <alignment vertical="center"/>
      <protection locked="0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/>
    <xf numFmtId="0" fontId="16" fillId="9" borderId="1" xfId="0" applyFont="1" applyFill="1" applyBorder="1"/>
    <xf numFmtId="0" fontId="16" fillId="9" borderId="1" xfId="0" applyFont="1" applyFill="1" applyBorder="1" applyAlignment="1">
      <alignment horizontal="left" indent="2"/>
    </xf>
    <xf numFmtId="0" fontId="16" fillId="9" borderId="1" xfId="0" applyFont="1" applyFill="1" applyBorder="1" applyAlignment="1" applyProtection="1">
      <alignment horizontal="left" vertical="center" wrapText="1" indent="2"/>
      <protection locked="0"/>
    </xf>
    <xf numFmtId="164" fontId="5" fillId="9" borderId="0" xfId="0" applyNumberFormat="1" applyFont="1" applyFill="1" applyAlignment="1" applyProtection="1">
      <alignment horizontal="center" vertical="center"/>
      <protection locked="0"/>
    </xf>
    <xf numFmtId="43" fontId="5" fillId="9" borderId="0" xfId="2" applyFont="1" applyFill="1" applyAlignment="1" applyProtection="1">
      <alignment horizontal="center" vertical="center"/>
      <protection locked="0"/>
    </xf>
    <xf numFmtId="166" fontId="7" fillId="9" borderId="0" xfId="0" applyNumberFormat="1" applyFont="1" applyFill="1" applyAlignment="1" applyProtection="1">
      <alignment vertical="center"/>
      <protection locked="0"/>
    </xf>
    <xf numFmtId="0" fontId="16" fillId="9" borderId="0" xfId="0" applyFont="1" applyFill="1" applyAlignment="1" applyProtection="1">
      <alignment horizontal="left" vertical="center"/>
      <protection locked="0"/>
    </xf>
    <xf numFmtId="0" fontId="16" fillId="9" borderId="0" xfId="0" applyFont="1" applyFill="1" applyAlignment="1" applyProtection="1">
      <alignment vertical="center"/>
      <protection locked="0"/>
    </xf>
    <xf numFmtId="0" fontId="16" fillId="9" borderId="0" xfId="0" applyFont="1" applyFill="1" applyAlignment="1" applyProtection="1">
      <alignment horizontal="center" vertical="center"/>
      <protection locked="0"/>
    </xf>
    <xf numFmtId="164" fontId="16" fillId="9" borderId="0" xfId="0" applyNumberFormat="1" applyFont="1" applyFill="1" applyAlignment="1" applyProtection="1">
      <alignment vertical="center"/>
      <protection locked="0"/>
    </xf>
    <xf numFmtId="165" fontId="16" fillId="9" borderId="0" xfId="0" applyNumberFormat="1" applyFont="1" applyFill="1" applyAlignment="1" applyProtection="1">
      <alignment vertical="center"/>
      <protection locked="0"/>
    </xf>
    <xf numFmtId="0" fontId="16" fillId="9" borderId="3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/>
    </xf>
    <xf numFmtId="173" fontId="5" fillId="9" borderId="1" xfId="0" applyNumberFormat="1" applyFont="1" applyFill="1" applyBorder="1" applyAlignment="1">
      <alignment horizontal="center"/>
    </xf>
    <xf numFmtId="0" fontId="5" fillId="9" borderId="0" xfId="0" applyFont="1" applyFill="1"/>
    <xf numFmtId="0" fontId="16" fillId="9" borderId="0" xfId="0" applyFont="1" applyFill="1"/>
    <xf numFmtId="173" fontId="16" fillId="9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vertical="center"/>
    </xf>
    <xf numFmtId="171" fontId="16" fillId="11" borderId="1" xfId="0" applyNumberFormat="1" applyFont="1" applyFill="1" applyBorder="1" applyAlignment="1">
      <alignment horizontal="center" vertical="center"/>
    </xf>
    <xf numFmtId="3" fontId="16" fillId="11" borderId="1" xfId="0" applyNumberFormat="1" applyFont="1" applyFill="1" applyBorder="1" applyAlignment="1">
      <alignment horizontal="center" vertical="center"/>
    </xf>
    <xf numFmtId="0" fontId="16" fillId="9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center" vertical="center"/>
    </xf>
    <xf numFmtId="166" fontId="13" fillId="0" borderId="0" xfId="4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justify" vertical="top" wrapText="1"/>
    </xf>
    <xf numFmtId="0" fontId="13" fillId="0" borderId="0" xfId="7" applyFont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31" fillId="0" borderId="0" xfId="0" applyFont="1"/>
    <xf numFmtId="0" fontId="3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13" fillId="0" borderId="12" xfId="0" applyFont="1" applyBorder="1" applyAlignme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173" fontId="33" fillId="9" borderId="1" xfId="2" applyNumberFormat="1" applyFont="1" applyFill="1" applyBorder="1" applyAlignment="1">
      <alignment horizontal="center" vertical="center"/>
    </xf>
    <xf numFmtId="168" fontId="7" fillId="0" borderId="1" xfId="2" applyNumberFormat="1" applyFont="1" applyFill="1" applyBorder="1" applyAlignment="1">
      <alignment vertical="center"/>
    </xf>
    <xf numFmtId="180" fontId="7" fillId="9" borderId="1" xfId="2" applyNumberFormat="1" applyFont="1" applyFill="1" applyBorder="1" applyAlignment="1">
      <alignment vertical="center"/>
    </xf>
    <xf numFmtId="168" fontId="33" fillId="9" borderId="1" xfId="2" applyNumberFormat="1" applyFont="1" applyFill="1" applyBorder="1" applyAlignment="1">
      <alignment vertical="center"/>
    </xf>
    <xf numFmtId="165" fontId="33" fillId="9" borderId="1" xfId="2" applyNumberFormat="1" applyFont="1" applyFill="1" applyBorder="1" applyAlignment="1">
      <alignment vertical="center"/>
    </xf>
    <xf numFmtId="168" fontId="33" fillId="0" borderId="1" xfId="2" applyNumberFormat="1" applyFont="1" applyFill="1" applyBorder="1" applyAlignment="1">
      <alignment vertical="center"/>
    </xf>
    <xf numFmtId="164" fontId="33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8" fontId="7" fillId="4" borderId="1" xfId="2" applyNumberFormat="1" applyFont="1" applyFill="1" applyBorder="1" applyAlignment="1">
      <alignment vertical="center"/>
    </xf>
    <xf numFmtId="179" fontId="7" fillId="9" borderId="1" xfId="2" applyNumberFormat="1" applyFont="1" applyFill="1" applyBorder="1" applyAlignment="1" applyProtection="1">
      <alignment horizontal="right" vertical="center"/>
      <protection locked="0"/>
    </xf>
    <xf numFmtId="4" fontId="7" fillId="6" borderId="1" xfId="0" applyNumberFormat="1" applyFont="1" applyFill="1" applyBorder="1" applyAlignment="1" applyProtection="1">
      <alignment horizontal="right" vertical="center"/>
      <protection locked="0"/>
    </xf>
    <xf numFmtId="177" fontId="7" fillId="9" borderId="0" xfId="0" applyNumberFormat="1" applyFont="1" applyFill="1" applyAlignment="1" applyProtection="1">
      <alignment vertical="center"/>
      <protection locked="0"/>
    </xf>
    <xf numFmtId="0" fontId="0" fillId="0" borderId="1" xfId="0" applyBorder="1"/>
    <xf numFmtId="166" fontId="7" fillId="9" borderId="0" xfId="0" applyNumberFormat="1" applyFont="1" applyFill="1" applyAlignment="1" applyProtection="1">
      <alignment horizontal="center" vertical="center"/>
      <protection locked="0"/>
    </xf>
    <xf numFmtId="166" fontId="16" fillId="9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6" applyFont="1" applyBorder="1" applyAlignment="1">
      <alignment horizontal="left" vertical="center" wrapText="1"/>
    </xf>
    <xf numFmtId="2" fontId="13" fillId="0" borderId="0" xfId="4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7" fillId="0" borderId="1" xfId="7" applyFont="1" applyBorder="1" applyAlignment="1">
      <alignment vertical="center" wrapText="1"/>
    </xf>
    <xf numFmtId="1" fontId="17" fillId="0" borderId="1" xfId="7" applyNumberFormat="1" applyFont="1" applyBorder="1" applyAlignment="1">
      <alignment horizontal="center" vertical="top" wrapText="1"/>
    </xf>
    <xf numFmtId="1" fontId="17" fillId="0" borderId="1" xfId="7" applyNumberFormat="1" applyFont="1" applyBorder="1" applyAlignment="1">
      <alignment horizontal="center"/>
    </xf>
    <xf numFmtId="0" fontId="17" fillId="0" borderId="0" xfId="0" applyFont="1"/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/>
    <xf numFmtId="43" fontId="34" fillId="0" borderId="0" xfId="2" applyFont="1" applyBorder="1" applyAlignment="1">
      <alignment horizontal="center" vertical="center" wrapText="1"/>
    </xf>
    <xf numFmtId="0" fontId="17" fillId="0" borderId="8" xfId="7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8" fillId="0" borderId="2" xfId="7" applyFont="1" applyFill="1" applyBorder="1" applyAlignment="1">
      <alignment vertical="center" wrapText="1"/>
    </xf>
    <xf numFmtId="0" fontId="18" fillId="0" borderId="1" xfId="7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8" xfId="7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17" fillId="8" borderId="0" xfId="0" applyFont="1" applyFill="1" applyBorder="1" applyAlignment="1">
      <alignment horizontal="left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8" borderId="1" xfId="0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</xf>
    <xf numFmtId="9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0" xfId="0" applyFont="1" applyFill="1" applyAlignment="1" applyProtection="1">
      <alignment horizontal="left" vertical="center"/>
      <protection locked="0"/>
    </xf>
    <xf numFmtId="0" fontId="6" fillId="9" borderId="0" xfId="0" applyFont="1" applyFill="1" applyAlignment="1" applyProtection="1">
      <alignment horizontal="center" vertical="center"/>
      <protection locked="0"/>
    </xf>
    <xf numFmtId="181" fontId="6" fillId="9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7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165" fontId="7" fillId="9" borderId="3" xfId="0" applyNumberFormat="1" applyFont="1" applyFill="1" applyBorder="1" applyAlignment="1">
      <alignment horizontal="center" vertical="center" textRotation="90" wrapText="1"/>
    </xf>
    <xf numFmtId="165" fontId="7" fillId="9" borderId="6" xfId="0" applyNumberFormat="1" applyFont="1" applyFill="1" applyBorder="1" applyAlignment="1">
      <alignment horizontal="center" vertical="center" textRotation="90" wrapText="1"/>
    </xf>
    <xf numFmtId="165" fontId="7" fillId="9" borderId="5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68" fontId="7" fillId="0" borderId="2" xfId="3" applyNumberFormat="1" applyFont="1" applyFill="1" applyBorder="1" applyAlignment="1" applyProtection="1">
      <alignment horizontal="center" vertical="center"/>
      <protection locked="0"/>
    </xf>
    <xf numFmtId="168" fontId="7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8" fontId="7" fillId="0" borderId="2" xfId="2" applyNumberFormat="1" applyFont="1" applyFill="1" applyBorder="1" applyAlignment="1" applyProtection="1">
      <alignment horizontal="center" vertical="center"/>
      <protection locked="0"/>
    </xf>
    <xf numFmtId="168" fontId="7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2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 textRotation="90" wrapText="1"/>
      <protection locked="0"/>
    </xf>
    <xf numFmtId="0" fontId="6" fillId="9" borderId="3" xfId="0" applyFont="1" applyFill="1" applyBorder="1" applyAlignment="1" applyProtection="1">
      <alignment horizontal="center" vertical="center" textRotation="90" wrapText="1"/>
      <protection locked="0"/>
    </xf>
    <xf numFmtId="0" fontId="6" fillId="9" borderId="6" xfId="0" applyFont="1" applyFill="1" applyBorder="1" applyAlignment="1" applyProtection="1">
      <alignment horizontal="center" vertical="center" textRotation="90" wrapText="1"/>
      <protection locked="0"/>
    </xf>
    <xf numFmtId="0" fontId="6" fillId="9" borderId="5" xfId="0" applyFont="1" applyFill="1" applyBorder="1" applyAlignment="1" applyProtection="1">
      <alignment horizontal="center" vertical="center" textRotation="90" wrapText="1"/>
      <protection locked="0"/>
    </xf>
    <xf numFmtId="164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8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172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3" fontId="6" fillId="9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17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 2 3" xfId="7"/>
    <cellStyle name="Обычный 3 2" xfId="1"/>
    <cellStyle name="Обычный 4" xfId="6"/>
    <cellStyle name="Обычный_растениеводство" xfId="4"/>
    <cellStyle name="Финансовый" xfId="2" builtinId="3"/>
    <cellStyle name="Финансовый 11" xfId="3"/>
  </cellStyles>
  <dxfs count="173"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BreakPreview" zoomScale="110" zoomScaleNormal="100" zoomScaleSheetLayoutView="110" workbookViewId="0">
      <selection activeCell="B6" sqref="B6"/>
    </sheetView>
  </sheetViews>
  <sheetFormatPr defaultRowHeight="12.75" x14ac:dyDescent="0.2"/>
  <cols>
    <col min="1" max="1" width="4" customWidth="1"/>
    <col min="2" max="2" width="78.85546875" customWidth="1"/>
  </cols>
  <sheetData>
    <row r="1" spans="1:2" ht="24" customHeight="1" x14ac:dyDescent="0.2">
      <c r="A1" s="436" t="s">
        <v>598</v>
      </c>
      <c r="B1" s="436"/>
    </row>
    <row r="2" spans="1:2" x14ac:dyDescent="0.2">
      <c r="A2" s="388">
        <v>1</v>
      </c>
      <c r="B2" s="196" t="s">
        <v>599</v>
      </c>
    </row>
    <row r="3" spans="1:2" x14ac:dyDescent="0.2">
      <c r="A3" s="388">
        <f>A2+1</f>
        <v>2</v>
      </c>
      <c r="B3" s="196" t="s">
        <v>503</v>
      </c>
    </row>
    <row r="4" spans="1:2" x14ac:dyDescent="0.2">
      <c r="A4" s="388">
        <f>A3+1</f>
        <v>3</v>
      </c>
      <c r="B4" s="196" t="s">
        <v>215</v>
      </c>
    </row>
    <row r="5" spans="1:2" x14ac:dyDescent="0.2">
      <c r="A5" s="388">
        <f t="shared" ref="A5:A6" si="0">A4+1</f>
        <v>4</v>
      </c>
      <c r="B5" s="196" t="s">
        <v>676</v>
      </c>
    </row>
    <row r="6" spans="1:2" x14ac:dyDescent="0.2">
      <c r="A6" s="388">
        <f t="shared" si="0"/>
        <v>5</v>
      </c>
      <c r="B6" s="196" t="s">
        <v>677</v>
      </c>
    </row>
  </sheetData>
  <mergeCells count="1">
    <mergeCell ref="A1:B1"/>
  </mergeCells>
  <hyperlinks>
    <hyperlink ref="B3" location="'Исходные данные'!A1" display="Исходные данные"/>
    <hyperlink ref="B4" location="аморт!A1" display="Расчет амортизации основных средств"/>
    <hyperlink ref="B5" location="Картофель!A1" display="Нормативно-технологическая карта по производству раннего товарного картофеля"/>
    <hyperlink ref="B6" location="'Картофель себ'!A1" display="Себестоимость производства раннего товарного картофеля"/>
    <hyperlink ref="B2" location="Нормы!A1" display="Нормы расхода семян, удобрений"/>
  </hyperlinks>
  <pageMargins left="0.7" right="0.7" top="0.75" bottom="0.75" header="0.3" footer="0.3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BY51"/>
  <sheetViews>
    <sheetView workbookViewId="0">
      <selection activeCell="AN17" sqref="AN17:BD19"/>
    </sheetView>
  </sheetViews>
  <sheetFormatPr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54</v>
      </c>
      <c r="E1" s="8"/>
      <c r="G1" s="6"/>
      <c r="H1" s="7" t="s">
        <v>428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490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80" t="s">
        <v>364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362</v>
      </c>
      <c r="D6" s="1">
        <v>100</v>
      </c>
      <c r="E6" s="2"/>
      <c r="F6" s="1" t="s">
        <v>358</v>
      </c>
      <c r="G6" s="46"/>
      <c r="I6" s="1">
        <v>125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378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379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380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381</v>
      </c>
      <c r="D10" s="13">
        <v>42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382</v>
      </c>
      <c r="D11" s="13">
        <f>D8*D9*D10</f>
        <v>1260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369</v>
      </c>
      <c r="D12" s="13">
        <f>D6*I6</f>
        <v>12500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370</v>
      </c>
      <c r="C13" s="102"/>
      <c r="D13" s="13">
        <f>D12*0.75</f>
        <v>9375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518" t="s">
        <v>55</v>
      </c>
      <c r="B15" s="522" t="s">
        <v>51</v>
      </c>
      <c r="C15" s="522"/>
      <c r="D15" s="522"/>
      <c r="E15" s="522"/>
      <c r="F15" s="518" t="s">
        <v>15</v>
      </c>
      <c r="G15" s="518" t="s">
        <v>34</v>
      </c>
      <c r="H15" s="522" t="s">
        <v>30</v>
      </c>
      <c r="I15" s="522"/>
      <c r="J15" s="518" t="s">
        <v>33</v>
      </c>
      <c r="K15" s="518" t="s">
        <v>39</v>
      </c>
      <c r="L15" s="518" t="s">
        <v>38</v>
      </c>
      <c r="M15" s="522" t="s">
        <v>35</v>
      </c>
      <c r="N15" s="522"/>
      <c r="O15" s="522" t="s">
        <v>316</v>
      </c>
      <c r="P15" s="522"/>
      <c r="Q15" s="522" t="s">
        <v>315</v>
      </c>
      <c r="R15" s="522"/>
      <c r="S15" s="522"/>
      <c r="T15" s="522"/>
      <c r="U15" s="522" t="s">
        <v>317</v>
      </c>
      <c r="V15" s="522"/>
      <c r="W15" s="522" t="s">
        <v>318</v>
      </c>
      <c r="X15" s="522"/>
      <c r="Y15" s="522" t="s">
        <v>319</v>
      </c>
      <c r="Z15" s="522"/>
      <c r="AA15" s="522" t="s">
        <v>320</v>
      </c>
      <c r="AB15" s="522"/>
      <c r="AC15" s="529" t="s">
        <v>426</v>
      </c>
      <c r="AD15" s="530"/>
      <c r="AE15" s="531"/>
      <c r="AF15" s="522" t="s">
        <v>164</v>
      </c>
      <c r="AG15" s="522"/>
      <c r="AH15" s="522" t="s">
        <v>321</v>
      </c>
      <c r="AI15" s="522"/>
      <c r="AJ15" s="522" t="s">
        <v>322</v>
      </c>
      <c r="AK15" s="522"/>
      <c r="AL15" s="522" t="s">
        <v>323</v>
      </c>
      <c r="AM15" s="522"/>
      <c r="AN15" s="522" t="s">
        <v>13</v>
      </c>
      <c r="AO15" s="522"/>
      <c r="AP15" s="522"/>
      <c r="AQ15" s="522"/>
      <c r="AR15" s="522"/>
      <c r="AS15" s="522"/>
      <c r="AT15" s="522" t="s">
        <v>187</v>
      </c>
      <c r="AU15" s="522"/>
      <c r="AV15" s="522"/>
      <c r="AW15" s="522"/>
      <c r="AX15" s="522" t="s">
        <v>330</v>
      </c>
      <c r="AY15" s="522"/>
      <c r="AZ15" s="522"/>
      <c r="BA15" s="522"/>
      <c r="BB15" s="522" t="s">
        <v>372</v>
      </c>
      <c r="BC15" s="522"/>
      <c r="BD15" s="522"/>
      <c r="BE15" s="522"/>
      <c r="BF15" s="522" t="s">
        <v>383</v>
      </c>
      <c r="BG15" s="522"/>
      <c r="BH15" s="522"/>
      <c r="BI15" s="529" t="s">
        <v>397</v>
      </c>
      <c r="BJ15" s="530"/>
      <c r="BK15" s="530"/>
      <c r="BL15" s="530"/>
      <c r="BM15" s="531"/>
      <c r="BN15" s="522" t="s">
        <v>313</v>
      </c>
      <c r="BO15" s="522"/>
      <c r="BP15" s="522"/>
      <c r="BQ15" s="522"/>
      <c r="BR15" s="522"/>
      <c r="BS15" s="522"/>
      <c r="BT15" s="522"/>
      <c r="BU15" s="522" t="s">
        <v>48</v>
      </c>
      <c r="BV15" s="522"/>
      <c r="BW15" s="522" t="s">
        <v>327</v>
      </c>
      <c r="BX15" s="521" t="s">
        <v>58</v>
      </c>
      <c r="BY15" s="521"/>
    </row>
    <row r="16" spans="1:77" s="6" customFormat="1" ht="40.5" customHeight="1" x14ac:dyDescent="0.2">
      <c r="A16" s="518"/>
      <c r="B16" s="522"/>
      <c r="C16" s="522"/>
      <c r="D16" s="522"/>
      <c r="E16" s="522"/>
      <c r="F16" s="518"/>
      <c r="G16" s="518"/>
      <c r="H16" s="522"/>
      <c r="I16" s="522"/>
      <c r="J16" s="518"/>
      <c r="K16" s="518"/>
      <c r="L16" s="518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32"/>
      <c r="AD16" s="533"/>
      <c r="AE16" s="534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32"/>
      <c r="BJ16" s="533"/>
      <c r="BK16" s="533"/>
      <c r="BL16" s="533"/>
      <c r="BM16" s="534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1"/>
      <c r="BY16" s="521"/>
    </row>
    <row r="17" spans="1:77" s="6" customFormat="1" ht="45.75" customHeight="1" x14ac:dyDescent="0.2">
      <c r="A17" s="518"/>
      <c r="B17" s="522" t="s">
        <v>12</v>
      </c>
      <c r="C17" s="522" t="s">
        <v>40</v>
      </c>
      <c r="D17" s="522"/>
      <c r="E17" s="522"/>
      <c r="F17" s="518"/>
      <c r="G17" s="518"/>
      <c r="H17" s="518" t="s">
        <v>31</v>
      </c>
      <c r="I17" s="518" t="s">
        <v>32</v>
      </c>
      <c r="J17" s="518"/>
      <c r="K17" s="518"/>
      <c r="L17" s="518"/>
      <c r="M17" s="518" t="s">
        <v>36</v>
      </c>
      <c r="N17" s="518" t="s">
        <v>37</v>
      </c>
      <c r="O17" s="483">
        <v>7</v>
      </c>
      <c r="P17" s="483"/>
      <c r="Q17" s="522" t="s">
        <v>36</v>
      </c>
      <c r="R17" s="522"/>
      <c r="S17" s="522" t="s">
        <v>37</v>
      </c>
      <c r="T17" s="522"/>
      <c r="U17" s="518" t="s">
        <v>16</v>
      </c>
      <c r="V17" s="518" t="s">
        <v>17</v>
      </c>
      <c r="W17" s="519"/>
      <c r="X17" s="519"/>
      <c r="Y17" s="74">
        <v>0.1</v>
      </c>
      <c r="Z17" s="74">
        <v>0.05</v>
      </c>
      <c r="AA17" s="517"/>
      <c r="AB17" s="517"/>
      <c r="AC17" s="514" t="s">
        <v>18</v>
      </c>
      <c r="AD17" s="514" t="s">
        <v>16</v>
      </c>
      <c r="AE17" s="514" t="s">
        <v>17</v>
      </c>
      <c r="AF17" s="517">
        <f ca="1">(((((AD51/O51)*167)/29*(52/12)))/((AD51/O51)*167))</f>
        <v>0.14942528735632182</v>
      </c>
      <c r="AG17" s="517"/>
      <c r="AH17" s="518" t="s">
        <v>16</v>
      </c>
      <c r="AI17" s="518" t="s">
        <v>17</v>
      </c>
      <c r="AJ17" s="517">
        <v>0.3</v>
      </c>
      <c r="AK17" s="517"/>
      <c r="AL17" s="518" t="s">
        <v>16</v>
      </c>
      <c r="AM17" s="518" t="s">
        <v>17</v>
      </c>
      <c r="AN17" s="518" t="s">
        <v>329</v>
      </c>
      <c r="AO17" s="518" t="s">
        <v>42</v>
      </c>
      <c r="AP17" s="513" t="s">
        <v>49</v>
      </c>
      <c r="AQ17" s="513" t="s">
        <v>43</v>
      </c>
      <c r="AR17" s="513" t="s">
        <v>324</v>
      </c>
      <c r="AS17" s="513" t="s">
        <v>325</v>
      </c>
      <c r="AT17" s="518" t="s">
        <v>214</v>
      </c>
      <c r="AU17" s="513" t="s">
        <v>188</v>
      </c>
      <c r="AV17" s="513" t="s">
        <v>326</v>
      </c>
      <c r="AW17" s="513" t="s">
        <v>325</v>
      </c>
      <c r="AX17" s="518" t="s">
        <v>214</v>
      </c>
      <c r="AY17" s="513" t="s">
        <v>188</v>
      </c>
      <c r="AZ17" s="513" t="s">
        <v>326</v>
      </c>
      <c r="BA17" s="513" t="s">
        <v>325</v>
      </c>
      <c r="BB17" s="518" t="s">
        <v>373</v>
      </c>
      <c r="BC17" s="513" t="s">
        <v>188</v>
      </c>
      <c r="BD17" s="513" t="s">
        <v>326</v>
      </c>
      <c r="BE17" s="513" t="s">
        <v>325</v>
      </c>
      <c r="BF17" s="513" t="s">
        <v>384</v>
      </c>
      <c r="BG17" s="513" t="s">
        <v>326</v>
      </c>
      <c r="BH17" s="513" t="s">
        <v>325</v>
      </c>
      <c r="BI17" s="521" t="s">
        <v>45</v>
      </c>
      <c r="BJ17" s="521"/>
      <c r="BK17" s="521" t="s">
        <v>46</v>
      </c>
      <c r="BL17" s="521"/>
      <c r="BM17" s="536" t="s">
        <v>399</v>
      </c>
      <c r="BN17" s="521" t="s">
        <v>308</v>
      </c>
      <c r="BO17" s="521"/>
      <c r="BP17" s="521" t="s">
        <v>309</v>
      </c>
      <c r="BQ17" s="521"/>
      <c r="BR17" s="521" t="s">
        <v>310</v>
      </c>
      <c r="BS17" s="521"/>
      <c r="BT17" s="518" t="s">
        <v>311</v>
      </c>
      <c r="BU17" s="513" t="s">
        <v>312</v>
      </c>
      <c r="BV17" s="513" t="s">
        <v>328</v>
      </c>
      <c r="BW17" s="522"/>
      <c r="BX17" s="513" t="s">
        <v>50</v>
      </c>
      <c r="BY17" s="513" t="s">
        <v>14</v>
      </c>
    </row>
    <row r="18" spans="1:77" s="6" customFormat="1" ht="48" customHeight="1" x14ac:dyDescent="0.2">
      <c r="A18" s="518"/>
      <c r="B18" s="522"/>
      <c r="C18" s="518" t="s">
        <v>41</v>
      </c>
      <c r="D18" s="518" t="s">
        <v>53</v>
      </c>
      <c r="E18" s="518" t="s">
        <v>52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 t="s">
        <v>36</v>
      </c>
      <c r="P18" s="518" t="s">
        <v>37</v>
      </c>
      <c r="Q18" s="535" t="s">
        <v>19</v>
      </c>
      <c r="R18" s="518" t="s">
        <v>20</v>
      </c>
      <c r="S18" s="535" t="s">
        <v>19</v>
      </c>
      <c r="T18" s="518" t="s">
        <v>20</v>
      </c>
      <c r="U18" s="518"/>
      <c r="V18" s="518"/>
      <c r="W18" s="518" t="s">
        <v>16</v>
      </c>
      <c r="X18" s="518" t="s">
        <v>17</v>
      </c>
      <c r="Y18" s="518" t="s">
        <v>173</v>
      </c>
      <c r="Z18" s="518" t="s">
        <v>174</v>
      </c>
      <c r="AA18" s="518" t="s">
        <v>16</v>
      </c>
      <c r="AB18" s="518" t="s">
        <v>17</v>
      </c>
      <c r="AC18" s="515"/>
      <c r="AD18" s="515"/>
      <c r="AE18" s="515"/>
      <c r="AF18" s="518" t="s">
        <v>16</v>
      </c>
      <c r="AG18" s="518" t="s">
        <v>17</v>
      </c>
      <c r="AH18" s="518"/>
      <c r="AI18" s="518"/>
      <c r="AJ18" s="518" t="s">
        <v>16</v>
      </c>
      <c r="AK18" s="518" t="s">
        <v>17</v>
      </c>
      <c r="AL18" s="518"/>
      <c r="AM18" s="518"/>
      <c r="AN18" s="518"/>
      <c r="AO18" s="518"/>
      <c r="AP18" s="513"/>
      <c r="AQ18" s="513"/>
      <c r="AR18" s="513"/>
      <c r="AS18" s="513"/>
      <c r="AT18" s="518"/>
      <c r="AU18" s="513"/>
      <c r="AV18" s="513"/>
      <c r="AW18" s="513"/>
      <c r="AX18" s="518"/>
      <c r="AY18" s="513"/>
      <c r="AZ18" s="513"/>
      <c r="BA18" s="513"/>
      <c r="BB18" s="518"/>
      <c r="BC18" s="513"/>
      <c r="BD18" s="513"/>
      <c r="BE18" s="513"/>
      <c r="BF18" s="513"/>
      <c r="BG18" s="513"/>
      <c r="BH18" s="513"/>
      <c r="BI18" s="513" t="s">
        <v>47</v>
      </c>
      <c r="BJ18" s="513" t="s">
        <v>314</v>
      </c>
      <c r="BK18" s="513" t="s">
        <v>47</v>
      </c>
      <c r="BL18" s="513" t="s">
        <v>314</v>
      </c>
      <c r="BM18" s="537"/>
      <c r="BN18" s="513" t="s">
        <v>307</v>
      </c>
      <c r="BO18" s="513" t="s">
        <v>314</v>
      </c>
      <c r="BP18" s="513" t="s">
        <v>307</v>
      </c>
      <c r="BQ18" s="513" t="s">
        <v>314</v>
      </c>
      <c r="BR18" s="513" t="s">
        <v>307</v>
      </c>
      <c r="BS18" s="513" t="s">
        <v>314</v>
      </c>
      <c r="BT18" s="518"/>
      <c r="BU18" s="513"/>
      <c r="BV18" s="513"/>
      <c r="BW18" s="522"/>
      <c r="BX18" s="513"/>
      <c r="BY18" s="513"/>
    </row>
    <row r="19" spans="1:77" s="6" customFormat="1" ht="76.5" customHeight="1" x14ac:dyDescent="0.2">
      <c r="A19" s="518"/>
      <c r="B19" s="522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35"/>
      <c r="R19" s="518"/>
      <c r="S19" s="535"/>
      <c r="T19" s="518"/>
      <c r="U19" s="518"/>
      <c r="V19" s="518"/>
      <c r="W19" s="518"/>
      <c r="X19" s="518"/>
      <c r="Y19" s="518"/>
      <c r="Z19" s="518"/>
      <c r="AA19" s="518"/>
      <c r="AB19" s="518"/>
      <c r="AC19" s="516"/>
      <c r="AD19" s="516"/>
      <c r="AE19" s="516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3"/>
      <c r="AQ19" s="513"/>
      <c r="AR19" s="513"/>
      <c r="AS19" s="513"/>
      <c r="AT19" s="518"/>
      <c r="AU19" s="513"/>
      <c r="AV19" s="513"/>
      <c r="AW19" s="513"/>
      <c r="AX19" s="518"/>
      <c r="AY19" s="513"/>
      <c r="AZ19" s="513"/>
      <c r="BA19" s="513"/>
      <c r="BB19" s="518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38"/>
      <c r="BN19" s="513"/>
      <c r="BO19" s="513"/>
      <c r="BP19" s="513"/>
      <c r="BQ19" s="513"/>
      <c r="BR19" s="513"/>
      <c r="BS19" s="513"/>
      <c r="BT19" s="518"/>
      <c r="BU19" s="513"/>
      <c r="BV19" s="513"/>
      <c r="BW19" s="522"/>
      <c r="BX19" s="513"/>
      <c r="BY19" s="513"/>
    </row>
    <row r="20" spans="1:77" x14ac:dyDescent="0.2">
      <c r="A20" s="20">
        <f>COLUMN(A20)</f>
        <v>1</v>
      </c>
      <c r="B20" s="512">
        <f>COLUMN(B20)</f>
        <v>2</v>
      </c>
      <c r="C20" s="512"/>
      <c r="D20" s="512"/>
      <c r="E20" s="512"/>
      <c r="F20" s="20">
        <v>3</v>
      </c>
      <c r="G20" s="20">
        <f t="shared" ref="G20:BU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si="0"/>
        <v>68</v>
      </c>
      <c r="BT20" s="20">
        <f t="shared" si="0"/>
        <v>69</v>
      </c>
      <c r="BU20" s="20">
        <f t="shared" si="0"/>
        <v>70</v>
      </c>
      <c r="BV20" s="20">
        <f>BU20+1</f>
        <v>71</v>
      </c>
      <c r="BW20" s="20">
        <f>BV20+1</f>
        <v>72</v>
      </c>
      <c r="BX20" s="20">
        <f>BW20+1</f>
        <v>73</v>
      </c>
      <c r="BY20" s="20">
        <f>BX20+1</f>
        <v>74</v>
      </c>
    </row>
    <row r="21" spans="1:77" s="7" customFormat="1" ht="12.75" customHeight="1" x14ac:dyDescent="0.2">
      <c r="A21" s="21"/>
      <c r="B21" s="483" t="s">
        <v>56</v>
      </c>
      <c r="C21" s="483"/>
      <c r="D21" s="483"/>
      <c r="E21" s="483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411</v>
      </c>
      <c r="C22" s="66">
        <v>2</v>
      </c>
      <c r="D22" s="30" t="s">
        <v>184</v>
      </c>
      <c r="E22" s="31" t="s">
        <v>113</v>
      </c>
      <c r="F22" s="28" t="s">
        <v>106</v>
      </c>
      <c r="G22" s="29">
        <f>D6</f>
        <v>100</v>
      </c>
      <c r="H22" s="137">
        <v>42628</v>
      </c>
      <c r="I22" s="137">
        <v>42633</v>
      </c>
      <c r="J22" s="182">
        <f>I22-H22</f>
        <v>5</v>
      </c>
      <c r="K22" s="172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данные'!$G$22</f>
        <v>197.57121135326915</v>
      </c>
      <c r="S22" s="34"/>
      <c r="T22" s="33"/>
      <c r="U22" s="130">
        <f>O22*R22*'Исходные данные'!$C$40%</f>
        <v>0</v>
      </c>
      <c r="V22" s="130">
        <f>P22*T22*'Исходные данные'!$C$41%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5637.9077313851949</v>
      </c>
      <c r="AG22" s="73"/>
      <c r="AH22" s="35">
        <f t="shared" ref="AH22:AI24" ca="1" si="1">AD22+AF22</f>
        <v>43368.52101065535</v>
      </c>
      <c r="AI22" s="35">
        <f t="shared" si="1"/>
        <v>0</v>
      </c>
      <c r="AJ22" s="35">
        <f t="shared" ref="AJ22:AK24" ca="1" si="2">AH22*$AJ$17</f>
        <v>13010.556303196605</v>
      </c>
      <c r="AK22" s="73">
        <f t="shared" si="2"/>
        <v>0</v>
      </c>
      <c r="AL22" s="35">
        <f ca="1">AH22+AJ22</f>
        <v>56379.077313851958</v>
      </c>
      <c r="AM22" s="73">
        <f>AK22+AI22</f>
        <v>0</v>
      </c>
      <c r="AN22" s="173">
        <v>9.5238095238095237</v>
      </c>
      <c r="AO22" s="33">
        <f>'Исходные данные'!$C$59</f>
        <v>0.84</v>
      </c>
      <c r="AP22" s="79">
        <f>(G22*AN22)*AO22/100</f>
        <v>8</v>
      </c>
      <c r="AQ22" s="33" t="s">
        <v>154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419</v>
      </c>
      <c r="C23" s="66">
        <v>1</v>
      </c>
      <c r="D23" s="30" t="s">
        <v>184</v>
      </c>
      <c r="E23" s="31" t="s">
        <v>423</v>
      </c>
      <c r="F23" s="28" t="s">
        <v>106</v>
      </c>
      <c r="G23" s="29">
        <f>G22</f>
        <v>100</v>
      </c>
      <c r="H23" s="137">
        <v>42510</v>
      </c>
      <c r="I23" s="137">
        <v>42515</v>
      </c>
      <c r="J23" s="182">
        <f t="shared" ref="J23:J31" si="3">I23-H23</f>
        <v>5</v>
      </c>
      <c r="K23" s="172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данные'!$F$22</f>
        <v>173.86266599087685</v>
      </c>
      <c r="S23" s="34"/>
      <c r="T23" s="33"/>
      <c r="U23" s="130">
        <f>O23*R23*'Исходные данные'!$C$40%</f>
        <v>0</v>
      </c>
      <c r="V23" s="130">
        <f>P23*T23*'Исходные данные'!$C$41%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1736.4755812666399</v>
      </c>
      <c r="AG23" s="73"/>
      <c r="AH23" s="35">
        <f t="shared" ca="1" si="1"/>
        <v>13357.504471281845</v>
      </c>
      <c r="AI23" s="35">
        <f t="shared" si="1"/>
        <v>0</v>
      </c>
      <c r="AJ23" s="35">
        <f t="shared" ca="1" si="2"/>
        <v>4007.2513413845536</v>
      </c>
      <c r="AK23" s="73">
        <f t="shared" si="2"/>
        <v>0</v>
      </c>
      <c r="AL23" s="35">
        <f ca="1">AH23+AJ23</f>
        <v>17364.755812666401</v>
      </c>
      <c r="AM23" s="73">
        <f>AK23+AI23</f>
        <v>0</v>
      </c>
      <c r="AN23" s="173">
        <v>9.5238095238095237</v>
      </c>
      <c r="AO23" s="33">
        <f>'Исходные данные'!$C$59</f>
        <v>0.84</v>
      </c>
      <c r="AP23" s="79">
        <f>(G23*AN23)*AO23/100</f>
        <v>8</v>
      </c>
      <c r="AQ23" s="33" t="s">
        <v>154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420</v>
      </c>
      <c r="C24" s="66">
        <v>1</v>
      </c>
      <c r="D24" s="30" t="s">
        <v>184</v>
      </c>
      <c r="E24" s="31" t="s">
        <v>416</v>
      </c>
      <c r="F24" s="28" t="s">
        <v>106</v>
      </c>
      <c r="G24" s="29">
        <f>D6</f>
        <v>100</v>
      </c>
      <c r="H24" s="137">
        <v>42515</v>
      </c>
      <c r="I24" s="137">
        <v>42522</v>
      </c>
      <c r="J24" s="182">
        <f t="shared" si="3"/>
        <v>7</v>
      </c>
      <c r="K24" s="172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данные'!$F$22</f>
        <v>173.86266599087685</v>
      </c>
      <c r="S24" s="34"/>
      <c r="T24" s="33"/>
      <c r="U24" s="130">
        <f>O24*R24*'Исходные данные'!$C$40%</f>
        <v>0</v>
      </c>
      <c r="V24" s="130">
        <f>P24*T24*'Исходные данные'!$C$41%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1562.8280231399758</v>
      </c>
      <c r="AG24" s="73"/>
      <c r="AH24" s="35">
        <f t="shared" ca="1" si="1"/>
        <v>12021.754024153663</v>
      </c>
      <c r="AI24" s="35">
        <f t="shared" si="1"/>
        <v>0</v>
      </c>
      <c r="AJ24" s="35">
        <f t="shared" ca="1" si="2"/>
        <v>3606.5262072460987</v>
      </c>
      <c r="AK24" s="73">
        <f t="shared" si="2"/>
        <v>0</v>
      </c>
      <c r="AL24" s="35">
        <f ca="1">AH24+AJ24</f>
        <v>15628.280231399762</v>
      </c>
      <c r="AM24" s="73">
        <f>AK24+AI24</f>
        <v>0</v>
      </c>
      <c r="AN24" s="173">
        <v>9.5238095238095237</v>
      </c>
      <c r="AO24" s="33">
        <f>'Исходные данные'!$C$59</f>
        <v>0.84</v>
      </c>
      <c r="AP24" s="79">
        <f>(G24*AN24)*AO24/100</f>
        <v>8</v>
      </c>
      <c r="AQ24" s="33" t="s">
        <v>153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4">A24+1</f>
        <v>4</v>
      </c>
      <c r="B25" s="27" t="s">
        <v>421</v>
      </c>
      <c r="C25" s="66">
        <v>1</v>
      </c>
      <c r="D25" s="30" t="s">
        <v>105</v>
      </c>
      <c r="E25" s="183" t="s">
        <v>483</v>
      </c>
      <c r="F25" s="28" t="s">
        <v>106</v>
      </c>
      <c r="G25" s="29">
        <f>D6</f>
        <v>100</v>
      </c>
      <c r="H25" s="137">
        <v>42536</v>
      </c>
      <c r="I25" s="137">
        <v>42538</v>
      </c>
      <c r="J25" s="182">
        <f t="shared" si="3"/>
        <v>2</v>
      </c>
      <c r="K25" s="172">
        <f>8*4.2</f>
        <v>33.6</v>
      </c>
      <c r="L25" s="33">
        <f t="shared" ref="L25:L32" si="5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6">IF(N25=0,0,L25*$O$17)</f>
        <v>0</v>
      </c>
      <c r="Q25" s="34">
        <v>3</v>
      </c>
      <c r="R25" s="83">
        <f ca="1">IF(AND(O25&gt;0,Q25&gt;0),SUMIF('Исходные данные'!$C$14:H27,Q25,'Исходные данные'!$C$18:$H$18),IF(O25=0,0,IF(Q25=0,"РОТ")))</f>
        <v>138.29984794728838</v>
      </c>
      <c r="S25" s="34"/>
      <c r="T25" s="33"/>
      <c r="U25" s="130">
        <f ca="1">O25*R25*'Исходные данные'!$C$40%</f>
        <v>0</v>
      </c>
      <c r="V25" s="130">
        <f>P25*T25*'Исходные данные'!$C$41%</f>
        <v>0</v>
      </c>
      <c r="W25" s="130">
        <f t="shared" ref="W25:W32" ca="1" si="7">O25*R25*$W$17</f>
        <v>0</v>
      </c>
      <c r="X25" s="131">
        <f t="shared" ref="X25:X32" si="8">P25*T25*$W$17</f>
        <v>0</v>
      </c>
      <c r="Y25" s="130">
        <f t="shared" ref="Y25:Y32" ca="1" si="9">(O25*R25+U25+W25)*$Y$17</f>
        <v>288.12468322351754</v>
      </c>
      <c r="Z25" s="131">
        <f t="shared" ref="Z25:Z32" si="10">(P25*T25+V25+X25)*$Z$17</f>
        <v>0</v>
      </c>
      <c r="AA25" s="130">
        <f t="shared" ref="AA25:AA32" ca="1" si="11">(O25*R25+U25)*$AA$17</f>
        <v>0</v>
      </c>
      <c r="AB25" s="131">
        <f t="shared" ref="AB25:AB32" si="12">(P25*T25+V25)*$AA$17</f>
        <v>0</v>
      </c>
      <c r="AC25" s="129">
        <v>2.5</v>
      </c>
      <c r="AD25" s="130">
        <f t="shared" ref="AD25:AD32" ca="1" si="13">(O25*R25+U25+W25+Y25+AA25)*AC25</f>
        <v>7923.4287886467318</v>
      </c>
      <c r="AE25" s="130">
        <f t="shared" ref="AE25:AE32" si="14">(P25*T25+V25+X25+Z25+AB25)*AC25</f>
        <v>0</v>
      </c>
      <c r="AF25" s="35">
        <f t="shared" ref="AF25:AF32" ca="1" si="15">AD25*$AF$17</f>
        <v>1183.9606235908909</v>
      </c>
      <c r="AG25" s="73"/>
      <c r="AH25" s="35">
        <f t="shared" ref="AH25:AH32" ca="1" si="16">AD25+AF25</f>
        <v>9107.3894122376223</v>
      </c>
      <c r="AI25" s="35"/>
      <c r="AJ25" s="35">
        <f t="shared" ref="AJ25:AJ32" ca="1" si="17">AH25*$AJ$17</f>
        <v>2732.2168236712864</v>
      </c>
      <c r="AK25" s="73"/>
      <c r="AL25" s="35">
        <f t="shared" ref="AL25:AL32" ca="1" si="18">AH25+AJ25</f>
        <v>11839.606235908908</v>
      </c>
      <c r="AM25" s="73"/>
      <c r="AN25" s="173">
        <v>2.2999999999999998</v>
      </c>
      <c r="AO25" s="33">
        <f>'Исходные данные'!$C$59</f>
        <v>0.84</v>
      </c>
      <c r="AP25" s="79">
        <f>(G25*AN25)*AO25/100</f>
        <v>1.9319999999999995</v>
      </c>
      <c r="AQ25" s="33" t="s">
        <v>153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9">AL25+AM25+AS25+AW25+BA25+BE25+BH25+BJ25+BL25+BM25+BO25+BQ25+BS25+BT25</f>
        <v>#REF!</v>
      </c>
      <c r="BV25" s="36" t="e">
        <f t="shared" ref="BV25:BV32" ca="1" si="20">BU25/$D$6</f>
        <v>#REF!</v>
      </c>
      <c r="BW25" s="38">
        <f t="shared" ref="BW25:BW31" si="21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4"/>
        <v>5</v>
      </c>
      <c r="B26" s="27" t="s">
        <v>22</v>
      </c>
      <c r="C26" s="66">
        <v>3</v>
      </c>
      <c r="D26" s="479" t="s">
        <v>118</v>
      </c>
      <c r="E26" s="480"/>
      <c r="F26" s="28" t="s">
        <v>109</v>
      </c>
      <c r="G26" s="186">
        <f>AU32</f>
        <v>10.5</v>
      </c>
      <c r="H26" s="137">
        <v>42536</v>
      </c>
      <c r="I26" s="137">
        <v>42538</v>
      </c>
      <c r="J26" s="182">
        <f t="shared" si="3"/>
        <v>2</v>
      </c>
      <c r="K26" s="172">
        <f>G26/6</f>
        <v>1.75</v>
      </c>
      <c r="L26" s="33">
        <f t="shared" si="5"/>
        <v>6</v>
      </c>
      <c r="M26" s="34">
        <v>1</v>
      </c>
      <c r="N26" s="34">
        <v>1</v>
      </c>
      <c r="O26" s="35">
        <f t="shared" ref="O26:O32" si="22">IF(M26=0,0,L26*$O$17)</f>
        <v>42</v>
      </c>
      <c r="P26" s="35">
        <f t="shared" si="6"/>
        <v>42</v>
      </c>
      <c r="Q26" s="34">
        <v>2</v>
      </c>
      <c r="R26" s="83">
        <f ca="1">IF(AND(O26&gt;0,Q26&gt;0),SUMIF('Исходные данные'!$C$14:H29,Q26,'Исходные данные'!$C$18:$H$18),IF(O26=0,0,IF(Q26=0,"РОТ")))</f>
        <v>128.66557526609228</v>
      </c>
      <c r="S26" s="34">
        <v>2</v>
      </c>
      <c r="T26" s="83">
        <f ca="1">IF(AND(N26&gt;0,P26&gt;0),SUMIF('Исходные данные'!$C$14:$J$30,S26,'Исходные данные'!$C$34:$J$42),IF(N26=0,0,IF(S26=0,"РОТ")))</f>
        <v>105.700598073999</v>
      </c>
      <c r="U26" s="130">
        <f ca="1">O26*R26*'Исходные данные'!$C$40%</f>
        <v>0</v>
      </c>
      <c r="V26" s="130">
        <f ca="1">P26*T26*'Исходные данные'!$C$41%</f>
        <v>1553.7987916877853</v>
      </c>
      <c r="W26" s="130">
        <f t="shared" ca="1" si="7"/>
        <v>0</v>
      </c>
      <c r="X26" s="131">
        <f t="shared" ca="1" si="8"/>
        <v>0</v>
      </c>
      <c r="Y26" s="130">
        <f t="shared" ca="1" si="9"/>
        <v>540.39541611758762</v>
      </c>
      <c r="Z26" s="131">
        <f t="shared" ca="1" si="10"/>
        <v>299.66119553978723</v>
      </c>
      <c r="AA26" s="130">
        <f t="shared" ca="1" si="11"/>
        <v>0</v>
      </c>
      <c r="AB26" s="131">
        <f t="shared" ca="1" si="12"/>
        <v>0</v>
      </c>
      <c r="AC26" s="129">
        <v>2.5</v>
      </c>
      <c r="AD26" s="130">
        <f t="shared" ca="1" si="13"/>
        <v>14860.873943233659</v>
      </c>
      <c r="AE26" s="130">
        <f t="shared" ca="1" si="14"/>
        <v>15732.212765838829</v>
      </c>
      <c r="AF26" s="35">
        <f t="shared" ca="1" si="15"/>
        <v>2220.5903593337648</v>
      </c>
      <c r="AG26" s="73">
        <f t="shared" ref="AG26:AG32" ca="1" si="23">AE26*$AF$17</f>
        <v>2350.7904132862614</v>
      </c>
      <c r="AH26" s="35">
        <f t="shared" ca="1" si="16"/>
        <v>17081.464302567423</v>
      </c>
      <c r="AI26" s="35">
        <f t="shared" ref="AI26:AI32" ca="1" si="24">AE26+AG26</f>
        <v>18083.003179125091</v>
      </c>
      <c r="AJ26" s="35">
        <f t="shared" ca="1" si="17"/>
        <v>5124.4392907702268</v>
      </c>
      <c r="AK26" s="73">
        <f t="shared" ref="AK26:AK32" ca="1" si="25">AI26*$AJ$17</f>
        <v>5424.9009537375268</v>
      </c>
      <c r="AL26" s="35">
        <f t="shared" ca="1" si="18"/>
        <v>22205.903593337651</v>
      </c>
      <c r="AM26" s="73">
        <f t="shared" ref="AM26:AM32" ca="1" si="26">AK26+AI26</f>
        <v>23507.904132862619</v>
      </c>
      <c r="AN26" s="173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9"/>
        <v>45713.80772620027</v>
      </c>
      <c r="BV26" s="36">
        <f t="shared" ca="1" si="20"/>
        <v>457.1380772620027</v>
      </c>
      <c r="BW26" s="38">
        <f t="shared" si="21"/>
        <v>0.84</v>
      </c>
      <c r="BX26" s="38"/>
      <c r="BY26" s="39"/>
    </row>
    <row r="27" spans="1:77" ht="22.5" x14ac:dyDescent="0.2">
      <c r="A27" s="20">
        <f t="shared" si="4"/>
        <v>6</v>
      </c>
      <c r="B27" s="27" t="s">
        <v>23</v>
      </c>
      <c r="C27" s="66">
        <v>3</v>
      </c>
      <c r="D27" s="30" t="s">
        <v>105</v>
      </c>
      <c r="E27" s="31" t="s">
        <v>115</v>
      </c>
      <c r="F27" s="28" t="s">
        <v>109</v>
      </c>
      <c r="G27" s="186">
        <f>G26</f>
        <v>10.5</v>
      </c>
      <c r="H27" s="137">
        <v>42536</v>
      </c>
      <c r="I27" s="137">
        <v>42538</v>
      </c>
      <c r="J27" s="182">
        <f t="shared" si="3"/>
        <v>2</v>
      </c>
      <c r="K27" s="172">
        <f>G27/6</f>
        <v>1.75</v>
      </c>
      <c r="L27" s="33">
        <f t="shared" si="5"/>
        <v>6</v>
      </c>
      <c r="M27" s="34">
        <v>1</v>
      </c>
      <c r="N27" s="34">
        <v>1</v>
      </c>
      <c r="O27" s="35">
        <f t="shared" si="22"/>
        <v>42</v>
      </c>
      <c r="P27" s="35">
        <f t="shared" si="6"/>
        <v>42</v>
      </c>
      <c r="Q27" s="34">
        <v>2</v>
      </c>
      <c r="R27" s="83">
        <f ca="1">IF(AND(O27&gt;0,Q27&gt;0),SUMIF('Исходные данные'!$C$14:H30,Q27,'Исходные данные'!$C$18:$H$18),IF(O27=0,0,IF(Q27=0,"РОТ")))</f>
        <v>128.66557526609228</v>
      </c>
      <c r="S27" s="34">
        <v>2</v>
      </c>
      <c r="T27" s="83">
        <f ca="1">IF(AND(N27&gt;0,P27&gt;0),SUMIF('Исходные данные'!$C$14:$J$30,S27,'Исходные данные'!$C$34:$J$42),IF(N27=0,0,IF(S27=0,"РОТ")))</f>
        <v>105.700598073999</v>
      </c>
      <c r="U27" s="130">
        <f ca="1">O27*R27*'Исходные данные'!$C$40%</f>
        <v>0</v>
      </c>
      <c r="V27" s="130">
        <f ca="1">P27*T27*'Исходные данные'!$C$41%</f>
        <v>1553.7987916877853</v>
      </c>
      <c r="W27" s="130">
        <f t="shared" ca="1" si="7"/>
        <v>0</v>
      </c>
      <c r="X27" s="131">
        <f t="shared" ca="1" si="8"/>
        <v>0</v>
      </c>
      <c r="Y27" s="130">
        <f t="shared" ca="1" si="9"/>
        <v>540.39541611758762</v>
      </c>
      <c r="Z27" s="131">
        <f t="shared" ca="1" si="10"/>
        <v>299.66119553978723</v>
      </c>
      <c r="AA27" s="130">
        <f t="shared" ca="1" si="11"/>
        <v>0</v>
      </c>
      <c r="AB27" s="131">
        <f t="shared" ca="1" si="12"/>
        <v>0</v>
      </c>
      <c r="AC27" s="129">
        <v>2.5</v>
      </c>
      <c r="AD27" s="130">
        <f t="shared" ca="1" si="13"/>
        <v>14860.873943233659</v>
      </c>
      <c r="AE27" s="130">
        <f t="shared" ca="1" si="14"/>
        <v>15732.212765838829</v>
      </c>
      <c r="AF27" s="35">
        <f t="shared" ca="1" si="15"/>
        <v>2220.5903593337648</v>
      </c>
      <c r="AG27" s="73">
        <f t="shared" ca="1" si="23"/>
        <v>2350.7904132862614</v>
      </c>
      <c r="AH27" s="35">
        <f t="shared" ca="1" si="16"/>
        <v>17081.464302567423</v>
      </c>
      <c r="AI27" s="35">
        <f t="shared" ca="1" si="24"/>
        <v>18083.003179125091</v>
      </c>
      <c r="AJ27" s="35">
        <f t="shared" ca="1" si="17"/>
        <v>5124.4392907702268</v>
      </c>
      <c r="AK27" s="73">
        <f t="shared" ca="1" si="25"/>
        <v>5424.9009537375268</v>
      </c>
      <c r="AL27" s="35">
        <f t="shared" ca="1" si="18"/>
        <v>22205.903593337651</v>
      </c>
      <c r="AM27" s="73">
        <f t="shared" ca="1" si="26"/>
        <v>23507.904132862619</v>
      </c>
      <c r="AN27" s="173">
        <v>0.96</v>
      </c>
      <c r="AO27" s="33">
        <f>'Исходные данные'!$C$59</f>
        <v>0.84</v>
      </c>
      <c r="AP27" s="79">
        <f>(G27*AN27)*AO27/100</f>
        <v>8.4671999999999997E-2</v>
      </c>
      <c r="AQ27" s="33" t="s">
        <v>153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9"/>
        <v>#REF!</v>
      </c>
      <c r="BV27" s="36" t="e">
        <f t="shared" ca="1" si="20"/>
        <v>#REF!</v>
      </c>
      <c r="BW27" s="38">
        <f t="shared" si="21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4"/>
        <v>7</v>
      </c>
      <c r="B28" s="27" t="s">
        <v>24</v>
      </c>
      <c r="C28" s="66">
        <v>3</v>
      </c>
      <c r="D28" s="479" t="s">
        <v>118</v>
      </c>
      <c r="E28" s="480"/>
      <c r="F28" s="28" t="s">
        <v>109</v>
      </c>
      <c r="G28" s="186">
        <f>G27</f>
        <v>10.5</v>
      </c>
      <c r="H28" s="137">
        <v>42536</v>
      </c>
      <c r="I28" s="137">
        <v>42538</v>
      </c>
      <c r="J28" s="182">
        <f t="shared" si="3"/>
        <v>2</v>
      </c>
      <c r="K28" s="172">
        <f>G28/6</f>
        <v>1.75</v>
      </c>
      <c r="L28" s="33">
        <f t="shared" si="5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данные'!$C$14:H30,Q28,'Исходные данные'!$C$18:$H$18),IF(O28=0,0,IF(Q28=0,"РОТ")))</f>
        <v>0</v>
      </c>
      <c r="S28" s="34">
        <v>2</v>
      </c>
      <c r="T28" s="83">
        <f ca="1">IF(AND(N28&gt;0,P28&gt;0),SUMIF('Исходные данные'!$C$14:$J$30,S28,'Исходные данные'!$C$34:$J$42),IF(N28=0,0,IF(S28=0,"РОТ")))</f>
        <v>105.700598073999</v>
      </c>
      <c r="U28" s="130">
        <f>O28*R28*'Исходные данные'!$C$40%</f>
        <v>0</v>
      </c>
      <c r="V28" s="130">
        <f ca="1">P28*T28*'Исходные данные'!$C$41%</f>
        <v>1553.7987916877853</v>
      </c>
      <c r="W28" s="130">
        <f t="shared" si="7"/>
        <v>0</v>
      </c>
      <c r="X28" s="131">
        <f t="shared" ca="1" si="8"/>
        <v>0</v>
      </c>
      <c r="Y28" s="130">
        <f t="shared" si="9"/>
        <v>0</v>
      </c>
      <c r="Z28" s="131">
        <f t="shared" ca="1" si="10"/>
        <v>299.66119553978723</v>
      </c>
      <c r="AA28" s="130">
        <f t="shared" si="11"/>
        <v>0</v>
      </c>
      <c r="AB28" s="131">
        <f t="shared" ca="1" si="12"/>
        <v>0</v>
      </c>
      <c r="AC28" s="129">
        <v>2.5</v>
      </c>
      <c r="AD28" s="130">
        <f t="shared" si="13"/>
        <v>0</v>
      </c>
      <c r="AE28" s="130">
        <f t="shared" ca="1" si="14"/>
        <v>15732.212765838829</v>
      </c>
      <c r="AF28" s="35">
        <f t="shared" ca="1" si="15"/>
        <v>0</v>
      </c>
      <c r="AG28" s="73">
        <f t="shared" ca="1" si="23"/>
        <v>2350.7904132862614</v>
      </c>
      <c r="AH28" s="35">
        <f t="shared" ca="1" si="16"/>
        <v>0</v>
      </c>
      <c r="AI28" s="35">
        <f t="shared" ca="1" si="24"/>
        <v>18083.003179125091</v>
      </c>
      <c r="AJ28" s="35">
        <f t="shared" ca="1" si="17"/>
        <v>0</v>
      </c>
      <c r="AK28" s="73">
        <f t="shared" ca="1" si="25"/>
        <v>5424.9009537375268</v>
      </c>
      <c r="AL28" s="35">
        <f t="shared" ca="1" si="18"/>
        <v>0</v>
      </c>
      <c r="AM28" s="73">
        <f t="shared" ca="1" si="26"/>
        <v>23507.904132862619</v>
      </c>
      <c r="AN28" s="173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9"/>
        <v>23507.904132862619</v>
      </c>
      <c r="BV28" s="36">
        <f ca="1">BU28/$D$6</f>
        <v>235.0790413286262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4"/>
        <v>8</v>
      </c>
      <c r="B29" s="27" t="s">
        <v>25</v>
      </c>
      <c r="C29" s="66">
        <v>3</v>
      </c>
      <c r="D29" s="479" t="s">
        <v>118</v>
      </c>
      <c r="E29" s="480"/>
      <c r="F29" s="28" t="s">
        <v>109</v>
      </c>
      <c r="G29" s="36">
        <f>AY32</f>
        <v>50</v>
      </c>
      <c r="H29" s="137">
        <v>42536</v>
      </c>
      <c r="I29" s="137">
        <v>42538</v>
      </c>
      <c r="J29" s="182">
        <f t="shared" si="3"/>
        <v>2</v>
      </c>
      <c r="K29" s="172">
        <f>50/6</f>
        <v>8.3333333333333339</v>
      </c>
      <c r="L29" s="33">
        <f t="shared" si="5"/>
        <v>6</v>
      </c>
      <c r="M29" s="34"/>
      <c r="N29" s="34">
        <v>1</v>
      </c>
      <c r="O29" s="35">
        <f t="shared" si="22"/>
        <v>0</v>
      </c>
      <c r="P29" s="35">
        <f t="shared" si="6"/>
        <v>42</v>
      </c>
      <c r="Q29" s="34">
        <v>2</v>
      </c>
      <c r="R29" s="83">
        <f>IF(AND(O29&gt;0,Q29&gt;0),SUMIF('Исходные данные'!$C$14:H30,Q29,'Исходные данные'!$C$18:$H$18),IF(O29=0,0,IF(Q29=0,"РОТ")))</f>
        <v>0</v>
      </c>
      <c r="S29" s="34">
        <v>2</v>
      </c>
      <c r="T29" s="83">
        <f ca="1">IF(AND(N29&gt;0,P29&gt;0),SUMIF('Исходные данные'!$C$14:$J$30,S29,'Исходные данные'!$C$34:$J$42),IF(N29=0,0,IF(S29=0,"РОТ")))</f>
        <v>105.700598073999</v>
      </c>
      <c r="U29" s="130">
        <f>O29*R29*'Исходные данные'!$C$40%</f>
        <v>0</v>
      </c>
      <c r="V29" s="130">
        <f ca="1">P29*T29*'Исходные данные'!$C$41%</f>
        <v>1553.7987916877853</v>
      </c>
      <c r="W29" s="130">
        <f t="shared" si="7"/>
        <v>0</v>
      </c>
      <c r="X29" s="131">
        <f t="shared" ca="1" si="8"/>
        <v>0</v>
      </c>
      <c r="Y29" s="130">
        <f t="shared" si="9"/>
        <v>0</v>
      </c>
      <c r="Z29" s="131">
        <f t="shared" ca="1" si="10"/>
        <v>299.66119553978723</v>
      </c>
      <c r="AA29" s="130">
        <f t="shared" si="11"/>
        <v>0</v>
      </c>
      <c r="AB29" s="131">
        <f t="shared" ca="1" si="12"/>
        <v>0</v>
      </c>
      <c r="AC29" s="129">
        <v>2.5</v>
      </c>
      <c r="AD29" s="130">
        <f t="shared" si="13"/>
        <v>0</v>
      </c>
      <c r="AE29" s="130">
        <f t="shared" ca="1" si="14"/>
        <v>15732.212765838829</v>
      </c>
      <c r="AF29" s="35">
        <f t="shared" ca="1" si="15"/>
        <v>0</v>
      </c>
      <c r="AG29" s="73">
        <f t="shared" ca="1" si="23"/>
        <v>2350.7904132862614</v>
      </c>
      <c r="AH29" s="35">
        <f t="shared" ca="1" si="16"/>
        <v>0</v>
      </c>
      <c r="AI29" s="35">
        <f t="shared" ca="1" si="24"/>
        <v>18083.003179125091</v>
      </c>
      <c r="AJ29" s="35">
        <f t="shared" ca="1" si="17"/>
        <v>0</v>
      </c>
      <c r="AK29" s="73">
        <f t="shared" ca="1" si="25"/>
        <v>5424.9009537375268</v>
      </c>
      <c r="AL29" s="35">
        <f t="shared" ca="1" si="18"/>
        <v>0</v>
      </c>
      <c r="AM29" s="73">
        <f t="shared" ca="1" si="26"/>
        <v>23507.904132862619</v>
      </c>
      <c r="AN29" s="173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9"/>
        <v>23507.904132862619</v>
      </c>
      <c r="BV29" s="36">
        <f t="shared" ca="1" si="20"/>
        <v>235.0790413286262</v>
      </c>
      <c r="BW29" s="38">
        <f t="shared" si="21"/>
        <v>0.42</v>
      </c>
      <c r="BX29" s="38"/>
      <c r="BY29" s="39"/>
    </row>
    <row r="30" spans="1:77" ht="33.75" x14ac:dyDescent="0.2">
      <c r="A30" s="20">
        <f t="shared" si="4"/>
        <v>9</v>
      </c>
      <c r="B30" s="27" t="s">
        <v>75</v>
      </c>
      <c r="C30" s="66">
        <v>3</v>
      </c>
      <c r="D30" s="30" t="s">
        <v>105</v>
      </c>
      <c r="E30" s="31" t="s">
        <v>115</v>
      </c>
      <c r="F30" s="28" t="s">
        <v>109</v>
      </c>
      <c r="G30" s="36">
        <f>G29</f>
        <v>50</v>
      </c>
      <c r="H30" s="137">
        <v>42536</v>
      </c>
      <c r="I30" s="137">
        <v>42538</v>
      </c>
      <c r="J30" s="182">
        <f t="shared" si="3"/>
        <v>2</v>
      </c>
      <c r="K30" s="172">
        <f>50/6</f>
        <v>8.3333333333333339</v>
      </c>
      <c r="L30" s="33">
        <f t="shared" si="5"/>
        <v>6</v>
      </c>
      <c r="M30" s="34">
        <v>1</v>
      </c>
      <c r="N30" s="34">
        <v>1</v>
      </c>
      <c r="O30" s="35">
        <f t="shared" si="22"/>
        <v>42</v>
      </c>
      <c r="P30" s="35">
        <f t="shared" si="6"/>
        <v>42</v>
      </c>
      <c r="Q30" s="34">
        <v>2</v>
      </c>
      <c r="R30" s="83">
        <f ca="1">IF(AND(O30&gt;0,Q30&gt;0),SUMIF('Исходные данные'!$C$14:H31,Q30,'Исходные данные'!$C$18:$H$18),IF(O30=0,0,IF(Q30=0,"РОТ")))</f>
        <v>128.66557526609228</v>
      </c>
      <c r="S30" s="34">
        <v>2</v>
      </c>
      <c r="T30" s="83">
        <f ca="1">IF(AND(N30&gt;0,P30&gt;0),SUMIF('Исходные данные'!$C$14:$J$30,S30,'Исходные данные'!$C$34:$J$42),IF(N30=0,0,IF(S30=0,"РОТ")))</f>
        <v>105.700598073999</v>
      </c>
      <c r="U30" s="130">
        <f ca="1">O30*R30*'Исходные данные'!$C$40%</f>
        <v>0</v>
      </c>
      <c r="V30" s="130">
        <f ca="1">P30*T30*'Исходные данные'!$C$41%</f>
        <v>1553.7987916877853</v>
      </c>
      <c r="W30" s="130">
        <f t="shared" ca="1" si="7"/>
        <v>0</v>
      </c>
      <c r="X30" s="131">
        <f t="shared" ca="1" si="8"/>
        <v>0</v>
      </c>
      <c r="Y30" s="130">
        <f t="shared" ca="1" si="9"/>
        <v>540.39541611758762</v>
      </c>
      <c r="Z30" s="131">
        <f t="shared" ca="1" si="10"/>
        <v>299.66119553978723</v>
      </c>
      <c r="AA30" s="130">
        <f t="shared" ca="1" si="11"/>
        <v>0</v>
      </c>
      <c r="AB30" s="131">
        <f t="shared" ca="1" si="12"/>
        <v>0</v>
      </c>
      <c r="AC30" s="129">
        <v>2.5</v>
      </c>
      <c r="AD30" s="130">
        <f t="shared" ca="1" si="13"/>
        <v>14860.873943233659</v>
      </c>
      <c r="AE30" s="130">
        <f t="shared" ca="1" si="14"/>
        <v>15732.212765838829</v>
      </c>
      <c r="AF30" s="35">
        <f t="shared" ca="1" si="15"/>
        <v>2220.5903593337648</v>
      </c>
      <c r="AG30" s="73">
        <f t="shared" ca="1" si="23"/>
        <v>2350.7904132862614</v>
      </c>
      <c r="AH30" s="35">
        <f t="shared" ca="1" si="16"/>
        <v>17081.464302567423</v>
      </c>
      <c r="AI30" s="35">
        <f t="shared" ca="1" si="24"/>
        <v>18083.003179125091</v>
      </c>
      <c r="AJ30" s="35">
        <f t="shared" ca="1" si="17"/>
        <v>5124.4392907702268</v>
      </c>
      <c r="AK30" s="73">
        <f t="shared" ca="1" si="25"/>
        <v>5424.9009537375268</v>
      </c>
      <c r="AL30" s="35">
        <f t="shared" ca="1" si="18"/>
        <v>22205.903593337651</v>
      </c>
      <c r="AM30" s="73">
        <f t="shared" ca="1" si="26"/>
        <v>23507.904132862619</v>
      </c>
      <c r="AN30" s="173">
        <v>0.96</v>
      </c>
      <c r="AO30" s="33">
        <f>'Исходные данные'!$C$59</f>
        <v>0.84</v>
      </c>
      <c r="AP30" s="79">
        <f>(G30*AN30)*AO30/100</f>
        <v>0.4032</v>
      </c>
      <c r="AQ30" s="33" t="s">
        <v>153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9"/>
        <v>#REF!</v>
      </c>
      <c r="BV30" s="36" t="e">
        <f t="shared" ca="1" si="20"/>
        <v>#REF!</v>
      </c>
      <c r="BW30" s="38">
        <f t="shared" si="21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4"/>
        <v>10</v>
      </c>
      <c r="B31" s="27" t="s">
        <v>26</v>
      </c>
      <c r="C31" s="66">
        <v>3</v>
      </c>
      <c r="D31" s="479" t="s">
        <v>118</v>
      </c>
      <c r="E31" s="480"/>
      <c r="F31" s="28" t="s">
        <v>109</v>
      </c>
      <c r="G31" s="36">
        <f>G30</f>
        <v>50</v>
      </c>
      <c r="H31" s="137">
        <v>42536</v>
      </c>
      <c r="I31" s="137">
        <v>42538</v>
      </c>
      <c r="J31" s="182">
        <f t="shared" si="3"/>
        <v>2</v>
      </c>
      <c r="K31" s="172">
        <f>50/6</f>
        <v>8.3333333333333339</v>
      </c>
      <c r="L31" s="33">
        <f t="shared" si="5"/>
        <v>6</v>
      </c>
      <c r="M31" s="34"/>
      <c r="N31" s="34">
        <v>1</v>
      </c>
      <c r="O31" s="35">
        <f>IF(M31=0,0,L31*$O$17)</f>
        <v>0</v>
      </c>
      <c r="P31" s="35">
        <f t="shared" si="6"/>
        <v>42</v>
      </c>
      <c r="Q31" s="34">
        <v>2</v>
      </c>
      <c r="R31" s="83">
        <f>IF(AND(O31&gt;0,Q31&gt;0),SUMIF('Исходные данные'!$C$14:H32,Q31,'Исходные данные'!$C$18:$H$18),IF(O31=0,0,IF(Q31=0,"РОТ")))</f>
        <v>0</v>
      </c>
      <c r="S31" s="34">
        <v>2</v>
      </c>
      <c r="T31" s="83">
        <f ca="1">IF(AND(N31&gt;0,P31&gt;0),SUMIF('Исходные данные'!$C$14:$J$30,S31,'Исходные данные'!$C$34:$J$42),IF(N31=0,0,IF(S31=0,"РОТ")))</f>
        <v>105.700598073999</v>
      </c>
      <c r="U31" s="130">
        <f>O31*R31*'Исходные данные'!$C$40%</f>
        <v>0</v>
      </c>
      <c r="V31" s="130">
        <f ca="1">P31*T31*'Исходные данные'!$C$41%</f>
        <v>1553.7987916877853</v>
      </c>
      <c r="W31" s="130">
        <f t="shared" si="7"/>
        <v>0</v>
      </c>
      <c r="X31" s="131">
        <f t="shared" ca="1" si="8"/>
        <v>0</v>
      </c>
      <c r="Y31" s="130">
        <f t="shared" si="9"/>
        <v>0</v>
      </c>
      <c r="Z31" s="131">
        <f t="shared" ca="1" si="10"/>
        <v>299.66119553978723</v>
      </c>
      <c r="AA31" s="130">
        <f t="shared" si="11"/>
        <v>0</v>
      </c>
      <c r="AB31" s="131">
        <f t="shared" ca="1" si="12"/>
        <v>0</v>
      </c>
      <c r="AC31" s="129">
        <v>2.5</v>
      </c>
      <c r="AD31" s="130">
        <f t="shared" si="13"/>
        <v>0</v>
      </c>
      <c r="AE31" s="130">
        <f t="shared" ca="1" si="14"/>
        <v>15732.212765838829</v>
      </c>
      <c r="AF31" s="35">
        <f t="shared" ca="1" si="15"/>
        <v>0</v>
      </c>
      <c r="AG31" s="73">
        <f t="shared" ca="1" si="23"/>
        <v>2350.7904132862614</v>
      </c>
      <c r="AH31" s="35">
        <f t="shared" ca="1" si="16"/>
        <v>0</v>
      </c>
      <c r="AI31" s="35">
        <f t="shared" ca="1" si="24"/>
        <v>18083.003179125091</v>
      </c>
      <c r="AJ31" s="35">
        <f t="shared" ca="1" si="17"/>
        <v>0</v>
      </c>
      <c r="AK31" s="73">
        <f t="shared" ca="1" si="25"/>
        <v>5424.9009537375268</v>
      </c>
      <c r="AL31" s="35">
        <f t="shared" ca="1" si="18"/>
        <v>0</v>
      </c>
      <c r="AM31" s="73">
        <f t="shared" ca="1" si="26"/>
        <v>23507.904132862619</v>
      </c>
      <c r="AN31" s="173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23507.904132862619</v>
      </c>
      <c r="BV31" s="36">
        <f t="shared" ca="1" si="20"/>
        <v>235.0790413286262</v>
      </c>
      <c r="BW31" s="38">
        <f t="shared" si="21"/>
        <v>0.42</v>
      </c>
      <c r="BX31" s="38"/>
      <c r="BY31" s="39"/>
    </row>
    <row r="32" spans="1:77" ht="67.5" x14ac:dyDescent="0.2">
      <c r="A32" s="20">
        <f t="shared" si="4"/>
        <v>11</v>
      </c>
      <c r="B32" s="27" t="s">
        <v>493</v>
      </c>
      <c r="C32" s="66">
        <v>2</v>
      </c>
      <c r="D32" s="30" t="s">
        <v>184</v>
      </c>
      <c r="E32" s="84" t="s">
        <v>489</v>
      </c>
      <c r="F32" s="28" t="s">
        <v>106</v>
      </c>
      <c r="G32" s="29">
        <f>D6</f>
        <v>100</v>
      </c>
      <c r="H32" s="137">
        <f>H25</f>
        <v>42536</v>
      </c>
      <c r="I32" s="137">
        <v>42538</v>
      </c>
      <c r="J32" s="182">
        <f>I32-H32</f>
        <v>2</v>
      </c>
      <c r="K32" s="172">
        <f>6.7*8</f>
        <v>53.6</v>
      </c>
      <c r="L32" s="33">
        <f t="shared" si="5"/>
        <v>1.8656716417910448</v>
      </c>
      <c r="M32" s="34">
        <v>1</v>
      </c>
      <c r="N32" s="34">
        <v>1</v>
      </c>
      <c r="O32" s="35">
        <f t="shared" si="22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данные'!$C$14:H33,Q32,'Исходные данные'!$C$18:$H$18),IF(O32=0,0,IF(Q32=0,"РОТ")))</f>
        <v>179.78980233147493</v>
      </c>
      <c r="S32" s="34">
        <v>2</v>
      </c>
      <c r="T32" s="83">
        <f ca="1">IF(AND(N32&gt;0,P32&gt;0),SUMIF('Исходные данные'!$C$14:$J$30,S32,'Исходные данные'!$C$34:$J$42),IF(N32=0,0,IF(S32=0,"РОТ")))</f>
        <v>105.700598073999</v>
      </c>
      <c r="U32" s="130">
        <f ca="1">O32*R32*'Исходные данные'!$C$40%</f>
        <v>0</v>
      </c>
      <c r="V32" s="130">
        <f ca="1">P32*T32*'Исходные данные'!$C$41%</f>
        <v>483.14639045018203</v>
      </c>
      <c r="W32" s="130">
        <f t="shared" ca="1" si="7"/>
        <v>0</v>
      </c>
      <c r="X32" s="131">
        <f t="shared" ca="1" si="8"/>
        <v>0</v>
      </c>
      <c r="Y32" s="130">
        <f t="shared" ca="1" si="9"/>
        <v>234.8001149851352</v>
      </c>
      <c r="Z32" s="131">
        <f t="shared" ca="1" si="10"/>
        <v>93.17823244396368</v>
      </c>
      <c r="AA32" s="130">
        <f t="shared" ca="1" si="11"/>
        <v>0</v>
      </c>
      <c r="AB32" s="131">
        <f t="shared" ca="1" si="12"/>
        <v>0</v>
      </c>
      <c r="AC32" s="129">
        <v>2.5</v>
      </c>
      <c r="AD32" s="130">
        <f t="shared" ca="1" si="13"/>
        <v>6457.0031620912177</v>
      </c>
      <c r="AE32" s="130">
        <f t="shared" ca="1" si="14"/>
        <v>4891.8572033080927</v>
      </c>
      <c r="AF32" s="35">
        <f t="shared" ca="1" si="15"/>
        <v>964.83955295615885</v>
      </c>
      <c r="AG32" s="73">
        <f t="shared" ca="1" si="23"/>
        <v>730.96716831040453</v>
      </c>
      <c r="AH32" s="35">
        <f t="shared" ca="1" si="16"/>
        <v>7421.8427150473763</v>
      </c>
      <c r="AI32" s="35">
        <f t="shared" ca="1" si="24"/>
        <v>5622.824371618497</v>
      </c>
      <c r="AJ32" s="35">
        <f t="shared" ca="1" si="17"/>
        <v>2226.552814514213</v>
      </c>
      <c r="AK32" s="73">
        <f t="shared" ca="1" si="25"/>
        <v>1686.847311485549</v>
      </c>
      <c r="AL32" s="35">
        <f t="shared" ca="1" si="18"/>
        <v>9648.3955295615888</v>
      </c>
      <c r="AM32" s="73">
        <f t="shared" ca="1" si="26"/>
        <v>7309.6716831040458</v>
      </c>
      <c r="AN32" s="173">
        <v>9</v>
      </c>
      <c r="AO32" s="33">
        <f>'Исходные данные'!$C$59</f>
        <v>0.84</v>
      </c>
      <c r="AP32" s="79">
        <f>(G32*AN32)*AO32/100</f>
        <v>7.56</v>
      </c>
      <c r="AQ32" s="33" t="s">
        <v>153</v>
      </c>
      <c r="AR32" s="83" t="e">
        <f>'Исходные данные'!#REF!</f>
        <v>#REF!</v>
      </c>
      <c r="AS32" s="36" t="e">
        <f>AP32*AR32</f>
        <v>#REF!</v>
      </c>
      <c r="AT32" s="173">
        <f>1+0.05</f>
        <v>1.05</v>
      </c>
      <c r="AU32" s="36">
        <f>AT32*G32/10</f>
        <v>10.5</v>
      </c>
      <c r="AV32" s="79">
        <v>21</v>
      </c>
      <c r="AW32" s="36">
        <f>AU32*AV32*1000</f>
        <v>220500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9"/>
        <v>#REF!</v>
      </c>
      <c r="BV32" s="36" t="e">
        <f t="shared" ca="1" si="20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21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7">SUM(U22:U33)</f>
        <v>0</v>
      </c>
      <c r="V34" s="65">
        <f t="shared" ca="1" si="27"/>
        <v>9805.9391405768929</v>
      </c>
      <c r="W34" s="65">
        <f t="shared" ca="1" si="27"/>
        <v>0</v>
      </c>
      <c r="X34" s="65">
        <f t="shared" ca="1" si="27"/>
        <v>0</v>
      </c>
      <c r="Y34" s="65">
        <f t="shared" ca="1" si="27"/>
        <v>4319.0407982086526</v>
      </c>
      <c r="Z34" s="65">
        <f t="shared" ca="1" si="27"/>
        <v>1891.1454056826872</v>
      </c>
      <c r="AA34" s="65">
        <f t="shared" ca="1" si="27"/>
        <v>0</v>
      </c>
      <c r="AB34" s="65">
        <f t="shared" ca="1" si="27"/>
        <v>0</v>
      </c>
      <c r="AC34" s="65"/>
      <c r="AD34" s="65">
        <f t="shared" ca="1" si="27"/>
        <v>118773.62195073797</v>
      </c>
      <c r="AE34" s="65">
        <f t="shared" ca="1" si="27"/>
        <v>99285.133798341063</v>
      </c>
      <c r="AF34" s="65">
        <f t="shared" ca="1" si="27"/>
        <v>17747.782590340154</v>
      </c>
      <c r="AG34" s="65">
        <f t="shared" ca="1" si="27"/>
        <v>14835.709648027971</v>
      </c>
      <c r="AH34" s="65">
        <f t="shared" ca="1" si="27"/>
        <v>136521.40454107811</v>
      </c>
      <c r="AI34" s="65">
        <f t="shared" ca="1" si="27"/>
        <v>114120.84344636905</v>
      </c>
      <c r="AJ34" s="65">
        <f t="shared" ca="1" si="27"/>
        <v>40956.421362323439</v>
      </c>
      <c r="AK34" s="65">
        <f t="shared" ca="1" si="27"/>
        <v>34236.253033910711</v>
      </c>
      <c r="AL34" s="65">
        <f t="shared" ca="1" si="27"/>
        <v>177477.82590340159</v>
      </c>
      <c r="AM34" s="65">
        <f t="shared" ca="1" si="27"/>
        <v>148357.09648027975</v>
      </c>
      <c r="AN34" s="65"/>
      <c r="AO34" s="65"/>
      <c r="AP34" s="65">
        <f>SUM(AP22:AP33)</f>
        <v>33.979872</v>
      </c>
      <c r="AQ34" s="65"/>
      <c r="AR34" s="65"/>
      <c r="AS34" s="65" t="e">
        <f>SUM(AS22:AS33)</f>
        <v>#REF!</v>
      </c>
      <c r="AT34" s="65"/>
      <c r="AU34" s="65">
        <f>SUM(AU22:AU33)</f>
        <v>10.5</v>
      </c>
      <c r="AV34" s="65"/>
      <c r="AW34" s="65">
        <f>SUM(AW22:AW33)</f>
        <v>220500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483" t="s">
        <v>72</v>
      </c>
      <c r="C35" s="483"/>
      <c r="D35" s="483"/>
      <c r="E35" s="483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73</v>
      </c>
      <c r="C36" s="66">
        <v>1</v>
      </c>
      <c r="D36" s="484" t="s">
        <v>131</v>
      </c>
      <c r="E36" s="485"/>
      <c r="F36" s="28" t="s">
        <v>106</v>
      </c>
      <c r="G36" s="29">
        <v>100</v>
      </c>
      <c r="H36" s="181">
        <v>42537</v>
      </c>
      <c r="I36" s="181">
        <v>42542</v>
      </c>
      <c r="J36" s="182">
        <f t="shared" ref="J36:J41" si="28">I36-H36+1</f>
        <v>6</v>
      </c>
      <c r="K36" s="172">
        <f t="shared" ref="K36:K41" si="29">G36/J36</f>
        <v>16.666666666666668</v>
      </c>
      <c r="L36" s="33">
        <f t="shared" ref="L36:L41" si="30">G36/K36</f>
        <v>6</v>
      </c>
      <c r="M36" s="30"/>
      <c r="N36" s="30">
        <v>1</v>
      </c>
      <c r="O36" s="35">
        <f t="shared" ref="O36:O41" si="31">IF(M36=0,0,L36*$O$17)</f>
        <v>0</v>
      </c>
      <c r="P36" s="35">
        <f t="shared" ref="P36:P41" si="32">IF(N36=0,0,L36*$O$17)</f>
        <v>42</v>
      </c>
      <c r="Q36" s="85">
        <v>5</v>
      </c>
      <c r="R36" s="83">
        <f>'Исходные данные'!$G$22</f>
        <v>197.57121135326915</v>
      </c>
      <c r="S36" s="187">
        <v>5</v>
      </c>
      <c r="T36" s="83">
        <f ca="1">IF(AND(N36&gt;0,P36&gt;0),SUMIF('Исходные данные'!$C$14:$J$30,S36,'Исходные данные'!$C$34:$J$42),IF(N36=0,0,IF(S36=0,"РОТ")))</f>
        <v>136.32413583375569</v>
      </c>
      <c r="U36" s="130">
        <f>O36*R36*'Исходные данные'!$C$40%</f>
        <v>0</v>
      </c>
      <c r="V36" s="130">
        <f ca="1">P36*T36*'Исходные данные'!$C$41%</f>
        <v>2003.9647967562084</v>
      </c>
      <c r="W36" s="130">
        <f t="shared" ref="W36:W41" si="33">O36*R36*$W$17</f>
        <v>0</v>
      </c>
      <c r="X36" s="131">
        <f t="shared" ref="X36:X41" ca="1" si="34">P36*T36*$W$17</f>
        <v>0</v>
      </c>
      <c r="Y36" s="130">
        <f t="shared" ref="Y36:Y41" si="35">(O36*R36+U36+W36)*$Y$17</f>
        <v>0</v>
      </c>
      <c r="Z36" s="131">
        <f t="shared" ref="Z36:Z41" ca="1" si="36">(P36*T36+V36+X36)*$Z$17</f>
        <v>386.47892508869739</v>
      </c>
      <c r="AA36" s="130">
        <f t="shared" ref="AA36:AA41" si="37">(O36*R36+U36)*$AA$17</f>
        <v>0</v>
      </c>
      <c r="AB36" s="131">
        <f t="shared" ref="AB36:AB41" ca="1" si="38">(P36*T36+V36)*$AA$17</f>
        <v>0</v>
      </c>
      <c r="AC36" s="129">
        <v>2.5</v>
      </c>
      <c r="AD36" s="130">
        <f t="shared" ref="AD36:AD41" si="39">(O36*R36+U36+W36+Y36+AA36)*AC36</f>
        <v>0</v>
      </c>
      <c r="AE36" s="130">
        <f t="shared" ref="AE36:AE41" ca="1" si="40">(P36*T36+V36+X36+Z36+AB36)*AC36</f>
        <v>20290.143567156611</v>
      </c>
      <c r="AF36" s="35">
        <f t="shared" ref="AF36:AG41" ca="1" si="41">AD36*$AF$17</f>
        <v>0</v>
      </c>
      <c r="AG36" s="73">
        <f t="shared" ca="1" si="41"/>
        <v>3031.8605330234013</v>
      </c>
      <c r="AH36" s="35">
        <f t="shared" ref="AH36:AI41" ca="1" si="42">AD36+AF36</f>
        <v>0</v>
      </c>
      <c r="AI36" s="35">
        <f t="shared" ca="1" si="42"/>
        <v>23322.004100180013</v>
      </c>
      <c r="AJ36" s="35">
        <f t="shared" ref="AJ36:AK41" ca="1" si="43">AH36*$AJ$17</f>
        <v>0</v>
      </c>
      <c r="AK36" s="73">
        <f t="shared" ca="1" si="43"/>
        <v>6996.6012300540033</v>
      </c>
      <c r="AL36" s="35">
        <f t="shared" ref="AL36:AL41" ca="1" si="44">AH36+AJ36</f>
        <v>0</v>
      </c>
      <c r="AM36" s="73">
        <f t="shared" ref="AM36:AM41" ca="1" si="45">AK36+AI36</f>
        <v>30318.605330234015</v>
      </c>
      <c r="AN36" s="173">
        <f>2419/G36</f>
        <v>24.19</v>
      </c>
      <c r="AO36" s="33">
        <f>'Исходные данные'!$C$59</f>
        <v>0.84</v>
      </c>
      <c r="AP36" s="79">
        <f t="shared" ref="AP36:AP41" si="46">(G36*AN36)*AO36/100</f>
        <v>20.319600000000001</v>
      </c>
      <c r="AQ36" s="33" t="s">
        <v>153</v>
      </c>
      <c r="AR36" s="83" t="e">
        <f>'Исходные данные'!#REF!</f>
        <v>#REF!</v>
      </c>
      <c r="AS36" s="36" t="e">
        <f t="shared" ref="AS36:AS41" si="47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8">BI36*L36</f>
        <v>0</v>
      </c>
      <c r="BK36" s="36">
        <f>аморт!$G$88</f>
        <v>114.406775</v>
      </c>
      <c r="BL36" s="36">
        <f t="shared" ref="BL36:BL41" si="49">BK36*L36</f>
        <v>686.44065000000001</v>
      </c>
      <c r="BM36" s="36"/>
      <c r="BN36" s="42"/>
      <c r="BO36" s="36">
        <f t="shared" ref="BO36:BO41" si="50">BN36*BY36</f>
        <v>0</v>
      </c>
      <c r="BP36" s="42"/>
      <c r="BQ36" s="36">
        <f t="shared" ref="BQ36:BQ41" si="51">BP36*BY36</f>
        <v>0</v>
      </c>
      <c r="BR36" s="42"/>
      <c r="BS36" s="36">
        <f t="shared" ref="BS36:BS41" si="52">BR36*BY36</f>
        <v>0</v>
      </c>
      <c r="BT36" s="36">
        <f>аморт!$C$88*10%/аморт!$E$88*L36*7</f>
        <v>30752.541119999998</v>
      </c>
      <c r="BU36" s="36" t="e">
        <f t="shared" ref="BU36:BU41" ca="1" si="53">AL36+AM36+AS36+AW36+BA36+BE36+BH36+BJ36+BL36+BM36+BO36+BQ36+BS36+BT36</f>
        <v>#REF!</v>
      </c>
      <c r="BV36" s="36" t="e">
        <f t="shared" ref="BV36:BV41" ca="1" si="54">BU36/$D$6</f>
        <v>#REF!</v>
      </c>
      <c r="BW36" s="38">
        <f t="shared" ref="BW36:BW41" si="55">(O36+P36)/$D$6</f>
        <v>0.42</v>
      </c>
      <c r="BX36" s="42"/>
      <c r="BY36" s="39">
        <f t="shared" ref="BY36:BY41" si="56">BX36*L36</f>
        <v>0</v>
      </c>
    </row>
    <row r="37" spans="1:77" s="7" customFormat="1" x14ac:dyDescent="0.2">
      <c r="A37" s="20">
        <f>A36+1</f>
        <v>2</v>
      </c>
      <c r="B37" s="27" t="s">
        <v>74</v>
      </c>
      <c r="C37" s="66">
        <v>1</v>
      </c>
      <c r="D37" s="30" t="s">
        <v>103</v>
      </c>
      <c r="E37" s="31" t="s">
        <v>132</v>
      </c>
      <c r="F37" s="28" t="s">
        <v>106</v>
      </c>
      <c r="G37" s="29">
        <v>100</v>
      </c>
      <c r="H37" s="181">
        <f>H36</f>
        <v>42537</v>
      </c>
      <c r="I37" s="181">
        <f>I36</f>
        <v>42542</v>
      </c>
      <c r="J37" s="182">
        <f t="shared" si="28"/>
        <v>6</v>
      </c>
      <c r="K37" s="172">
        <f t="shared" si="29"/>
        <v>16.666666666666668</v>
      </c>
      <c r="L37" s="33">
        <f t="shared" si="30"/>
        <v>6</v>
      </c>
      <c r="M37" s="30">
        <v>1</v>
      </c>
      <c r="N37" s="30"/>
      <c r="O37" s="35">
        <f t="shared" si="31"/>
        <v>42</v>
      </c>
      <c r="P37" s="35">
        <f t="shared" si="32"/>
        <v>0</v>
      </c>
      <c r="Q37" s="85">
        <v>5</v>
      </c>
      <c r="R37" s="83">
        <f>'Исходные данные'!$G$22</f>
        <v>197.57121135326915</v>
      </c>
      <c r="S37" s="187">
        <v>5</v>
      </c>
      <c r="T37" s="83">
        <f>IF(AND(N37&gt;0,P37&gt;0),SUMIF('Исходные данные'!$C$14:$J$30,S37,'Исходные данные'!$C$34:$J$42),IF(N37=0,0,IF(S37=0,"РОТ")))</f>
        <v>0</v>
      </c>
      <c r="U37" s="130">
        <f>O37*R37*'Исходные данные'!$C$40%</f>
        <v>0</v>
      </c>
      <c r="V37" s="130">
        <f>P37*T37*'Исходные данные'!$C$41%</f>
        <v>0</v>
      </c>
      <c r="W37" s="130">
        <f t="shared" si="33"/>
        <v>0</v>
      </c>
      <c r="X37" s="131">
        <f t="shared" si="34"/>
        <v>0</v>
      </c>
      <c r="Y37" s="130">
        <f t="shared" si="35"/>
        <v>829.79908768373048</v>
      </c>
      <c r="Z37" s="131">
        <f t="shared" si="36"/>
        <v>0</v>
      </c>
      <c r="AA37" s="130">
        <f t="shared" si="37"/>
        <v>0</v>
      </c>
      <c r="AB37" s="131">
        <f t="shared" si="38"/>
        <v>0</v>
      </c>
      <c r="AC37" s="129">
        <v>2.5</v>
      </c>
      <c r="AD37" s="130">
        <f t="shared" si="39"/>
        <v>22819.474911302586</v>
      </c>
      <c r="AE37" s="130">
        <f t="shared" si="40"/>
        <v>0</v>
      </c>
      <c r="AF37" s="35">
        <f t="shared" ca="1" si="41"/>
        <v>3409.8065959417654</v>
      </c>
      <c r="AG37" s="73">
        <f t="shared" ca="1" si="41"/>
        <v>0</v>
      </c>
      <c r="AH37" s="35">
        <f t="shared" ca="1" si="42"/>
        <v>26229.281507244352</v>
      </c>
      <c r="AI37" s="35">
        <f t="shared" ca="1" si="42"/>
        <v>0</v>
      </c>
      <c r="AJ37" s="35">
        <f t="shared" ca="1" si="43"/>
        <v>7868.784452173305</v>
      </c>
      <c r="AK37" s="73">
        <f t="shared" ca="1" si="43"/>
        <v>0</v>
      </c>
      <c r="AL37" s="35">
        <f t="shared" ca="1" si="44"/>
        <v>34098.065959417654</v>
      </c>
      <c r="AM37" s="73">
        <f t="shared" ca="1" si="45"/>
        <v>0</v>
      </c>
      <c r="AN37" s="173">
        <f>1440/G37</f>
        <v>14.4</v>
      </c>
      <c r="AO37" s="33">
        <f>'Исходные данные'!$C$59</f>
        <v>0.84</v>
      </c>
      <c r="AP37" s="79">
        <f t="shared" si="46"/>
        <v>12.095999999999998</v>
      </c>
      <c r="AQ37" s="33" t="s">
        <v>153</v>
      </c>
      <c r="AR37" s="83" t="e">
        <f>'Исходные данные'!#REF!</f>
        <v>#REF!</v>
      </c>
      <c r="AS37" s="36" t="e">
        <f t="shared" si="47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8"/>
        <v>450.71186499999999</v>
      </c>
      <c r="BK37" s="36">
        <f>аморт!$G$42</f>
        <v>30.100819672131149</v>
      </c>
      <c r="BL37" s="36">
        <f t="shared" si="49"/>
        <v>180.60491803278688</v>
      </c>
      <c r="BM37" s="36"/>
      <c r="BN37" s="38">
        <v>111.7</v>
      </c>
      <c r="BO37" s="36">
        <f t="shared" si="50"/>
        <v>4825.4400000000005</v>
      </c>
      <c r="BP37" s="38">
        <v>12.5</v>
      </c>
      <c r="BQ37" s="36">
        <f t="shared" si="51"/>
        <v>540</v>
      </c>
      <c r="BR37" s="42"/>
      <c r="BS37" s="36">
        <f t="shared" si="52"/>
        <v>0</v>
      </c>
      <c r="BT37" s="36">
        <f>аморт!$C$42*10%/аморт!$E$42*L37*7</f>
        <v>5552.5175999999992</v>
      </c>
      <c r="BU37" s="36" t="e">
        <f t="shared" ca="1" si="53"/>
        <v>#REF!</v>
      </c>
      <c r="BV37" s="36" t="e">
        <f t="shared" ca="1" si="54"/>
        <v>#REF!</v>
      </c>
      <c r="BW37" s="38">
        <f t="shared" si="55"/>
        <v>0.42</v>
      </c>
      <c r="BX37" s="38">
        <v>7.2</v>
      </c>
      <c r="BY37" s="39">
        <f t="shared" si="56"/>
        <v>43.2</v>
      </c>
    </row>
    <row r="38" spans="1:77" s="7" customFormat="1" ht="22.5" x14ac:dyDescent="0.2">
      <c r="A38" s="19">
        <v>3</v>
      </c>
      <c r="B38" s="27" t="s">
        <v>73</v>
      </c>
      <c r="C38" s="66">
        <v>1</v>
      </c>
      <c r="D38" s="481" t="s">
        <v>131</v>
      </c>
      <c r="E38" s="482"/>
      <c r="F38" s="28" t="s">
        <v>106</v>
      </c>
      <c r="G38" s="29">
        <f>G37</f>
        <v>100</v>
      </c>
      <c r="H38" s="181">
        <v>42565</v>
      </c>
      <c r="I38" s="181">
        <v>42570</v>
      </c>
      <c r="J38" s="182">
        <f t="shared" si="28"/>
        <v>6</v>
      </c>
      <c r="K38" s="172">
        <f t="shared" si="29"/>
        <v>16.666666666666668</v>
      </c>
      <c r="L38" s="33">
        <f t="shared" si="30"/>
        <v>6</v>
      </c>
      <c r="M38" s="30"/>
      <c r="N38" s="30">
        <v>1</v>
      </c>
      <c r="O38" s="35">
        <f t="shared" si="31"/>
        <v>0</v>
      </c>
      <c r="P38" s="35">
        <f t="shared" si="32"/>
        <v>42</v>
      </c>
      <c r="Q38" s="85">
        <v>5</v>
      </c>
      <c r="R38" s="83">
        <f>'Исходные данные'!$G$22</f>
        <v>197.57121135326915</v>
      </c>
      <c r="S38" s="187">
        <v>5</v>
      </c>
      <c r="T38" s="83">
        <f ca="1">IF(AND(N38&gt;0,P38&gt;0),SUMIF('Исходные данные'!$C$14:$J$30,S38,'Исходные данные'!$C$34:$J$42),IF(N38=0,0,IF(S38=0,"РОТ")))</f>
        <v>136.32413583375569</v>
      </c>
      <c r="U38" s="130">
        <f>O38*R38*'Исходные данные'!$C$40%</f>
        <v>0</v>
      </c>
      <c r="V38" s="130">
        <f ca="1">P38*T38*'Исходные данные'!$C$41%</f>
        <v>2003.9647967562084</v>
      </c>
      <c r="W38" s="130">
        <f t="shared" si="33"/>
        <v>0</v>
      </c>
      <c r="X38" s="131">
        <f t="shared" ca="1" si="34"/>
        <v>0</v>
      </c>
      <c r="Y38" s="130">
        <f t="shared" si="35"/>
        <v>0</v>
      </c>
      <c r="Z38" s="131">
        <f t="shared" ca="1" si="36"/>
        <v>386.47892508869739</v>
      </c>
      <c r="AA38" s="130">
        <f t="shared" si="37"/>
        <v>0</v>
      </c>
      <c r="AB38" s="131">
        <f t="shared" ca="1" si="38"/>
        <v>0</v>
      </c>
      <c r="AC38" s="129">
        <v>3.5</v>
      </c>
      <c r="AD38" s="130">
        <f t="shared" si="39"/>
        <v>0</v>
      </c>
      <c r="AE38" s="130">
        <f t="shared" ca="1" si="40"/>
        <v>28406.200994019255</v>
      </c>
      <c r="AF38" s="35">
        <f t="shared" ca="1" si="41"/>
        <v>0</v>
      </c>
      <c r="AG38" s="73">
        <f t="shared" ca="1" si="41"/>
        <v>4244.6047462327615</v>
      </c>
      <c r="AH38" s="35">
        <f t="shared" ca="1" si="42"/>
        <v>0</v>
      </c>
      <c r="AI38" s="35">
        <f t="shared" ca="1" si="42"/>
        <v>32650.805740252017</v>
      </c>
      <c r="AJ38" s="35">
        <f t="shared" ca="1" si="43"/>
        <v>0</v>
      </c>
      <c r="AK38" s="73">
        <f t="shared" ca="1" si="43"/>
        <v>9795.2417220756051</v>
      </c>
      <c r="AL38" s="35">
        <f t="shared" ca="1" si="44"/>
        <v>0</v>
      </c>
      <c r="AM38" s="73">
        <f t="shared" ca="1" si="45"/>
        <v>42446.047462327624</v>
      </c>
      <c r="AN38" s="173">
        <f>2419/G38</f>
        <v>24.19</v>
      </c>
      <c r="AO38" s="33">
        <f>'Исходные данные'!$C$59</f>
        <v>0.84</v>
      </c>
      <c r="AP38" s="79">
        <f t="shared" si="46"/>
        <v>20.319600000000001</v>
      </c>
      <c r="AQ38" s="33" t="s">
        <v>153</v>
      </c>
      <c r="AR38" s="83" t="e">
        <f>'Исходные данные'!#REF!</f>
        <v>#REF!</v>
      </c>
      <c r="AS38" s="36" t="e">
        <f t="shared" si="47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8"/>
        <v>0</v>
      </c>
      <c r="BK38" s="36">
        <f>аморт!$G$88</f>
        <v>114.406775</v>
      </c>
      <c r="BL38" s="36">
        <f t="shared" si="49"/>
        <v>686.44065000000001</v>
      </c>
      <c r="BM38" s="36"/>
      <c r="BN38" s="42"/>
      <c r="BO38" s="36">
        <f t="shared" si="50"/>
        <v>0</v>
      </c>
      <c r="BP38" s="42"/>
      <c r="BQ38" s="36">
        <f t="shared" si="51"/>
        <v>0</v>
      </c>
      <c r="BR38" s="42"/>
      <c r="BS38" s="36">
        <f t="shared" si="52"/>
        <v>0</v>
      </c>
      <c r="BT38" s="36">
        <f>аморт!$C$88*10%/аморт!$E$88*L38*7</f>
        <v>30752.541119999998</v>
      </c>
      <c r="BU38" s="36" t="e">
        <f t="shared" ca="1" si="53"/>
        <v>#REF!</v>
      </c>
      <c r="BV38" s="36" t="e">
        <f t="shared" ca="1" si="54"/>
        <v>#REF!</v>
      </c>
      <c r="BW38" s="38">
        <f t="shared" si="55"/>
        <v>0.42</v>
      </c>
      <c r="BX38" s="42"/>
      <c r="BY38" s="39">
        <f t="shared" si="56"/>
        <v>0</v>
      </c>
    </row>
    <row r="39" spans="1:77" s="7" customFormat="1" x14ac:dyDescent="0.2">
      <c r="A39" s="20">
        <v>4</v>
      </c>
      <c r="B39" s="27" t="s">
        <v>74</v>
      </c>
      <c r="C39" s="66">
        <v>1</v>
      </c>
      <c r="D39" s="30" t="s">
        <v>103</v>
      </c>
      <c r="E39" s="183" t="s">
        <v>132</v>
      </c>
      <c r="F39" s="28" t="s">
        <v>106</v>
      </c>
      <c r="G39" s="29">
        <f>G38</f>
        <v>100</v>
      </c>
      <c r="H39" s="181">
        <v>42565</v>
      </c>
      <c r="I39" s="181">
        <v>42570</v>
      </c>
      <c r="J39" s="182">
        <f t="shared" si="28"/>
        <v>6</v>
      </c>
      <c r="K39" s="172">
        <f t="shared" si="29"/>
        <v>16.666666666666668</v>
      </c>
      <c r="L39" s="33">
        <f t="shared" si="30"/>
        <v>6</v>
      </c>
      <c r="M39" s="30">
        <v>1</v>
      </c>
      <c r="N39" s="30"/>
      <c r="O39" s="35">
        <f t="shared" si="31"/>
        <v>42</v>
      </c>
      <c r="P39" s="35">
        <f t="shared" si="32"/>
        <v>0</v>
      </c>
      <c r="Q39" s="85">
        <v>5</v>
      </c>
      <c r="R39" s="83">
        <f>'Исходные данные'!$G$22</f>
        <v>197.57121135326915</v>
      </c>
      <c r="S39" s="187">
        <v>5</v>
      </c>
      <c r="T39" s="83">
        <f>IF(AND(N39&gt;0,P39&gt;0),SUMIF('Исходные данные'!$C$14:$J$30,S39,'Исходные данные'!$C$34:$J$42),IF(N39=0,0,IF(S39=0,"РОТ")))</f>
        <v>0</v>
      </c>
      <c r="U39" s="130">
        <f>O39*R39*'Исходные данные'!$C$40%</f>
        <v>0</v>
      </c>
      <c r="V39" s="130">
        <f>P39*T39*'Исходные данные'!$C$41%</f>
        <v>0</v>
      </c>
      <c r="W39" s="130">
        <f t="shared" si="33"/>
        <v>0</v>
      </c>
      <c r="X39" s="131">
        <f t="shared" si="34"/>
        <v>0</v>
      </c>
      <c r="Y39" s="130">
        <f t="shared" si="35"/>
        <v>829.79908768373048</v>
      </c>
      <c r="Z39" s="131">
        <f t="shared" si="36"/>
        <v>0</v>
      </c>
      <c r="AA39" s="130">
        <f t="shared" si="37"/>
        <v>0</v>
      </c>
      <c r="AB39" s="131">
        <f t="shared" si="38"/>
        <v>0</v>
      </c>
      <c r="AC39" s="129">
        <v>4.5</v>
      </c>
      <c r="AD39" s="130">
        <f t="shared" si="39"/>
        <v>41075.054840344659</v>
      </c>
      <c r="AE39" s="130">
        <f t="shared" si="40"/>
        <v>0</v>
      </c>
      <c r="AF39" s="35">
        <f t="shared" ca="1" si="41"/>
        <v>6137.6518726951781</v>
      </c>
      <c r="AG39" s="73">
        <f t="shared" ca="1" si="41"/>
        <v>0</v>
      </c>
      <c r="AH39" s="35">
        <f t="shared" ca="1" si="42"/>
        <v>47212.706713039835</v>
      </c>
      <c r="AI39" s="35">
        <f t="shared" ca="1" si="42"/>
        <v>0</v>
      </c>
      <c r="AJ39" s="35">
        <f t="shared" ca="1" si="43"/>
        <v>14163.812013911951</v>
      </c>
      <c r="AK39" s="73">
        <f t="shared" ca="1" si="43"/>
        <v>0</v>
      </c>
      <c r="AL39" s="35">
        <f t="shared" ca="1" si="44"/>
        <v>61376.518726951785</v>
      </c>
      <c r="AM39" s="73">
        <f t="shared" ca="1" si="45"/>
        <v>0</v>
      </c>
      <c r="AN39" s="173">
        <f>1440/G39</f>
        <v>14.4</v>
      </c>
      <c r="AO39" s="33">
        <f>'Исходные данные'!$C$59</f>
        <v>0.84</v>
      </c>
      <c r="AP39" s="79">
        <f t="shared" si="46"/>
        <v>12.095999999999998</v>
      </c>
      <c r="AQ39" s="33" t="s">
        <v>153</v>
      </c>
      <c r="AR39" s="83" t="e">
        <f>'Исходные данные'!#REF!</f>
        <v>#REF!</v>
      </c>
      <c r="AS39" s="36" t="e">
        <f t="shared" si="47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8"/>
        <v>450.71186499999999</v>
      </c>
      <c r="BK39" s="36">
        <f>аморт!$G$42</f>
        <v>30.100819672131149</v>
      </c>
      <c r="BL39" s="36">
        <f t="shared" si="49"/>
        <v>180.60491803278688</v>
      </c>
      <c r="BM39" s="36"/>
      <c r="BN39" s="38">
        <v>112.7</v>
      </c>
      <c r="BO39" s="36">
        <f t="shared" si="50"/>
        <v>4868.6400000000003</v>
      </c>
      <c r="BP39" s="38">
        <v>12.5</v>
      </c>
      <c r="BQ39" s="36">
        <f t="shared" si="51"/>
        <v>540</v>
      </c>
      <c r="BR39" s="42"/>
      <c r="BS39" s="36">
        <f t="shared" si="52"/>
        <v>0</v>
      </c>
      <c r="BT39" s="36">
        <f>аморт!$C$42*10%/аморт!$E$42*L39*7</f>
        <v>5552.5175999999992</v>
      </c>
      <c r="BU39" s="36" t="e">
        <f t="shared" ca="1" si="53"/>
        <v>#REF!</v>
      </c>
      <c r="BV39" s="36" t="e">
        <f t="shared" ca="1" si="54"/>
        <v>#REF!</v>
      </c>
      <c r="BW39" s="38">
        <f t="shared" si="55"/>
        <v>0.42</v>
      </c>
      <c r="BX39" s="38">
        <v>7.2</v>
      </c>
      <c r="BY39" s="39">
        <f t="shared" si="56"/>
        <v>43.2</v>
      </c>
    </row>
    <row r="40" spans="1:77" s="7" customFormat="1" ht="22.5" x14ac:dyDescent="0.2">
      <c r="A40" s="19">
        <v>5</v>
      </c>
      <c r="B40" s="27" t="s">
        <v>73</v>
      </c>
      <c r="C40" s="66">
        <v>1</v>
      </c>
      <c r="D40" s="481" t="s">
        <v>131</v>
      </c>
      <c r="E40" s="482"/>
      <c r="F40" s="28" t="s">
        <v>106</v>
      </c>
      <c r="G40" s="29">
        <f>G39</f>
        <v>100</v>
      </c>
      <c r="H40" s="181">
        <v>42586</v>
      </c>
      <c r="I40" s="181">
        <v>42594</v>
      </c>
      <c r="J40" s="182">
        <f t="shared" si="28"/>
        <v>9</v>
      </c>
      <c r="K40" s="172">
        <f t="shared" si="29"/>
        <v>11.111111111111111</v>
      </c>
      <c r="L40" s="33">
        <f t="shared" si="30"/>
        <v>9</v>
      </c>
      <c r="M40" s="30"/>
      <c r="N40" s="30">
        <v>1</v>
      </c>
      <c r="O40" s="35">
        <f t="shared" si="31"/>
        <v>0</v>
      </c>
      <c r="P40" s="35">
        <f t="shared" si="32"/>
        <v>63</v>
      </c>
      <c r="Q40" s="85">
        <v>5</v>
      </c>
      <c r="R40" s="83">
        <f>'Исходные данные'!$G$22</f>
        <v>197.57121135326915</v>
      </c>
      <c r="S40" s="187">
        <v>5</v>
      </c>
      <c r="T40" s="83">
        <f ca="1">IF(AND(N40&gt;0,P40&gt;0),SUMIF('Исходные данные'!$C$14:$J$30,S40,'Исходные данные'!$C$34:$J$42),IF(N40=0,0,IF(S40=0,"РОТ")))</f>
        <v>136.32413583375569</v>
      </c>
      <c r="U40" s="130">
        <f>O40*R40*'Исходные данные'!$C$40%</f>
        <v>0</v>
      </c>
      <c r="V40" s="130">
        <f ca="1">P40*T40*'Исходные данные'!$C$41%</f>
        <v>3005.9471951343126</v>
      </c>
      <c r="W40" s="130">
        <f t="shared" si="33"/>
        <v>0</v>
      </c>
      <c r="X40" s="131">
        <f t="shared" ca="1" si="34"/>
        <v>0</v>
      </c>
      <c r="Y40" s="130">
        <f t="shared" si="35"/>
        <v>0</v>
      </c>
      <c r="Z40" s="131">
        <f t="shared" ca="1" si="36"/>
        <v>579.71838763304606</v>
      </c>
      <c r="AA40" s="130">
        <f t="shared" si="37"/>
        <v>0</v>
      </c>
      <c r="AB40" s="131">
        <f t="shared" ca="1" si="38"/>
        <v>0</v>
      </c>
      <c r="AC40" s="129">
        <v>5.5</v>
      </c>
      <c r="AD40" s="130">
        <f t="shared" si="39"/>
        <v>0</v>
      </c>
      <c r="AE40" s="130">
        <f t="shared" ca="1" si="40"/>
        <v>66957.473771616817</v>
      </c>
      <c r="AF40" s="35">
        <f t="shared" ca="1" si="41"/>
        <v>0</v>
      </c>
      <c r="AG40" s="73">
        <f t="shared" ca="1" si="41"/>
        <v>10005.139758977224</v>
      </c>
      <c r="AH40" s="35">
        <f t="shared" ca="1" si="42"/>
        <v>0</v>
      </c>
      <c r="AI40" s="35">
        <f t="shared" ca="1" si="42"/>
        <v>76962.613530594041</v>
      </c>
      <c r="AJ40" s="35">
        <f t="shared" ca="1" si="43"/>
        <v>0</v>
      </c>
      <c r="AK40" s="73">
        <f t="shared" ca="1" si="43"/>
        <v>23088.784059178211</v>
      </c>
      <c r="AL40" s="35">
        <f t="shared" ca="1" si="44"/>
        <v>0</v>
      </c>
      <c r="AM40" s="73">
        <f t="shared" ca="1" si="45"/>
        <v>100051.39758977226</v>
      </c>
      <c r="AN40" s="173">
        <f>3628.8/G40</f>
        <v>36.288000000000004</v>
      </c>
      <c r="AO40" s="33">
        <f>'Исходные данные'!$C$59</f>
        <v>0.84</v>
      </c>
      <c r="AP40" s="79">
        <f t="shared" si="46"/>
        <v>30.481919999999999</v>
      </c>
      <c r="AQ40" s="33" t="s">
        <v>153</v>
      </c>
      <c r="AR40" s="83" t="e">
        <f>'Исходные данные'!#REF!</f>
        <v>#REF!</v>
      </c>
      <c r="AS40" s="36" t="e">
        <f t="shared" si="47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8"/>
        <v>0</v>
      </c>
      <c r="BK40" s="36">
        <f>аморт!$G$88</f>
        <v>114.406775</v>
      </c>
      <c r="BL40" s="36">
        <f t="shared" si="49"/>
        <v>1029.660975</v>
      </c>
      <c r="BM40" s="36"/>
      <c r="BN40" s="42"/>
      <c r="BO40" s="36">
        <f t="shared" si="50"/>
        <v>0</v>
      </c>
      <c r="BP40" s="42"/>
      <c r="BQ40" s="36">
        <f t="shared" si="51"/>
        <v>0</v>
      </c>
      <c r="BR40" s="42"/>
      <c r="BS40" s="36">
        <f t="shared" si="52"/>
        <v>0</v>
      </c>
      <c r="BT40" s="36">
        <f>аморт!$C$88*10%/аморт!$E$88*L40*7</f>
        <v>46128.811679999999</v>
      </c>
      <c r="BU40" s="36" t="e">
        <f t="shared" ca="1" si="53"/>
        <v>#REF!</v>
      </c>
      <c r="BV40" s="36" t="e">
        <f t="shared" ca="1" si="54"/>
        <v>#REF!</v>
      </c>
      <c r="BW40" s="38">
        <f t="shared" si="55"/>
        <v>0.63</v>
      </c>
      <c r="BX40" s="42"/>
      <c r="BY40" s="39">
        <f t="shared" si="56"/>
        <v>0</v>
      </c>
    </row>
    <row r="41" spans="1:77" s="7" customFormat="1" x14ac:dyDescent="0.2">
      <c r="A41" s="20">
        <f>A40+1</f>
        <v>6</v>
      </c>
      <c r="B41" s="27" t="s">
        <v>74</v>
      </c>
      <c r="C41" s="66">
        <v>1</v>
      </c>
      <c r="D41" s="30" t="s">
        <v>103</v>
      </c>
      <c r="E41" s="183" t="s">
        <v>132</v>
      </c>
      <c r="F41" s="28" t="s">
        <v>106</v>
      </c>
      <c r="G41" s="29">
        <f>G40</f>
        <v>100</v>
      </c>
      <c r="H41" s="181">
        <v>42586</v>
      </c>
      <c r="I41" s="181">
        <f>I40</f>
        <v>42594</v>
      </c>
      <c r="J41" s="182">
        <f t="shared" si="28"/>
        <v>9</v>
      </c>
      <c r="K41" s="172">
        <f t="shared" si="29"/>
        <v>11.111111111111111</v>
      </c>
      <c r="L41" s="33">
        <f t="shared" si="30"/>
        <v>9</v>
      </c>
      <c r="M41" s="30">
        <v>1</v>
      </c>
      <c r="N41" s="30"/>
      <c r="O41" s="35">
        <f t="shared" si="31"/>
        <v>63</v>
      </c>
      <c r="P41" s="35">
        <f t="shared" si="32"/>
        <v>0</v>
      </c>
      <c r="Q41" s="85">
        <v>5</v>
      </c>
      <c r="R41" s="83">
        <f>'Исходные данные'!$G$22</f>
        <v>197.57121135326915</v>
      </c>
      <c r="S41" s="187">
        <v>5</v>
      </c>
      <c r="T41" s="83">
        <f>IF(AND(N41&gt;0,P41&gt;0),SUMIF('Исходные данные'!$C$14:$J$30,S41,'Исходные данные'!$C$34:$J$42),IF(N41=0,0,IF(S41=0,"РОТ")))</f>
        <v>0</v>
      </c>
      <c r="U41" s="130">
        <f>O41*R41*'Исходные данные'!$C$40%</f>
        <v>0</v>
      </c>
      <c r="V41" s="130">
        <f>P41*T41*'Исходные данные'!$C$41%</f>
        <v>0</v>
      </c>
      <c r="W41" s="130">
        <f t="shared" si="33"/>
        <v>0</v>
      </c>
      <c r="X41" s="131">
        <f t="shared" si="34"/>
        <v>0</v>
      </c>
      <c r="Y41" s="130">
        <f t="shared" si="35"/>
        <v>1244.6986315255956</v>
      </c>
      <c r="Z41" s="131">
        <f t="shared" si="36"/>
        <v>0</v>
      </c>
      <c r="AA41" s="130">
        <f t="shared" si="37"/>
        <v>0</v>
      </c>
      <c r="AB41" s="131">
        <f t="shared" si="38"/>
        <v>0</v>
      </c>
      <c r="AC41" s="129">
        <v>6.5</v>
      </c>
      <c r="AD41" s="130">
        <f t="shared" si="39"/>
        <v>88995.952154080092</v>
      </c>
      <c r="AE41" s="130">
        <f t="shared" si="40"/>
        <v>0</v>
      </c>
      <c r="AF41" s="35">
        <f t="shared" ca="1" si="41"/>
        <v>13298.245724172886</v>
      </c>
      <c r="AG41" s="73">
        <f t="shared" ca="1" si="41"/>
        <v>0</v>
      </c>
      <c r="AH41" s="35">
        <f t="shared" ca="1" si="42"/>
        <v>102294.19787825298</v>
      </c>
      <c r="AI41" s="35">
        <f t="shared" ca="1" si="42"/>
        <v>0</v>
      </c>
      <c r="AJ41" s="35">
        <f t="shared" ca="1" si="43"/>
        <v>30688.259363475892</v>
      </c>
      <c r="AK41" s="73">
        <f t="shared" ca="1" si="43"/>
        <v>0</v>
      </c>
      <c r="AL41" s="35">
        <f t="shared" ca="1" si="44"/>
        <v>132982.45724172887</v>
      </c>
      <c r="AM41" s="73">
        <f t="shared" ca="1" si="45"/>
        <v>0</v>
      </c>
      <c r="AN41" s="173">
        <f>2160/G41</f>
        <v>21.6</v>
      </c>
      <c r="AO41" s="33">
        <f>'Исходные данные'!$C$59</f>
        <v>0.84</v>
      </c>
      <c r="AP41" s="79">
        <f t="shared" si="46"/>
        <v>18.143999999999998</v>
      </c>
      <c r="AQ41" s="33" t="s">
        <v>153</v>
      </c>
      <c r="AR41" s="83" t="e">
        <f>'Исходные данные'!#REF!</f>
        <v>#REF!</v>
      </c>
      <c r="AS41" s="36" t="e">
        <f t="shared" si="47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8"/>
        <v>676.06779749999998</v>
      </c>
      <c r="BK41" s="36">
        <f>аморт!$G$42</f>
        <v>30.100819672131149</v>
      </c>
      <c r="BL41" s="36">
        <f t="shared" si="49"/>
        <v>270.90737704918035</v>
      </c>
      <c r="BM41" s="36"/>
      <c r="BN41" s="38">
        <v>113.7</v>
      </c>
      <c r="BO41" s="36">
        <f t="shared" si="50"/>
        <v>7367.76</v>
      </c>
      <c r="BP41" s="38">
        <v>12.5</v>
      </c>
      <c r="BQ41" s="36">
        <f t="shared" si="51"/>
        <v>810</v>
      </c>
      <c r="BR41" s="42"/>
      <c r="BS41" s="36">
        <f t="shared" si="52"/>
        <v>0</v>
      </c>
      <c r="BT41" s="36">
        <f>аморт!$C$42*10%/аморт!$E$42*L41*7</f>
        <v>8328.7764000000006</v>
      </c>
      <c r="BU41" s="36" t="e">
        <f t="shared" ca="1" si="53"/>
        <v>#REF!</v>
      </c>
      <c r="BV41" s="36" t="e">
        <f t="shared" ca="1" si="54"/>
        <v>#REF!</v>
      </c>
      <c r="BW41" s="38">
        <f t="shared" si="55"/>
        <v>0.63</v>
      </c>
      <c r="BX41" s="38">
        <v>7.2</v>
      </c>
      <c r="BY41" s="39">
        <f t="shared" si="56"/>
        <v>64.8</v>
      </c>
    </row>
    <row r="42" spans="1:77" s="54" customFormat="1" x14ac:dyDescent="0.2">
      <c r="A42" s="52"/>
      <c r="B42" s="53" t="s">
        <v>21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7">SUM(U36:U41)</f>
        <v>0</v>
      </c>
      <c r="V42" s="65">
        <f t="shared" ca="1" si="57"/>
        <v>7013.8767886467294</v>
      </c>
      <c r="W42" s="65">
        <f t="shared" si="57"/>
        <v>0</v>
      </c>
      <c r="X42" s="65">
        <f t="shared" ca="1" si="57"/>
        <v>0</v>
      </c>
      <c r="Y42" s="65">
        <f t="shared" si="57"/>
        <v>2904.2968068930568</v>
      </c>
      <c r="Z42" s="65">
        <f t="shared" ca="1" si="57"/>
        <v>1352.6762378104409</v>
      </c>
      <c r="AA42" s="65">
        <f t="shared" si="57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115653.81833279268</v>
      </c>
      <c r="AF42" s="65">
        <f ca="1">SUM(AF36:AF41)</f>
        <v>22845.70419280983</v>
      </c>
      <c r="AG42" s="65">
        <f t="shared" ref="AG42:AL42" ca="1" si="58">SUM(AG36:AG41)</f>
        <v>17281.605038233385</v>
      </c>
      <c r="AH42" s="65">
        <f t="shared" ca="1" si="58"/>
        <v>175736.18609853717</v>
      </c>
      <c r="AI42" s="65">
        <f t="shared" ca="1" si="58"/>
        <v>132935.42337102606</v>
      </c>
      <c r="AJ42" s="65">
        <f t="shared" ca="1" si="58"/>
        <v>52720.855829561144</v>
      </c>
      <c r="AK42" s="65">
        <f t="shared" ca="1" si="58"/>
        <v>39880.627011307821</v>
      </c>
      <c r="AL42" s="65">
        <f t="shared" ca="1" si="58"/>
        <v>228457.0419280983</v>
      </c>
      <c r="AM42" s="65">
        <f ca="1">SUM(AM36:AM41)</f>
        <v>172816.05038233389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483" t="s">
        <v>82</v>
      </c>
      <c r="C43" s="483"/>
      <c r="D43" s="483"/>
      <c r="E43" s="483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424</v>
      </c>
      <c r="C44" s="66">
        <v>1</v>
      </c>
      <c r="D44" s="184" t="s">
        <v>492</v>
      </c>
      <c r="E44" s="185" t="s">
        <v>491</v>
      </c>
      <c r="F44" s="28" t="s">
        <v>106</v>
      </c>
      <c r="G44" s="29">
        <v>100</v>
      </c>
      <c r="H44" s="174">
        <v>42597</v>
      </c>
      <c r="I44" s="174">
        <v>42600</v>
      </c>
      <c r="J44" s="188">
        <f t="shared" ref="J44:J49" si="59">I44-H44</f>
        <v>3</v>
      </c>
      <c r="K44" s="172">
        <f>5*8</f>
        <v>40</v>
      </c>
      <c r="L44" s="33">
        <f t="shared" ref="L44:L49" si="60">G44/K44</f>
        <v>2.5</v>
      </c>
      <c r="M44" s="34">
        <v>1</v>
      </c>
      <c r="N44" s="34"/>
      <c r="O44" s="35">
        <f t="shared" ref="O44:O49" si="61">IF(M44=0,0,L44*$O$17)</f>
        <v>17.5</v>
      </c>
      <c r="P44" s="35">
        <f t="shared" ref="P44:P49" si="62">IF(N44=0,0,L44*$O$17)</f>
        <v>0</v>
      </c>
      <c r="Q44" s="34">
        <v>4</v>
      </c>
      <c r="R44" s="83">
        <f ca="1">IF(AND(O44&gt;0,Q44&gt;0),SUMIF('Исходные данные'!$C$14:H39,Q44,'Исходные данные'!$C$18:$H$18),IF(O44=0,0,IF(Q44=0,"РОТ")))</f>
        <v>156.08125696908263</v>
      </c>
      <c r="S44" s="34"/>
      <c r="T44" s="33"/>
      <c r="U44" s="130">
        <f ca="1">O44*R44*'Исходные данные'!$C$40%</f>
        <v>0</v>
      </c>
      <c r="V44" s="130">
        <f>P44*T44*'Исходные данные'!$C$41%</f>
        <v>0</v>
      </c>
      <c r="W44" s="130">
        <f t="shared" ref="W44:W49" ca="1" si="63">O44*R44*$W$17</f>
        <v>0</v>
      </c>
      <c r="X44" s="131">
        <f t="shared" ref="X44:X49" si="64">P44*T44*$W$17</f>
        <v>0</v>
      </c>
      <c r="Y44" s="130">
        <f t="shared" ref="Y44:Y49" ca="1" si="65">(O44*R44+U44+W44)*$Y$17</f>
        <v>273.14219969589465</v>
      </c>
      <c r="Z44" s="131">
        <f t="shared" ref="Z44:Z49" si="66">(P44*T44+V44+X44)*$Z$17</f>
        <v>0</v>
      </c>
      <c r="AA44" s="130">
        <f t="shared" ref="AA44:AA49" ca="1" si="67">(O44*R44+U44)*$AA$17</f>
        <v>0</v>
      </c>
      <c r="AB44" s="131">
        <f t="shared" ref="AB44:AB49" si="68">(P44*T44+V44)*$AA$17</f>
        <v>0</v>
      </c>
      <c r="AC44" s="129">
        <v>2.5</v>
      </c>
      <c r="AD44" s="130">
        <f t="shared" ref="AD44:AD49" ca="1" si="69">(O44*R44+U44+W44+Y44+AA44)*AC44</f>
        <v>7511.4104916371025</v>
      </c>
      <c r="AE44" s="130">
        <f t="shared" ref="AE44:AE49" si="70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3">
        <f>12.5/0.84</f>
        <v>14.880952380952381</v>
      </c>
      <c r="AO44" s="33">
        <f>'Исходные данные'!$C$59</f>
        <v>0.84</v>
      </c>
      <c r="AP44" s="79">
        <f>(G44*AN44)*AO44/100</f>
        <v>12.5</v>
      </c>
      <c r="AQ44" s="33" t="s">
        <v>153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71">AL44+AM44+AS44+AW44+BA44+BE44+BH44+BJ44+BL44+BM44+BO44+BQ44+BS44+BT44</f>
        <v>#REF!</v>
      </c>
      <c r="BV44" s="36" t="e">
        <f t="shared" ref="BV44:BV49" ca="1" si="72">BU44/$D$6</f>
        <v>#REF!</v>
      </c>
      <c r="BW44" s="38">
        <f t="shared" ref="BW44:BW49" si="73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77</v>
      </c>
      <c r="C45" s="66">
        <v>5</v>
      </c>
      <c r="D45" s="19" t="s">
        <v>225</v>
      </c>
      <c r="E45" s="31"/>
      <c r="F45" s="28" t="s">
        <v>119</v>
      </c>
      <c r="G45" s="29">
        <f>D12/10</f>
        <v>1250</v>
      </c>
      <c r="H45" s="174">
        <v>42597</v>
      </c>
      <c r="I45" s="174">
        <f>I44</f>
        <v>42600</v>
      </c>
      <c r="J45" s="188">
        <f t="shared" si="59"/>
        <v>3</v>
      </c>
      <c r="K45" s="172">
        <v>80</v>
      </c>
      <c r="L45" s="33">
        <f t="shared" si="60"/>
        <v>15.625</v>
      </c>
      <c r="M45" s="34">
        <v>1</v>
      </c>
      <c r="N45" s="34"/>
      <c r="O45" s="35">
        <f t="shared" si="61"/>
        <v>109.375</v>
      </c>
      <c r="P45" s="35">
        <f t="shared" si="62"/>
        <v>0</v>
      </c>
      <c r="Q45" s="34">
        <v>5</v>
      </c>
      <c r="R45" s="83">
        <f>'Исходные данные'!G22</f>
        <v>197.57121135326915</v>
      </c>
      <c r="S45" s="34"/>
      <c r="T45" s="33"/>
      <c r="U45" s="130">
        <f>O45*R45*'Исходные данные'!$C$40%</f>
        <v>0</v>
      </c>
      <c r="V45" s="130">
        <f>P45*T45*'Исходные данные'!$C$41%</f>
        <v>0</v>
      </c>
      <c r="W45" s="130">
        <f t="shared" si="63"/>
        <v>0</v>
      </c>
      <c r="X45" s="131">
        <f t="shared" si="64"/>
        <v>0</v>
      </c>
      <c r="Y45" s="130">
        <f t="shared" si="65"/>
        <v>2160.9351241763811</v>
      </c>
      <c r="Z45" s="131">
        <f t="shared" si="66"/>
        <v>0</v>
      </c>
      <c r="AA45" s="130">
        <f t="shared" si="67"/>
        <v>0</v>
      </c>
      <c r="AB45" s="131">
        <f t="shared" si="68"/>
        <v>0</v>
      </c>
      <c r="AC45" s="129">
        <v>2.5</v>
      </c>
      <c r="AD45" s="130">
        <f t="shared" si="69"/>
        <v>59425.71591485048</v>
      </c>
      <c r="AE45" s="130">
        <f t="shared" si="70"/>
        <v>0</v>
      </c>
      <c r="AF45" s="35">
        <f ca="1">AD45*$AF$17</f>
        <v>8879.7046769316803</v>
      </c>
      <c r="AG45" s="73"/>
      <c r="AH45" s="35">
        <f ca="1">AD45+AF45</f>
        <v>68305.420591782167</v>
      </c>
      <c r="AI45" s="35"/>
      <c r="AJ45" s="35">
        <f ca="1">AH45*$AJ$17</f>
        <v>20491.62617753465</v>
      </c>
      <c r="AK45" s="73"/>
      <c r="AL45" s="35">
        <f ca="1">AH45+AJ45</f>
        <v>88797.046769316818</v>
      </c>
      <c r="AM45" s="73"/>
      <c r="AN45" s="32">
        <v>12.33</v>
      </c>
      <c r="AO45" s="33">
        <f>'Исходные данные'!$C$59</f>
        <v>0.84</v>
      </c>
      <c r="AP45" s="79">
        <f>(G45*AN45)*AO45/100</f>
        <v>129.465</v>
      </c>
      <c r="AQ45" s="33" t="s">
        <v>153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2842.3926326815645</v>
      </c>
      <c r="BK45" s="85">
        <f>аморт!$G$23</f>
        <v>48.426111111111105</v>
      </c>
      <c r="BL45" s="36">
        <f>BK45*L45</f>
        <v>756.65798611111097</v>
      </c>
      <c r="BM45" s="36"/>
      <c r="BN45" s="38">
        <v>82.4</v>
      </c>
      <c r="BO45" s="36">
        <f>BN45*BY45</f>
        <v>6566.25</v>
      </c>
      <c r="BP45" s="38">
        <v>13.9</v>
      </c>
      <c r="BQ45" s="36">
        <f>BP45*BY45</f>
        <v>1107.65625</v>
      </c>
      <c r="BR45" s="38">
        <f>4.8*1.045*1.054</f>
        <v>5.2868639999999996</v>
      </c>
      <c r="BS45" s="36">
        <f>BR45*BY45</f>
        <v>421.29697499999997</v>
      </c>
      <c r="BT45" s="36">
        <f>аморт!$C$23*10%/аморт!$E$23*L45*7</f>
        <v>120127.02187499999</v>
      </c>
      <c r="BU45" s="36" t="e">
        <f t="shared" ca="1" si="71"/>
        <v>#REF!</v>
      </c>
      <c r="BV45" s="36" t="e">
        <f t="shared" ca="1" si="72"/>
        <v>#REF!</v>
      </c>
      <c r="BW45" s="38">
        <f t="shared" si="73"/>
        <v>1.09375</v>
      </c>
      <c r="BX45" s="38">
        <v>5.0999999999999996</v>
      </c>
      <c r="BY45" s="39">
        <f>BX45*L45</f>
        <v>79.6875</v>
      </c>
    </row>
    <row r="46" spans="1:77" x14ac:dyDescent="0.2">
      <c r="A46" s="20">
        <f>A45+1</f>
        <v>3</v>
      </c>
      <c r="B46" s="27" t="s">
        <v>78</v>
      </c>
      <c r="C46" s="66">
        <v>1</v>
      </c>
      <c r="D46" s="479" t="s">
        <v>487</v>
      </c>
      <c r="E46" s="480"/>
      <c r="F46" s="28" t="s">
        <v>119</v>
      </c>
      <c r="G46" s="29">
        <f>D12/10</f>
        <v>1250</v>
      </c>
      <c r="H46" s="174">
        <v>42597</v>
      </c>
      <c r="I46" s="174">
        <f>I45</f>
        <v>42600</v>
      </c>
      <c r="J46" s="188">
        <f t="shared" si="59"/>
        <v>3</v>
      </c>
      <c r="K46" s="172">
        <f>G46/J46</f>
        <v>416.66666666666669</v>
      </c>
      <c r="L46" s="33">
        <f t="shared" si="60"/>
        <v>3</v>
      </c>
      <c r="M46" s="34">
        <v>1</v>
      </c>
      <c r="N46" s="34"/>
      <c r="O46" s="35">
        <f t="shared" si="61"/>
        <v>21</v>
      </c>
      <c r="P46" s="35">
        <f t="shared" si="62"/>
        <v>0</v>
      </c>
      <c r="Q46" s="34">
        <v>5</v>
      </c>
      <c r="R46" s="83">
        <f>'Исходные данные'!$G$22</f>
        <v>197.57121135326915</v>
      </c>
      <c r="S46" s="34"/>
      <c r="T46" s="33"/>
      <c r="U46" s="130">
        <f>O46*R46*'Исходные данные'!$C$40%</f>
        <v>0</v>
      </c>
      <c r="V46" s="130">
        <f>P46*T46*'Исходные данные'!$C$41%</f>
        <v>0</v>
      </c>
      <c r="W46" s="130">
        <f t="shared" si="63"/>
        <v>0</v>
      </c>
      <c r="X46" s="131">
        <f t="shared" si="64"/>
        <v>0</v>
      </c>
      <c r="Y46" s="130">
        <f t="shared" si="65"/>
        <v>414.89954384186524</v>
      </c>
      <c r="Z46" s="131">
        <f t="shared" si="66"/>
        <v>0</v>
      </c>
      <c r="AA46" s="130">
        <f t="shared" si="67"/>
        <v>0</v>
      </c>
      <c r="AB46" s="131">
        <f t="shared" si="68"/>
        <v>0</v>
      </c>
      <c r="AC46" s="129">
        <v>2.5</v>
      </c>
      <c r="AD46" s="130">
        <f t="shared" si="69"/>
        <v>11409.737455651293</v>
      </c>
      <c r="AE46" s="130">
        <f t="shared" si="70"/>
        <v>0</v>
      </c>
      <c r="AF46" s="35">
        <f ca="1">AD46*$AF$17</f>
        <v>1704.9032979708827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3">
        <v>10</v>
      </c>
      <c r="AO46" s="33">
        <f>'Исходные данные'!$C$59</f>
        <v>0.84</v>
      </c>
      <c r="AP46" s="79">
        <f>(G46*AN46)*AO46/100</f>
        <v>105</v>
      </c>
      <c r="AQ46" s="33" t="s">
        <v>153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71"/>
        <v>#REF!</v>
      </c>
      <c r="BV46" s="36" t="e">
        <f t="shared" ca="1" si="72"/>
        <v>#REF!</v>
      </c>
      <c r="BW46" s="38">
        <f t="shared" si="73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79</v>
      </c>
      <c r="C47" s="66"/>
      <c r="D47" s="479" t="s">
        <v>118</v>
      </c>
      <c r="E47" s="480"/>
      <c r="F47" s="28" t="s">
        <v>119</v>
      </c>
      <c r="G47" s="38">
        <f>BC47</f>
        <v>2.5</v>
      </c>
      <c r="H47" s="175">
        <v>42597</v>
      </c>
      <c r="I47" s="174">
        <f>I46</f>
        <v>42600</v>
      </c>
      <c r="J47" s="188">
        <f t="shared" si="59"/>
        <v>3</v>
      </c>
      <c r="K47" s="172">
        <v>2</v>
      </c>
      <c r="L47" s="33">
        <f t="shared" si="60"/>
        <v>1.25</v>
      </c>
      <c r="M47" s="34"/>
      <c r="N47" s="34">
        <v>1</v>
      </c>
      <c r="O47" s="35">
        <f t="shared" si="61"/>
        <v>0</v>
      </c>
      <c r="P47" s="35">
        <f t="shared" si="62"/>
        <v>8.75</v>
      </c>
      <c r="Q47" s="34"/>
      <c r="R47" s="33"/>
      <c r="S47" s="34">
        <v>2</v>
      </c>
      <c r="T47" s="83">
        <f ca="1">IF(AND(N47&gt;0,P47&gt;0),SUMIF('Исходные данные'!$C$14:$J$30,S47,'Исходные данные'!$C$34:$J$42),IF(N47=0,0,IF(S47=0,"РОТ")))</f>
        <v>105.700598073999</v>
      </c>
      <c r="U47" s="130">
        <f>O47*R47*'Исходные данные'!$C$40%</f>
        <v>0</v>
      </c>
      <c r="V47" s="130">
        <f ca="1">P47*T47*'Исходные данные'!$C$41%</f>
        <v>323.70808160162193</v>
      </c>
      <c r="W47" s="130">
        <f t="shared" si="63"/>
        <v>0</v>
      </c>
      <c r="X47" s="131">
        <f t="shared" ca="1" si="64"/>
        <v>0</v>
      </c>
      <c r="Y47" s="130">
        <f t="shared" si="65"/>
        <v>0</v>
      </c>
      <c r="Z47" s="131">
        <f t="shared" ca="1" si="66"/>
        <v>62.429415737455656</v>
      </c>
      <c r="AA47" s="130">
        <f t="shared" si="67"/>
        <v>0</v>
      </c>
      <c r="AB47" s="131">
        <f t="shared" ca="1" si="68"/>
        <v>0</v>
      </c>
      <c r="AC47" s="129">
        <v>2.5</v>
      </c>
      <c r="AD47" s="130">
        <f t="shared" si="69"/>
        <v>0</v>
      </c>
      <c r="AE47" s="130">
        <f t="shared" ca="1" si="70"/>
        <v>3277.5443262164217</v>
      </c>
      <c r="AF47" s="35"/>
      <c r="AG47" s="73">
        <f ca="1">AE47*$AF$17</f>
        <v>489.748002767971</v>
      </c>
      <c r="AH47" s="35"/>
      <c r="AI47" s="35">
        <f ca="1">AE47+AG47</f>
        <v>3767.292328984393</v>
      </c>
      <c r="AJ47" s="35"/>
      <c r="AK47" s="73">
        <f ca="1">AI47*$AJ$17</f>
        <v>1130.1876986953177</v>
      </c>
      <c r="AL47" s="35"/>
      <c r="AM47" s="73">
        <f ca="1">AK47+AI47</f>
        <v>4897.4800276797105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2.5</v>
      </c>
      <c r="BD47" s="113">
        <v>12.5</v>
      </c>
      <c r="BE47" s="36">
        <f>BC47*BD47*1000</f>
        <v>31250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71"/>
        <v>36147.48002767971</v>
      </c>
      <c r="BV47" s="36">
        <f t="shared" ca="1" si="72"/>
        <v>361.47480027679711</v>
      </c>
      <c r="BW47" s="38">
        <f t="shared" si="73"/>
        <v>8.7499999999999994E-2</v>
      </c>
      <c r="BX47" s="38"/>
      <c r="BY47" s="39"/>
    </row>
    <row r="48" spans="1:77" ht="22.5" x14ac:dyDescent="0.2">
      <c r="A48" s="20">
        <v>5</v>
      </c>
      <c r="B48" s="27" t="s">
        <v>80</v>
      </c>
      <c r="C48" s="66"/>
      <c r="D48" s="479" t="s">
        <v>118</v>
      </c>
      <c r="E48" s="480"/>
      <c r="F48" s="28" t="s">
        <v>123</v>
      </c>
      <c r="G48" s="66">
        <f>D10*D9*2</f>
        <v>840</v>
      </c>
      <c r="H48" s="175">
        <v>42597</v>
      </c>
      <c r="I48" s="174">
        <f>I47</f>
        <v>42600</v>
      </c>
      <c r="J48" s="188">
        <f t="shared" si="59"/>
        <v>3</v>
      </c>
      <c r="K48" s="172">
        <f>G48/J48</f>
        <v>280</v>
      </c>
      <c r="L48" s="33">
        <f t="shared" si="60"/>
        <v>3</v>
      </c>
      <c r="M48" s="34"/>
      <c r="N48" s="34">
        <v>1</v>
      </c>
      <c r="O48" s="35">
        <f t="shared" si="61"/>
        <v>0</v>
      </c>
      <c r="P48" s="35">
        <f t="shared" si="62"/>
        <v>21</v>
      </c>
      <c r="Q48" s="34"/>
      <c r="R48" s="33"/>
      <c r="S48" s="34">
        <v>2</v>
      </c>
      <c r="T48" s="83">
        <f ca="1">IF(AND(N48&gt;0,P48&gt;0),SUMIF('Исходные данные'!$C$14:$J$30,S48,'Исходные данные'!$C$34:$J$42),IF(N48=0,0,IF(S48=0,"РОТ")))</f>
        <v>105.700598073999</v>
      </c>
      <c r="U48" s="130">
        <f>O48*R48*'Исходные данные'!$C$40%</f>
        <v>0</v>
      </c>
      <c r="V48" s="130">
        <f ca="1">P48*T48*'Исходные данные'!$C$41%</f>
        <v>776.89939584389265</v>
      </c>
      <c r="W48" s="130">
        <f t="shared" si="63"/>
        <v>0</v>
      </c>
      <c r="X48" s="131">
        <f t="shared" ca="1" si="64"/>
        <v>0</v>
      </c>
      <c r="Y48" s="130">
        <f t="shared" si="65"/>
        <v>0</v>
      </c>
      <c r="Z48" s="131">
        <f t="shared" ca="1" si="66"/>
        <v>149.83059776989361</v>
      </c>
      <c r="AA48" s="130">
        <f t="shared" si="67"/>
        <v>0</v>
      </c>
      <c r="AB48" s="131">
        <f t="shared" ca="1" si="68"/>
        <v>0</v>
      </c>
      <c r="AC48" s="129">
        <v>2.5</v>
      </c>
      <c r="AD48" s="130">
        <f t="shared" si="69"/>
        <v>0</v>
      </c>
      <c r="AE48" s="130">
        <f t="shared" ca="1" si="70"/>
        <v>7866.1063829194145</v>
      </c>
      <c r="AF48" s="35"/>
      <c r="AG48" s="73">
        <f ca="1">AE48*$AF$17</f>
        <v>1175.3952066431307</v>
      </c>
      <c r="AH48" s="35"/>
      <c r="AI48" s="35">
        <f ca="1">AE48+AG48</f>
        <v>9041.5015895625456</v>
      </c>
      <c r="AJ48" s="35"/>
      <c r="AK48" s="73">
        <f ca="1">AI48*$AJ$17</f>
        <v>2712.4504768687634</v>
      </c>
      <c r="AL48" s="35"/>
      <c r="AM48" s="73">
        <f ca="1">AK48+AI48</f>
        <v>11753.95206643131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949.19999999999993</v>
      </c>
      <c r="BG48" s="38">
        <f>30*1.045*1.054</f>
        <v>33.042899999999996</v>
      </c>
      <c r="BH48" s="36">
        <f>BF48*BG48</f>
        <v>31364.320679999993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71"/>
        <v>43118.272746431307</v>
      </c>
      <c r="BV48" s="36">
        <f t="shared" ca="1" si="72"/>
        <v>431.18272746431307</v>
      </c>
      <c r="BW48" s="38">
        <f t="shared" si="73"/>
        <v>0.21</v>
      </c>
      <c r="BX48" s="38"/>
      <c r="BY48" s="39"/>
    </row>
    <row r="49" spans="1:77" ht="22.5" x14ac:dyDescent="0.2">
      <c r="A49" s="20">
        <v>6</v>
      </c>
      <c r="B49" s="27" t="s">
        <v>81</v>
      </c>
      <c r="C49" s="66"/>
      <c r="D49" s="479" t="s">
        <v>118</v>
      </c>
      <c r="E49" s="480"/>
      <c r="F49" s="28" t="s">
        <v>123</v>
      </c>
      <c r="G49" s="66">
        <f>G48</f>
        <v>840</v>
      </c>
      <c r="H49" s="175">
        <v>42597</v>
      </c>
      <c r="I49" s="174">
        <f>I48</f>
        <v>42600</v>
      </c>
      <c r="J49" s="188">
        <f t="shared" si="59"/>
        <v>3</v>
      </c>
      <c r="K49" s="172">
        <f>G49/J49</f>
        <v>280</v>
      </c>
      <c r="L49" s="33">
        <f t="shared" si="60"/>
        <v>3</v>
      </c>
      <c r="M49" s="34"/>
      <c r="N49" s="34">
        <v>1</v>
      </c>
      <c r="O49" s="35">
        <f t="shared" si="61"/>
        <v>0</v>
      </c>
      <c r="P49" s="35">
        <f t="shared" si="62"/>
        <v>21</v>
      </c>
      <c r="Q49" s="34"/>
      <c r="R49" s="33"/>
      <c r="S49" s="34">
        <v>2</v>
      </c>
      <c r="T49" s="83">
        <f ca="1">IF(AND(N49&gt;0,P49&gt;0),SUMIF('Исходные данные'!$C$14:$J$30,S49,'Исходные данные'!$C$34:$J$42),IF(N49=0,0,IF(S49=0,"РОТ")))</f>
        <v>105.700598073999</v>
      </c>
      <c r="U49" s="130">
        <f>O49*R49*'Исходные данные'!$C$40%</f>
        <v>0</v>
      </c>
      <c r="V49" s="130">
        <f ca="1">P49*T49*'Исходные данные'!$C$41%</f>
        <v>776.89939584389265</v>
      </c>
      <c r="W49" s="130">
        <f t="shared" si="63"/>
        <v>0</v>
      </c>
      <c r="X49" s="131">
        <f t="shared" ca="1" si="64"/>
        <v>0</v>
      </c>
      <c r="Y49" s="130">
        <f t="shared" si="65"/>
        <v>0</v>
      </c>
      <c r="Z49" s="131">
        <f t="shared" ca="1" si="66"/>
        <v>149.83059776989361</v>
      </c>
      <c r="AA49" s="130">
        <f t="shared" si="67"/>
        <v>0</v>
      </c>
      <c r="AB49" s="131">
        <f t="shared" ca="1" si="68"/>
        <v>0</v>
      </c>
      <c r="AC49" s="129">
        <v>2.5</v>
      </c>
      <c r="AD49" s="130">
        <f t="shared" si="69"/>
        <v>0</v>
      </c>
      <c r="AE49" s="130">
        <f t="shared" ca="1" si="70"/>
        <v>7866.1063829194145</v>
      </c>
      <c r="AF49" s="35"/>
      <c r="AG49" s="73">
        <f ca="1">AE49*$AF$17</f>
        <v>1175.3952066431307</v>
      </c>
      <c r="AH49" s="35"/>
      <c r="AI49" s="35">
        <f ca="1">AE49+AG49</f>
        <v>9041.5015895625456</v>
      </c>
      <c r="AJ49" s="35"/>
      <c r="AK49" s="73">
        <f ca="1">AI49*$AJ$17</f>
        <v>2712.4504768687634</v>
      </c>
      <c r="AL49" s="35"/>
      <c r="AM49" s="73">
        <f ca="1">AK49+AI49</f>
        <v>11753.95206643131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71"/>
        <v>11753.95206643131</v>
      </c>
      <c r="BV49" s="36">
        <f t="shared" ca="1" si="72"/>
        <v>117.5395206643131</v>
      </c>
      <c r="BW49" s="38">
        <f t="shared" si="73"/>
        <v>0.21</v>
      </c>
      <c r="BX49" s="38"/>
      <c r="BY49" s="39"/>
    </row>
    <row r="50" spans="1:77" s="54" customFormat="1" x14ac:dyDescent="0.2">
      <c r="A50" s="52"/>
      <c r="B50" s="53" t="s">
        <v>21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4">SUM(L44:L49)</f>
        <v>28.375</v>
      </c>
      <c r="M50" s="65">
        <f t="shared" si="74"/>
        <v>3</v>
      </c>
      <c r="N50" s="65">
        <f t="shared" si="74"/>
        <v>3</v>
      </c>
      <c r="O50" s="65">
        <f t="shared" si="74"/>
        <v>147.875</v>
      </c>
      <c r="P50" s="65">
        <f t="shared" si="74"/>
        <v>50.75</v>
      </c>
      <c r="Q50" s="65"/>
      <c r="R50" s="65"/>
      <c r="S50" s="65"/>
      <c r="T50" s="65"/>
      <c r="U50" s="65">
        <f t="shared" ca="1" si="74"/>
        <v>0</v>
      </c>
      <c r="V50" s="65">
        <f t="shared" ca="1" si="74"/>
        <v>1877.5068732894074</v>
      </c>
      <c r="W50" s="65">
        <f t="shared" ca="1" si="74"/>
        <v>0</v>
      </c>
      <c r="X50" s="65">
        <f t="shared" ca="1" si="74"/>
        <v>0</v>
      </c>
      <c r="Y50" s="65">
        <f t="shared" ca="1" si="74"/>
        <v>2848.976867714141</v>
      </c>
      <c r="Z50" s="65">
        <f t="shared" ca="1" si="74"/>
        <v>362.09061127724289</v>
      </c>
      <c r="AA50" s="65">
        <f t="shared" ca="1" si="74"/>
        <v>0</v>
      </c>
      <c r="AB50" s="65">
        <f t="shared" ca="1" si="74"/>
        <v>0</v>
      </c>
      <c r="AC50" s="65"/>
      <c r="AD50" s="65">
        <f t="shared" ca="1" si="74"/>
        <v>78346.863862138882</v>
      </c>
      <c r="AE50" s="65">
        <f t="shared" ca="1" si="74"/>
        <v>19009.75709205525</v>
      </c>
      <c r="AF50" s="65">
        <f t="shared" ca="1" si="74"/>
        <v>11707.002646066729</v>
      </c>
      <c r="AG50" s="65">
        <f t="shared" ca="1" si="74"/>
        <v>2840.5384160542326</v>
      </c>
      <c r="AH50" s="65">
        <f t="shared" ca="1" si="74"/>
        <v>90053.86650820561</v>
      </c>
      <c r="AI50" s="65">
        <f t="shared" ca="1" si="74"/>
        <v>21850.295508109484</v>
      </c>
      <c r="AJ50" s="65">
        <f t="shared" ca="1" si="74"/>
        <v>27016.159952461683</v>
      </c>
      <c r="AK50" s="65">
        <f t="shared" ca="1" si="74"/>
        <v>6555.0886524328453</v>
      </c>
      <c r="AL50" s="65">
        <f t="shared" ca="1" si="74"/>
        <v>117070.02646066729</v>
      </c>
      <c r="AM50" s="65">
        <f t="shared" ca="1" si="74"/>
        <v>28405.384160542329</v>
      </c>
      <c r="AN50" s="65"/>
      <c r="AO50" s="65"/>
      <c r="AP50" s="65">
        <f t="shared" si="74"/>
        <v>246.965</v>
      </c>
      <c r="AQ50" s="65"/>
      <c r="AR50" s="65"/>
      <c r="AS50" s="65" t="e">
        <f t="shared" si="74"/>
        <v>#REF!</v>
      </c>
      <c r="AT50" s="65"/>
      <c r="AU50" s="65">
        <f t="shared" si="74"/>
        <v>0</v>
      </c>
      <c r="AV50" s="65"/>
      <c r="AW50" s="65">
        <f t="shared" si="74"/>
        <v>0</v>
      </c>
      <c r="AX50" s="65"/>
      <c r="AY50" s="65">
        <f t="shared" si="74"/>
        <v>0</v>
      </c>
      <c r="AZ50" s="65"/>
      <c r="BA50" s="65">
        <f t="shared" si="74"/>
        <v>0</v>
      </c>
      <c r="BB50" s="65"/>
      <c r="BC50" s="65">
        <f t="shared" si="74"/>
        <v>2.5</v>
      </c>
      <c r="BD50" s="65"/>
      <c r="BE50" s="65">
        <f t="shared" si="74"/>
        <v>31250</v>
      </c>
      <c r="BF50" s="65">
        <f>SUM(BF44:BF49)</f>
        <v>949.19999999999993</v>
      </c>
      <c r="BG50" s="65"/>
      <c r="BH50" s="65">
        <f>SUM(BH44:BH49)</f>
        <v>31364.320679999993</v>
      </c>
      <c r="BI50" s="65"/>
      <c r="BJ50" s="65">
        <f t="shared" si="74"/>
        <v>3522.5313864106147</v>
      </c>
      <c r="BK50" s="65"/>
      <c r="BL50" s="65">
        <f t="shared" si="74"/>
        <v>1745.5295124269005</v>
      </c>
      <c r="BM50" s="65">
        <f t="shared" si="74"/>
        <v>173995.65000000002</v>
      </c>
      <c r="BN50" s="65"/>
      <c r="BO50" s="65">
        <f t="shared" si="74"/>
        <v>10029.57</v>
      </c>
      <c r="BP50" s="65"/>
      <c r="BQ50" s="65">
        <f t="shared" si="74"/>
        <v>1554.8812499999999</v>
      </c>
      <c r="BR50" s="65"/>
      <c r="BS50" s="65">
        <f t="shared" ref="BS50:BY50" si="75">SUM(BS44:BS49)</f>
        <v>488.70449099999996</v>
      </c>
      <c r="BT50" s="65">
        <f t="shared" si="75"/>
        <v>127435.49787499999</v>
      </c>
      <c r="BU50" s="65" t="e">
        <f t="shared" ca="1" si="75"/>
        <v>#REF!</v>
      </c>
      <c r="BV50" s="65"/>
      <c r="BW50" s="65"/>
      <c r="BX50" s="65"/>
      <c r="BY50" s="65">
        <f t="shared" si="75"/>
        <v>114.03749999999999</v>
      </c>
    </row>
    <row r="51" spans="1:77" s="51" customFormat="1" x14ac:dyDescent="0.2">
      <c r="A51" s="48"/>
      <c r="B51" s="58" t="s">
        <v>29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127.73471926083866</v>
      </c>
      <c r="M51" s="78">
        <f>M34+M42+M50</f>
        <v>14</v>
      </c>
      <c r="N51" s="78">
        <f>N34+N42+N50</f>
        <v>13</v>
      </c>
      <c r="O51" s="78">
        <f>O34+O42+O50</f>
        <v>570.3930348258707</v>
      </c>
      <c r="P51" s="78">
        <f>P34+P42+P50</f>
        <v>462.80970149253733</v>
      </c>
      <c r="Q51" s="78"/>
      <c r="R51" s="78"/>
      <c r="S51" s="78"/>
      <c r="T51" s="78"/>
      <c r="U51" s="78">
        <f t="shared" ref="U51:AM51" ca="1" si="76">U34+U42+U50</f>
        <v>0</v>
      </c>
      <c r="V51" s="78">
        <f t="shared" ca="1" si="76"/>
        <v>18697.32280251303</v>
      </c>
      <c r="W51" s="78">
        <f t="shared" ca="1" si="76"/>
        <v>0</v>
      </c>
      <c r="X51" s="78">
        <f t="shared" ca="1" si="76"/>
        <v>0</v>
      </c>
      <c r="Y51" s="78">
        <f t="shared" ca="1" si="76"/>
        <v>10072.314472815851</v>
      </c>
      <c r="Z51" s="78">
        <f t="shared" ca="1" si="76"/>
        <v>3605.912254770371</v>
      </c>
      <c r="AA51" s="78">
        <f t="shared" ca="1" si="76"/>
        <v>0</v>
      </c>
      <c r="AB51" s="78">
        <f t="shared" ca="1" si="76"/>
        <v>0</v>
      </c>
      <c r="AC51" s="78"/>
      <c r="AD51" s="78">
        <f t="shared" ca="1" si="76"/>
        <v>350010.9677186042</v>
      </c>
      <c r="AE51" s="78">
        <f t="shared" ca="1" si="76"/>
        <v>233948.70922318901</v>
      </c>
      <c r="AF51" s="78">
        <f t="shared" ca="1" si="76"/>
        <v>52300.489429216716</v>
      </c>
      <c r="AG51" s="78">
        <f t="shared" ca="1" si="76"/>
        <v>34957.853102315588</v>
      </c>
      <c r="AH51" s="78">
        <f t="shared" ca="1" si="76"/>
        <v>402311.45714782091</v>
      </c>
      <c r="AI51" s="78">
        <f t="shared" ca="1" si="76"/>
        <v>268906.56232550461</v>
      </c>
      <c r="AJ51" s="78">
        <f t="shared" ca="1" si="76"/>
        <v>120693.43714434627</v>
      </c>
      <c r="AK51" s="78">
        <f t="shared" ca="1" si="76"/>
        <v>80671.968697651377</v>
      </c>
      <c r="AL51" s="78">
        <f t="shared" ca="1" si="76"/>
        <v>523004.89429216716</v>
      </c>
      <c r="AM51" s="78">
        <f t="shared" ca="1" si="76"/>
        <v>349578.53102315596</v>
      </c>
      <c r="AN51" s="78"/>
      <c r="AO51" s="78"/>
      <c r="AP51" s="78">
        <f>AP34+AP42+AP50</f>
        <v>394.40199200000001</v>
      </c>
      <c r="AQ51" s="78"/>
      <c r="AR51" s="78"/>
      <c r="AS51" s="78" t="e">
        <f>AS34+AS42+AS50</f>
        <v>#REF!</v>
      </c>
      <c r="AT51" s="78"/>
      <c r="AU51" s="78">
        <f>AU34+AU42+AU50</f>
        <v>10.5</v>
      </c>
      <c r="AV51" s="78"/>
      <c r="AW51" s="78">
        <f>AW34+AW42+AW50</f>
        <v>220500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2.5</v>
      </c>
      <c r="BD51" s="78"/>
      <c r="BE51" s="78">
        <f>BE34+BE42+BE50</f>
        <v>31250</v>
      </c>
      <c r="BF51" s="78">
        <f>BF34+BF42+BF50</f>
        <v>949.19999999999993</v>
      </c>
      <c r="BG51" s="78"/>
      <c r="BH51" s="78">
        <f>BH34+BH42+BH50</f>
        <v>31364.320679999993</v>
      </c>
      <c r="BI51" s="78"/>
      <c r="BJ51" s="78">
        <f>BJ34+BJ42+BJ50</f>
        <v>9184.2845259138885</v>
      </c>
      <c r="BK51" s="78"/>
      <c r="BL51" s="78">
        <f>BL34+BL42+BL50</f>
        <v>6997.0959725573293</v>
      </c>
      <c r="BM51" s="78">
        <f>BM34+BM42+BM50</f>
        <v>173995.65000000002</v>
      </c>
      <c r="BN51" s="78"/>
      <c r="BO51" s="78">
        <f>BO34+BO42+BO50</f>
        <v>50359.837707889128</v>
      </c>
      <c r="BP51" s="78"/>
      <c r="BQ51" s="78">
        <f>BQ34+BQ42+BQ50</f>
        <v>6439.9079984008531</v>
      </c>
      <c r="BR51" s="78"/>
      <c r="BS51" s="78">
        <f>BS34+BS42+BS50</f>
        <v>2356.7921579679105</v>
      </c>
      <c r="BT51" s="78">
        <f>BT34+BT42+BT50</f>
        <v>492850.889354204</v>
      </c>
      <c r="BU51" s="78" t="e">
        <f ca="1">BU34+BU42+BU50</f>
        <v>#REF!</v>
      </c>
      <c r="BV51" s="78"/>
      <c r="BW51" s="78"/>
      <c r="BX51" s="78"/>
      <c r="BY51" s="78">
        <f>BY34+BY42+BY50</f>
        <v>542.73813965884858</v>
      </c>
    </row>
  </sheetData>
  <mergeCells count="128">
    <mergeCell ref="A15:A19"/>
    <mergeCell ref="B15:E16"/>
    <mergeCell ref="F15:F19"/>
    <mergeCell ref="G15:G19"/>
    <mergeCell ref="B17:B19"/>
    <mergeCell ref="C17:E17"/>
    <mergeCell ref="O17:P17"/>
    <mergeCell ref="O15:P16"/>
    <mergeCell ref="AA17:AB17"/>
    <mergeCell ref="L15:L19"/>
    <mergeCell ref="Y18:Y19"/>
    <mergeCell ref="Z18:Z19"/>
    <mergeCell ref="T18:T19"/>
    <mergeCell ref="W15:X16"/>
    <mergeCell ref="K15:K19"/>
    <mergeCell ref="M15:N16"/>
    <mergeCell ref="N17:N19"/>
    <mergeCell ref="S18:S19"/>
    <mergeCell ref="Q15:T16"/>
    <mergeCell ref="Q17:R17"/>
    <mergeCell ref="R18:R19"/>
    <mergeCell ref="S17:T17"/>
    <mergeCell ref="C18:C19"/>
    <mergeCell ref="D18:D19"/>
    <mergeCell ref="W18:W19"/>
    <mergeCell ref="X18:X19"/>
    <mergeCell ref="W17:X17"/>
    <mergeCell ref="BN17:BO17"/>
    <mergeCell ref="BP17:BQ17"/>
    <mergeCell ref="BT17:BT19"/>
    <mergeCell ref="BV17:BV19"/>
    <mergeCell ref="BD17:BD19"/>
    <mergeCell ref="BE17:BE19"/>
    <mergeCell ref="BM17:BM19"/>
    <mergeCell ref="AM17:AM19"/>
    <mergeCell ref="AH17:AH19"/>
    <mergeCell ref="BA17:BA19"/>
    <mergeCell ref="AN17:AN19"/>
    <mergeCell ref="AO17:AO19"/>
    <mergeCell ref="AP17:AP19"/>
    <mergeCell ref="AQ17:AQ19"/>
    <mergeCell ref="AR17:AR19"/>
    <mergeCell ref="BY17:BY19"/>
    <mergeCell ref="BP18:BP19"/>
    <mergeCell ref="AS17:AS19"/>
    <mergeCell ref="AT17:AT19"/>
    <mergeCell ref="BU17:BU19"/>
    <mergeCell ref="BX17:BX19"/>
    <mergeCell ref="BU15:BV16"/>
    <mergeCell ref="BW15:BW19"/>
    <mergeCell ref="AU17:AU19"/>
    <mergeCell ref="AY17:AY19"/>
    <mergeCell ref="BH17:BH19"/>
    <mergeCell ref="BL18:BL19"/>
    <mergeCell ref="BB17:BB19"/>
    <mergeCell ref="BC17:BC19"/>
    <mergeCell ref="BQ18:BQ19"/>
    <mergeCell ref="BR18:BR19"/>
    <mergeCell ref="BX15:BY16"/>
    <mergeCell ref="AN15:AS16"/>
    <mergeCell ref="AT15:AW16"/>
    <mergeCell ref="AX15:BA16"/>
    <mergeCell ref="BN15:BT16"/>
    <mergeCell ref="AW17:AW19"/>
    <mergeCell ref="BI15:BM16"/>
    <mergeCell ref="AV17:AV19"/>
    <mergeCell ref="BB15:BE16"/>
    <mergeCell ref="AX17:AX19"/>
    <mergeCell ref="BF15:BH16"/>
    <mergeCell ref="AZ17:AZ19"/>
    <mergeCell ref="BR17:BS17"/>
    <mergeCell ref="BN18:BN19"/>
    <mergeCell ref="BO18:BO19"/>
    <mergeCell ref="BF17:BF19"/>
    <mergeCell ref="BG17:BG19"/>
    <mergeCell ref="BS18:BS19"/>
    <mergeCell ref="BI17:BJ17"/>
    <mergeCell ref="BK17:BL17"/>
    <mergeCell ref="BI18:BI19"/>
    <mergeCell ref="BJ18:BJ19"/>
    <mergeCell ref="BK18:BK19"/>
    <mergeCell ref="D48:E48"/>
    <mergeCell ref="D49:E49"/>
    <mergeCell ref="D36:E36"/>
    <mergeCell ref="D28:E28"/>
    <mergeCell ref="D29:E29"/>
    <mergeCell ref="D31:E31"/>
    <mergeCell ref="D47:E47"/>
    <mergeCell ref="B43:E43"/>
    <mergeCell ref="B35:E35"/>
    <mergeCell ref="D46:E46"/>
    <mergeCell ref="D38:E38"/>
    <mergeCell ref="D40:E40"/>
    <mergeCell ref="AH15:AI16"/>
    <mergeCell ref="AJ15:AK16"/>
    <mergeCell ref="AG18:AG19"/>
    <mergeCell ref="AJ18:AJ19"/>
    <mergeCell ref="AK18:AK19"/>
    <mergeCell ref="AI17:AI19"/>
    <mergeCell ref="AJ17:AK17"/>
    <mergeCell ref="AL17:AL19"/>
    <mergeCell ref="AL15:AM16"/>
    <mergeCell ref="AF15:AG16"/>
    <mergeCell ref="AF17:AG17"/>
    <mergeCell ref="D26:E26"/>
    <mergeCell ref="B20:E20"/>
    <mergeCell ref="B21:E21"/>
    <mergeCell ref="AF18:AF19"/>
    <mergeCell ref="M17:M19"/>
    <mergeCell ref="J15:J19"/>
    <mergeCell ref="AD17:AD19"/>
    <mergeCell ref="V17:V19"/>
    <mergeCell ref="AA18:AA19"/>
    <mergeCell ref="AB18:AB19"/>
    <mergeCell ref="H15:I16"/>
    <mergeCell ref="E18:E19"/>
    <mergeCell ref="O18:O19"/>
    <mergeCell ref="P18:P19"/>
    <mergeCell ref="Q18:Q19"/>
    <mergeCell ref="H17:H19"/>
    <mergeCell ref="I17:I19"/>
    <mergeCell ref="U17:U19"/>
    <mergeCell ref="U15:V16"/>
    <mergeCell ref="AE17:AE19"/>
    <mergeCell ref="AA15:AB16"/>
    <mergeCell ref="Y15:Z16"/>
    <mergeCell ref="AC15:AE16"/>
    <mergeCell ref="AC17:AC19"/>
  </mergeCells>
  <phoneticPr fontId="4" type="noConversion"/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H22:J49 L35:N41 Q35:Q41 S35:S41 U36:AE41 AF35:AM41 AP36:AP41 AS36:AS41 K42:BY43 AT35:BY41 Q44:Q49 L44:N49">
    <cfRule type="cellIs" dxfId="110" priority="41" stopIfTrue="1" operator="greaterThan">
      <formula>0</formula>
    </cfRule>
  </conditionalFormatting>
  <conditionalFormatting sqref="AN36:AN41 K22:K33 AN22:AN33 AN44:AN47 K36:K41 K44:K49">
    <cfRule type="cellIs" dxfId="109" priority="42" stopIfTrue="1" operator="greaterThan">
      <formula>0</formula>
    </cfRule>
  </conditionalFormatting>
  <conditionalFormatting sqref="E22:E25 E32:E33 E27 E30 E37:E41 E44:E45">
    <cfRule type="cellIs" dxfId="108" priority="43" stopIfTrue="1" operator="equal">
      <formula>0</formula>
    </cfRule>
  </conditionalFormatting>
  <conditionalFormatting sqref="O22:P33 O44:P49 O36:P41">
    <cfRule type="cellIs" dxfId="107" priority="44" stopIfTrue="1" operator="greaterThan">
      <formula>0</formula>
    </cfRule>
  </conditionalFormatting>
  <conditionalFormatting sqref="E32">
    <cfRule type="cellIs" dxfId="106" priority="40" stopIfTrue="1" operator="equal">
      <formula>0</formula>
    </cfRule>
  </conditionalFormatting>
  <conditionalFormatting sqref="E44">
    <cfRule type="cellIs" dxfId="105" priority="39" stopIfTrue="1" operator="equal">
      <formula>0</formula>
    </cfRule>
  </conditionalFormatting>
  <conditionalFormatting sqref="E44">
    <cfRule type="cellIs" dxfId="104" priority="38" stopIfTrue="1" operator="equal">
      <formula>0</formula>
    </cfRule>
  </conditionalFormatting>
  <conditionalFormatting sqref="E32">
    <cfRule type="cellIs" dxfId="103" priority="37" stopIfTrue="1" operator="equal">
      <formula>0</formula>
    </cfRule>
  </conditionalFormatting>
  <conditionalFormatting sqref="E44">
    <cfRule type="cellIs" dxfId="102" priority="36" stopIfTrue="1" operator="equal">
      <formula>0</formula>
    </cfRule>
  </conditionalFormatting>
  <conditionalFormatting sqref="E44">
    <cfRule type="cellIs" dxfId="101" priority="35" stopIfTrue="1" operator="equal">
      <formula>0</formula>
    </cfRule>
  </conditionalFormatting>
  <conditionalFormatting sqref="E44">
    <cfRule type="cellIs" dxfId="100" priority="34" stopIfTrue="1" operator="equal">
      <formula>0</formula>
    </cfRule>
  </conditionalFormatting>
  <conditionalFormatting sqref="E39">
    <cfRule type="cellIs" dxfId="99" priority="33" stopIfTrue="1" operator="equal">
      <formula>0</formula>
    </cfRule>
  </conditionalFormatting>
  <conditionalFormatting sqref="J36:J41">
    <cfRule type="cellIs" dxfId="98" priority="32" stopIfTrue="1" operator="greaterThan">
      <formula>0</formula>
    </cfRule>
  </conditionalFormatting>
  <conditionalFormatting sqref="L36:L39">
    <cfRule type="cellIs" dxfId="97" priority="31" stopIfTrue="1" operator="greaterThan">
      <formula>0</formula>
    </cfRule>
  </conditionalFormatting>
  <conditionalFormatting sqref="H38:I39">
    <cfRule type="cellIs" dxfId="96" priority="30" stopIfTrue="1" operator="greaterThan">
      <formula>0</formula>
    </cfRule>
  </conditionalFormatting>
  <conditionalFormatting sqref="L40:L41">
    <cfRule type="cellIs" dxfId="95" priority="29" stopIfTrue="1" operator="greaterThan">
      <formula>0</formula>
    </cfRule>
  </conditionalFormatting>
  <conditionalFormatting sqref="E41">
    <cfRule type="cellIs" dxfId="94" priority="28" stopIfTrue="1" operator="equal">
      <formula>0</formula>
    </cfRule>
  </conditionalFormatting>
  <conditionalFormatting sqref="H40:I41">
    <cfRule type="cellIs" dxfId="93" priority="27" stopIfTrue="1" operator="greaterThan">
      <formula>0</formula>
    </cfRule>
  </conditionalFormatting>
  <conditionalFormatting sqref="K36:K41">
    <cfRule type="cellIs" dxfId="92" priority="26" stopIfTrue="1" operator="greaterThan">
      <formula>0</formula>
    </cfRule>
  </conditionalFormatting>
  <conditionalFormatting sqref="H36:I37">
    <cfRule type="cellIs" dxfId="91" priority="25" stopIfTrue="1" operator="greaterThan">
      <formula>0</formula>
    </cfRule>
  </conditionalFormatting>
  <conditionalFormatting sqref="H22:I32">
    <cfRule type="cellIs" dxfId="90" priority="24" stopIfTrue="1" operator="greaterThan">
      <formula>0</formula>
    </cfRule>
  </conditionalFormatting>
  <conditionalFormatting sqref="E25">
    <cfRule type="cellIs" dxfId="89" priority="23" stopIfTrue="1" operator="equal">
      <formula>0</formula>
    </cfRule>
  </conditionalFormatting>
  <conditionalFormatting sqref="K32">
    <cfRule type="cellIs" dxfId="88" priority="22" stopIfTrue="1" operator="greaterThan">
      <formula>0</formula>
    </cfRule>
  </conditionalFormatting>
  <conditionalFormatting sqref="AT32">
    <cfRule type="cellIs" dxfId="87" priority="21" stopIfTrue="1" operator="greaterThan">
      <formula>0</formula>
    </cfRule>
  </conditionalFormatting>
  <conditionalFormatting sqref="K22">
    <cfRule type="cellIs" dxfId="86" priority="20" stopIfTrue="1" operator="greaterThan">
      <formula>0</formula>
    </cfRule>
  </conditionalFormatting>
  <conditionalFormatting sqref="K23:K24">
    <cfRule type="cellIs" dxfId="85" priority="19" stopIfTrue="1" operator="greaterThan">
      <formula>0</formula>
    </cfRule>
  </conditionalFormatting>
  <conditionalFormatting sqref="J22">
    <cfRule type="cellIs" dxfId="84" priority="18" stopIfTrue="1" operator="greaterThan">
      <formula>0</formula>
    </cfRule>
  </conditionalFormatting>
  <conditionalFormatting sqref="J23:J24">
    <cfRule type="cellIs" dxfId="83" priority="17" stopIfTrue="1" operator="greaterThan">
      <formula>0</formula>
    </cfRule>
  </conditionalFormatting>
  <conditionalFormatting sqref="J32">
    <cfRule type="cellIs" dxfId="82" priority="16" stopIfTrue="1" operator="greaterThan">
      <formula>0</formula>
    </cfRule>
  </conditionalFormatting>
  <conditionalFormatting sqref="H44:I49">
    <cfRule type="cellIs" dxfId="81" priority="15" stopIfTrue="1" operator="greaterThan">
      <formula>0</formula>
    </cfRule>
  </conditionalFormatting>
  <conditionalFormatting sqref="K44">
    <cfRule type="cellIs" dxfId="80" priority="14" stopIfTrue="1" operator="greaterThan">
      <formula>0</formula>
    </cfRule>
  </conditionalFormatting>
  <conditionalFormatting sqref="K45">
    <cfRule type="cellIs" dxfId="79" priority="13" stopIfTrue="1" operator="greaterThan">
      <formula>0</formula>
    </cfRule>
  </conditionalFormatting>
  <conditionalFormatting sqref="K46">
    <cfRule type="cellIs" dxfId="78" priority="12" stopIfTrue="1" operator="greaterThan">
      <formula>0</formula>
    </cfRule>
  </conditionalFormatting>
  <conditionalFormatting sqref="J44:J49">
    <cfRule type="cellIs" dxfId="77" priority="11" stopIfTrue="1" operator="greaterThan">
      <formula>0</formula>
    </cfRule>
  </conditionalFormatting>
  <conditionalFormatting sqref="K48:K49">
    <cfRule type="cellIs" dxfId="76" priority="10" stopIfTrue="1" operator="greaterThan">
      <formula>0</formula>
    </cfRule>
  </conditionalFormatting>
  <conditionalFormatting sqref="K23:K31">
    <cfRule type="cellIs" dxfId="75" priority="9" stopIfTrue="1" operator="greaterThan">
      <formula>0</formula>
    </cfRule>
  </conditionalFormatting>
  <conditionalFormatting sqref="J22:J32">
    <cfRule type="cellIs" dxfId="74" priority="8" stopIfTrue="1" operator="greaterThan">
      <formula>0</formula>
    </cfRule>
  </conditionalFormatting>
  <conditionalFormatting sqref="AN36:AN41">
    <cfRule type="cellIs" dxfId="73" priority="7" stopIfTrue="1" operator="greaterThan">
      <formula>0</formula>
    </cfRule>
  </conditionalFormatting>
  <conditionalFormatting sqref="AN22:AN32">
    <cfRule type="cellIs" dxfId="72" priority="6" stopIfTrue="1" operator="greaterThan">
      <formula>0</formula>
    </cfRule>
  </conditionalFormatting>
  <conditionalFormatting sqref="AN44">
    <cfRule type="cellIs" dxfId="71" priority="5" stopIfTrue="1" operator="greaterThan">
      <formula>0</formula>
    </cfRule>
  </conditionalFormatting>
  <conditionalFormatting sqref="AN46">
    <cfRule type="cellIs" dxfId="70" priority="4" stopIfTrue="1" operator="greaterThan">
      <formula>0</formula>
    </cfRule>
  </conditionalFormatting>
  <conditionalFormatting sqref="BD47">
    <cfRule type="cellIs" dxfId="69" priority="3" stopIfTrue="1" operator="greaterThan">
      <formula>0</formula>
    </cfRule>
  </conditionalFormatting>
  <conditionalFormatting sqref="AV32">
    <cfRule type="cellIs" dxfId="68" priority="2" stopIfTrue="1" operator="greaterThan">
      <formula>0</formula>
    </cfRule>
  </conditionalFormatting>
  <conditionalFormatting sqref="K47">
    <cfRule type="cellIs" dxfId="67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BZ50"/>
  <sheetViews>
    <sheetView topLeftCell="A16" workbookViewId="0">
      <selection activeCell="A50" sqref="A50:I50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355</v>
      </c>
      <c r="B1" s="46"/>
      <c r="C1" s="46"/>
      <c r="D1" s="1" t="s">
        <v>496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рапс'!B4</f>
        <v>Культура: РАПС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364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362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353</v>
      </c>
      <c r="B7" s="3">
        <f>'силос сп рапс'!I6</f>
        <v>125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77">
        <f>B6*B7</f>
        <v>12500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122">
        <f>B8*0.75</f>
        <v>9375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427</v>
      </c>
      <c r="B11" s="86" t="s">
        <v>29</v>
      </c>
      <c r="C11" s="87" t="s">
        <v>335</v>
      </c>
      <c r="D11" s="87" t="s">
        <v>339</v>
      </c>
    </row>
    <row r="12" spans="1:78" s="92" customFormat="1" x14ac:dyDescent="0.2">
      <c r="A12" s="89" t="s">
        <v>352</v>
      </c>
      <c r="B12" s="90">
        <f ca="1">'силос сп рапс'!AL51+'силос сп рапс'!AM51</f>
        <v>872583.42531532305</v>
      </c>
      <c r="C12" s="91">
        <f t="shared" ref="C12:C32" ca="1" si="0">B12/$B$6</f>
        <v>8725.8342531532307</v>
      </c>
      <c r="D12" s="110" t="e">
        <f t="shared" ref="D12:D31" ca="1" si="1">B12/$B$32%</f>
        <v>#REF!</v>
      </c>
    </row>
    <row r="13" spans="1:78" s="92" customFormat="1" x14ac:dyDescent="0.2">
      <c r="A13" s="93" t="s">
        <v>349</v>
      </c>
      <c r="B13" s="91">
        <f>'силос сп рапс'!AW51</f>
        <v>220500</v>
      </c>
      <c r="C13" s="91">
        <f t="shared" si="0"/>
        <v>2205</v>
      </c>
      <c r="D13" s="110" t="e">
        <f t="shared" ca="1" si="1"/>
        <v>#REF!</v>
      </c>
    </row>
    <row r="14" spans="1:78" s="92" customFormat="1" x14ac:dyDescent="0.2">
      <c r="A14" s="93" t="s">
        <v>350</v>
      </c>
      <c r="B14" s="91" t="e">
        <f>'силос сп рапс'!BA51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374</v>
      </c>
      <c r="B15" s="91">
        <f>'силос сп рапс'!BE51</f>
        <v>31250</v>
      </c>
      <c r="C15" s="91">
        <f t="shared" si="0"/>
        <v>312.5</v>
      </c>
      <c r="D15" s="110" t="e">
        <f t="shared" ca="1" si="1"/>
        <v>#REF!</v>
      </c>
    </row>
    <row r="16" spans="1:78" s="92" customFormat="1" x14ac:dyDescent="0.2">
      <c r="A16" s="93" t="s">
        <v>351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333</v>
      </c>
      <c r="B17" s="95">
        <f>SUM(B18:B20)</f>
        <v>190177.03049847123</v>
      </c>
      <c r="C17" s="95">
        <f t="shared" si="0"/>
        <v>1901.7703049847123</v>
      </c>
      <c r="D17" s="111" t="e">
        <f t="shared" ca="1" si="1"/>
        <v>#REF!</v>
      </c>
    </row>
    <row r="18" spans="1:4" x14ac:dyDescent="0.2">
      <c r="A18" s="107" t="s">
        <v>340</v>
      </c>
      <c r="B18" s="95">
        <f>'силос сп рапс'!BJ51</f>
        <v>9184.2845259138885</v>
      </c>
      <c r="C18" s="95">
        <f t="shared" si="0"/>
        <v>91.842845259138883</v>
      </c>
      <c r="D18" s="111" t="e">
        <f t="shared" ca="1" si="1"/>
        <v>#REF!</v>
      </c>
    </row>
    <row r="19" spans="1:4" x14ac:dyDescent="0.2">
      <c r="A19" s="107" t="s">
        <v>341</v>
      </c>
      <c r="B19" s="95">
        <f>'силос сп рапс'!BL51</f>
        <v>6997.0959725573293</v>
      </c>
      <c r="C19" s="95">
        <f t="shared" si="0"/>
        <v>69.970959725573294</v>
      </c>
      <c r="D19" s="111" t="e">
        <f t="shared" ca="1" si="1"/>
        <v>#REF!</v>
      </c>
    </row>
    <row r="20" spans="1:4" x14ac:dyDescent="0.2">
      <c r="A20" s="107" t="s">
        <v>398</v>
      </c>
      <c r="B20" s="95">
        <f>'силос сп рапс'!BM51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334</v>
      </c>
      <c r="B21" s="95">
        <f>SUM(B22:B23)</f>
        <v>552007.42721846187</v>
      </c>
      <c r="C21" s="95">
        <f t="shared" si="0"/>
        <v>5520.0742721846191</v>
      </c>
      <c r="D21" s="111" t="e">
        <f t="shared" ca="1" si="1"/>
        <v>#REF!</v>
      </c>
    </row>
    <row r="22" spans="1:4" x14ac:dyDescent="0.2">
      <c r="A22" s="107" t="s">
        <v>340</v>
      </c>
      <c r="B22" s="95">
        <f>'силос сп рапс'!BO51+'силос сп рапс'!BQ51+'силос сп рапс'!BS51</f>
        <v>59156.537864257887</v>
      </c>
      <c r="C22" s="95">
        <f t="shared" si="0"/>
        <v>591.56537864257882</v>
      </c>
      <c r="D22" s="111" t="e">
        <f t="shared" ca="1" si="1"/>
        <v>#REF!</v>
      </c>
    </row>
    <row r="23" spans="1:4" x14ac:dyDescent="0.2">
      <c r="A23" s="107" t="s">
        <v>341</v>
      </c>
      <c r="B23" s="95">
        <f>'силос сп рапс'!BT51</f>
        <v>492850.889354204</v>
      </c>
      <c r="C23" s="95">
        <f t="shared" si="0"/>
        <v>4928.5088935420399</v>
      </c>
      <c r="D23" s="111" t="e">
        <f t="shared" ca="1" si="1"/>
        <v>#REF!</v>
      </c>
    </row>
    <row r="24" spans="1:4" x14ac:dyDescent="0.2">
      <c r="A24" s="94" t="s">
        <v>332</v>
      </c>
      <c r="B24" s="112" t="e">
        <f>'силос сп рапс'!AS51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342</v>
      </c>
      <c r="B25" s="91">
        <f>SUM(B26:B29)</f>
        <v>55646.55533529495</v>
      </c>
      <c r="C25" s="91">
        <f t="shared" si="0"/>
        <v>556.46555335294954</v>
      </c>
      <c r="D25" s="110" t="e">
        <f t="shared" ca="1" si="1"/>
        <v>#REF!</v>
      </c>
    </row>
    <row r="26" spans="1:4" x14ac:dyDescent="0.2">
      <c r="A26" s="107" t="s">
        <v>356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359</v>
      </c>
      <c r="B27" s="95">
        <f>12*100/250*('силос сп рапс'!L37+'силос сп рапс'!L46)+12*80/250*('силос сп рапс'!L22+'силос сп рапс'!L23+'силос сп рапс'!L24+'силос сп рапс'!L25+'силос сп рапс'!L27+'силос сп рапс'!L30+'силос сп рапс'!L32+'силос сп рапс'!L33+'силос сп рапс'!L44+'силос сп рапс'!L45)</f>
        <v>240.90132196162045</v>
      </c>
      <c r="C27" s="95">
        <f t="shared" si="0"/>
        <v>2.4090132196162046</v>
      </c>
      <c r="D27" s="111" t="e">
        <f t="shared" ca="1" si="1"/>
        <v>#REF!</v>
      </c>
    </row>
    <row r="28" spans="1:4" x14ac:dyDescent="0.2">
      <c r="A28" s="107" t="s">
        <v>363</v>
      </c>
      <c r="B28" s="95">
        <f>'силос сп рапс'!BH51</f>
        <v>31364.320679999993</v>
      </c>
      <c r="C28" s="95">
        <f t="shared" si="0"/>
        <v>313.64320679999992</v>
      </c>
      <c r="D28" s="111" t="e">
        <f t="shared" ca="1" si="1"/>
        <v>#REF!</v>
      </c>
    </row>
    <row r="29" spans="1:4" x14ac:dyDescent="0.2">
      <c r="A29" s="107" t="s">
        <v>361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343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344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345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346</v>
      </c>
      <c r="B33" s="95" t="e">
        <f ca="1">B32/B6</f>
        <v>#REF!</v>
      </c>
      <c r="C33" s="95"/>
      <c r="D33" s="95"/>
    </row>
    <row r="34" spans="1:9" x14ac:dyDescent="0.2">
      <c r="A34" s="94" t="s">
        <v>367</v>
      </c>
      <c r="B34" s="95" t="e">
        <f ca="1">B32/(B8)</f>
        <v>#REF!</v>
      </c>
      <c r="C34" s="95"/>
      <c r="D34" s="95"/>
    </row>
    <row r="35" spans="1:9" x14ac:dyDescent="0.2">
      <c r="A35" s="143" t="s">
        <v>375</v>
      </c>
      <c r="B35" s="142" t="e">
        <f ca="1">B32/(B9)</f>
        <v>#REF!</v>
      </c>
      <c r="C35" s="141"/>
      <c r="D35" s="141"/>
    </row>
    <row r="36" spans="1:9" x14ac:dyDescent="0.2">
      <c r="A36" s="94" t="s">
        <v>347</v>
      </c>
      <c r="B36" s="95">
        <f>'силос сп рапс'!O51+'силос сп рапс'!P51</f>
        <v>1033.2027363184079</v>
      </c>
      <c r="C36" s="95"/>
      <c r="D36" s="95"/>
    </row>
    <row r="37" spans="1:9" x14ac:dyDescent="0.2">
      <c r="A37" s="107" t="s">
        <v>335</v>
      </c>
      <c r="B37" s="95">
        <f>B36/B6</f>
        <v>10.332027363184078</v>
      </c>
      <c r="C37" s="95"/>
      <c r="D37" s="95"/>
    </row>
    <row r="38" spans="1:9" x14ac:dyDescent="0.2">
      <c r="A38" s="107" t="s">
        <v>336</v>
      </c>
      <c r="B38" s="111">
        <f>B36/B8</f>
        <v>8.2656218905472631E-2</v>
      </c>
      <c r="C38" s="95"/>
      <c r="D38" s="95"/>
    </row>
    <row r="39" spans="1:9" x14ac:dyDescent="0.2">
      <c r="A39" s="94" t="s">
        <v>354</v>
      </c>
      <c r="B39" s="95">
        <f ca="1">('силос сп рапс'!AH51+'силос сп рапс'!AI51)/B36</f>
        <v>649.64793053594121</v>
      </c>
      <c r="C39" s="95"/>
      <c r="D39" s="95"/>
    </row>
    <row r="40" spans="1:9" x14ac:dyDescent="0.2">
      <c r="A40" s="108" t="s">
        <v>337</v>
      </c>
      <c r="B40" s="95">
        <f ca="1">'силос сп рапс'!AH51/'силос сп рапс'!O51</f>
        <v>705.32322904440502</v>
      </c>
      <c r="C40" s="95"/>
      <c r="D40" s="95"/>
    </row>
    <row r="41" spans="1:9" x14ac:dyDescent="0.2">
      <c r="A41" s="109" t="s">
        <v>338</v>
      </c>
      <c r="B41" s="95">
        <f ca="1">'силос сп рапс'!AI51/'силос сп рапс'!P51</f>
        <v>581.03052174207858</v>
      </c>
      <c r="C41" s="95"/>
      <c r="D41" s="95"/>
    </row>
    <row r="42" spans="1:9" x14ac:dyDescent="0.2">
      <c r="A42" s="94" t="s">
        <v>348</v>
      </c>
      <c r="B42" s="95">
        <f ca="1">B39*164.5</f>
        <v>106867.08457316233</v>
      </c>
      <c r="C42" s="95"/>
      <c r="D42" s="95"/>
    </row>
    <row r="43" spans="1:9" x14ac:dyDescent="0.2">
      <c r="A43" s="108" t="s">
        <v>337</v>
      </c>
      <c r="B43" s="112">
        <f ca="1">B40*164.5</f>
        <v>116025.67117780463</v>
      </c>
      <c r="C43" s="94"/>
      <c r="D43" s="94"/>
    </row>
    <row r="44" spans="1:9" ht="12.75" customHeight="1" x14ac:dyDescent="0.2">
      <c r="A44" s="109" t="s">
        <v>338</v>
      </c>
      <c r="B44" s="112">
        <f ca="1">B41*164.5</f>
        <v>95579.520826571927</v>
      </c>
      <c r="C44" s="94"/>
      <c r="D44" s="94"/>
    </row>
    <row r="46" spans="1:9" x14ac:dyDescent="0.2">
      <c r="A46" t="s">
        <v>497</v>
      </c>
      <c r="B46"/>
      <c r="C46"/>
      <c r="D46"/>
      <c r="E46"/>
      <c r="F46"/>
      <c r="G46"/>
      <c r="I46" t="s">
        <v>498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499</v>
      </c>
      <c r="B48"/>
      <c r="C48"/>
      <c r="D48"/>
      <c r="E48"/>
      <c r="F48"/>
      <c r="G48"/>
      <c r="I48" t="s">
        <v>500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502</v>
      </c>
      <c r="B50"/>
      <c r="C50"/>
      <c r="D50"/>
      <c r="E50"/>
      <c r="F50"/>
      <c r="G50"/>
      <c r="I50" t="s">
        <v>501</v>
      </c>
    </row>
  </sheetData>
  <phoneticPr fontId="4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Y51"/>
  <sheetViews>
    <sheetView topLeftCell="AE7" workbookViewId="0">
      <selection activeCell="BD17" sqref="AM17:BD19"/>
    </sheetView>
  </sheetViews>
  <sheetFormatPr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54</v>
      </c>
      <c r="E1" s="8"/>
      <c r="G1" s="6"/>
      <c r="H1" s="7" t="s">
        <v>428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494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80" t="s">
        <v>364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362</v>
      </c>
      <c r="D6" s="1">
        <v>100</v>
      </c>
      <c r="E6" s="2"/>
      <c r="F6" s="1" t="s">
        <v>358</v>
      </c>
      <c r="G6" s="46"/>
      <c r="I6" s="1">
        <v>150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378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379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380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381</v>
      </c>
      <c r="D10" s="13">
        <v>50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382</v>
      </c>
      <c r="D11" s="13">
        <f>D8*D9*D10</f>
        <v>1500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369</v>
      </c>
      <c r="D12" s="13">
        <f>D6*I6</f>
        <v>15000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370</v>
      </c>
      <c r="C13" s="102"/>
      <c r="D13" s="13">
        <f>D12*0.75</f>
        <v>11250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518" t="s">
        <v>55</v>
      </c>
      <c r="B15" s="522" t="s">
        <v>51</v>
      </c>
      <c r="C15" s="522"/>
      <c r="D15" s="522"/>
      <c r="E15" s="522"/>
      <c r="F15" s="518" t="s">
        <v>15</v>
      </c>
      <c r="G15" s="518" t="s">
        <v>34</v>
      </c>
      <c r="H15" s="522" t="s">
        <v>30</v>
      </c>
      <c r="I15" s="522"/>
      <c r="J15" s="518" t="s">
        <v>33</v>
      </c>
      <c r="K15" s="518" t="s">
        <v>39</v>
      </c>
      <c r="L15" s="518" t="s">
        <v>38</v>
      </c>
      <c r="M15" s="522" t="s">
        <v>35</v>
      </c>
      <c r="N15" s="522"/>
      <c r="O15" s="522" t="s">
        <v>316</v>
      </c>
      <c r="P15" s="522"/>
      <c r="Q15" s="522" t="s">
        <v>315</v>
      </c>
      <c r="R15" s="522"/>
      <c r="S15" s="522"/>
      <c r="T15" s="522"/>
      <c r="U15" s="522" t="s">
        <v>317</v>
      </c>
      <c r="V15" s="522"/>
      <c r="W15" s="522" t="s">
        <v>318</v>
      </c>
      <c r="X15" s="522"/>
      <c r="Y15" s="522" t="s">
        <v>319</v>
      </c>
      <c r="Z15" s="522"/>
      <c r="AA15" s="522" t="s">
        <v>320</v>
      </c>
      <c r="AB15" s="522"/>
      <c r="AC15" s="529" t="s">
        <v>426</v>
      </c>
      <c r="AD15" s="530"/>
      <c r="AE15" s="531"/>
      <c r="AF15" s="522" t="s">
        <v>164</v>
      </c>
      <c r="AG15" s="522"/>
      <c r="AH15" s="522" t="s">
        <v>321</v>
      </c>
      <c r="AI15" s="522"/>
      <c r="AJ15" s="522" t="s">
        <v>322</v>
      </c>
      <c r="AK15" s="522"/>
      <c r="AL15" s="522" t="s">
        <v>323</v>
      </c>
      <c r="AM15" s="522"/>
      <c r="AN15" s="522" t="s">
        <v>13</v>
      </c>
      <c r="AO15" s="522"/>
      <c r="AP15" s="522"/>
      <c r="AQ15" s="522"/>
      <c r="AR15" s="522"/>
      <c r="AS15" s="522"/>
      <c r="AT15" s="522" t="s">
        <v>187</v>
      </c>
      <c r="AU15" s="522"/>
      <c r="AV15" s="522"/>
      <c r="AW15" s="522"/>
      <c r="AX15" s="522" t="s">
        <v>330</v>
      </c>
      <c r="AY15" s="522"/>
      <c r="AZ15" s="522"/>
      <c r="BA15" s="522"/>
      <c r="BB15" s="522" t="s">
        <v>372</v>
      </c>
      <c r="BC15" s="522"/>
      <c r="BD15" s="522"/>
      <c r="BE15" s="522"/>
      <c r="BF15" s="522" t="s">
        <v>383</v>
      </c>
      <c r="BG15" s="522"/>
      <c r="BH15" s="522"/>
      <c r="BI15" s="529" t="s">
        <v>397</v>
      </c>
      <c r="BJ15" s="530"/>
      <c r="BK15" s="530"/>
      <c r="BL15" s="530"/>
      <c r="BM15" s="531"/>
      <c r="BN15" s="522" t="s">
        <v>313</v>
      </c>
      <c r="BO15" s="522"/>
      <c r="BP15" s="522"/>
      <c r="BQ15" s="522"/>
      <c r="BR15" s="522"/>
      <c r="BS15" s="522"/>
      <c r="BT15" s="522"/>
      <c r="BU15" s="522" t="s">
        <v>48</v>
      </c>
      <c r="BV15" s="522"/>
      <c r="BW15" s="522" t="s">
        <v>327</v>
      </c>
      <c r="BX15" s="521" t="s">
        <v>58</v>
      </c>
      <c r="BY15" s="521"/>
    </row>
    <row r="16" spans="1:77" s="6" customFormat="1" ht="40.5" customHeight="1" x14ac:dyDescent="0.2">
      <c r="A16" s="518"/>
      <c r="B16" s="522"/>
      <c r="C16" s="522"/>
      <c r="D16" s="522"/>
      <c r="E16" s="522"/>
      <c r="F16" s="518"/>
      <c r="G16" s="518"/>
      <c r="H16" s="522"/>
      <c r="I16" s="522"/>
      <c r="J16" s="518"/>
      <c r="K16" s="518"/>
      <c r="L16" s="518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32"/>
      <c r="AD16" s="533"/>
      <c r="AE16" s="534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32"/>
      <c r="BJ16" s="533"/>
      <c r="BK16" s="533"/>
      <c r="BL16" s="533"/>
      <c r="BM16" s="534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1"/>
      <c r="BY16" s="521"/>
    </row>
    <row r="17" spans="1:77" s="6" customFormat="1" ht="45.75" customHeight="1" x14ac:dyDescent="0.2">
      <c r="A17" s="518"/>
      <c r="B17" s="522" t="s">
        <v>12</v>
      </c>
      <c r="C17" s="522" t="s">
        <v>40</v>
      </c>
      <c r="D17" s="522"/>
      <c r="E17" s="522"/>
      <c r="F17" s="518"/>
      <c r="G17" s="518"/>
      <c r="H17" s="518" t="s">
        <v>31</v>
      </c>
      <c r="I17" s="518" t="s">
        <v>32</v>
      </c>
      <c r="J17" s="518"/>
      <c r="K17" s="518"/>
      <c r="L17" s="518"/>
      <c r="M17" s="518" t="s">
        <v>36</v>
      </c>
      <c r="N17" s="518" t="s">
        <v>37</v>
      </c>
      <c r="O17" s="483">
        <v>7</v>
      </c>
      <c r="P17" s="483"/>
      <c r="Q17" s="522" t="s">
        <v>36</v>
      </c>
      <c r="R17" s="522"/>
      <c r="S17" s="522" t="s">
        <v>37</v>
      </c>
      <c r="T17" s="522"/>
      <c r="U17" s="518" t="s">
        <v>16</v>
      </c>
      <c r="V17" s="518" t="s">
        <v>17</v>
      </c>
      <c r="W17" s="519"/>
      <c r="X17" s="519"/>
      <c r="Y17" s="74">
        <v>0.1</v>
      </c>
      <c r="Z17" s="74">
        <v>0.05</v>
      </c>
      <c r="AA17" s="517"/>
      <c r="AB17" s="517"/>
      <c r="AC17" s="514" t="s">
        <v>18</v>
      </c>
      <c r="AD17" s="514" t="s">
        <v>16</v>
      </c>
      <c r="AE17" s="514" t="s">
        <v>17</v>
      </c>
      <c r="AF17" s="517">
        <f ca="1">(((((AD51/O51)*167)/29*(52/12)))/((AD51/O51)*167))</f>
        <v>0.14942528735632185</v>
      </c>
      <c r="AG17" s="517"/>
      <c r="AH17" s="518" t="s">
        <v>16</v>
      </c>
      <c r="AI17" s="518" t="s">
        <v>17</v>
      </c>
      <c r="AJ17" s="517">
        <v>0.3</v>
      </c>
      <c r="AK17" s="517"/>
      <c r="AL17" s="518" t="s">
        <v>16</v>
      </c>
      <c r="AM17" s="518" t="s">
        <v>17</v>
      </c>
      <c r="AN17" s="518" t="s">
        <v>329</v>
      </c>
      <c r="AO17" s="518" t="s">
        <v>42</v>
      </c>
      <c r="AP17" s="513" t="s">
        <v>49</v>
      </c>
      <c r="AQ17" s="513" t="s">
        <v>43</v>
      </c>
      <c r="AR17" s="513" t="s">
        <v>324</v>
      </c>
      <c r="AS17" s="513" t="s">
        <v>325</v>
      </c>
      <c r="AT17" s="518" t="s">
        <v>214</v>
      </c>
      <c r="AU17" s="513" t="s">
        <v>188</v>
      </c>
      <c r="AV17" s="513" t="s">
        <v>326</v>
      </c>
      <c r="AW17" s="513" t="s">
        <v>325</v>
      </c>
      <c r="AX17" s="518" t="s">
        <v>214</v>
      </c>
      <c r="AY17" s="513" t="s">
        <v>188</v>
      </c>
      <c r="AZ17" s="513" t="s">
        <v>326</v>
      </c>
      <c r="BA17" s="513" t="s">
        <v>325</v>
      </c>
      <c r="BB17" s="518" t="s">
        <v>373</v>
      </c>
      <c r="BC17" s="513" t="s">
        <v>188</v>
      </c>
      <c r="BD17" s="513" t="s">
        <v>326</v>
      </c>
      <c r="BE17" s="513" t="s">
        <v>325</v>
      </c>
      <c r="BF17" s="513" t="s">
        <v>384</v>
      </c>
      <c r="BG17" s="513" t="s">
        <v>326</v>
      </c>
      <c r="BH17" s="513" t="s">
        <v>325</v>
      </c>
      <c r="BI17" s="521" t="s">
        <v>45</v>
      </c>
      <c r="BJ17" s="521"/>
      <c r="BK17" s="521" t="s">
        <v>46</v>
      </c>
      <c r="BL17" s="521"/>
      <c r="BM17" s="536" t="s">
        <v>399</v>
      </c>
      <c r="BN17" s="521" t="s">
        <v>308</v>
      </c>
      <c r="BO17" s="521"/>
      <c r="BP17" s="521" t="s">
        <v>309</v>
      </c>
      <c r="BQ17" s="521"/>
      <c r="BR17" s="521" t="s">
        <v>310</v>
      </c>
      <c r="BS17" s="521"/>
      <c r="BT17" s="518" t="s">
        <v>311</v>
      </c>
      <c r="BU17" s="513" t="s">
        <v>312</v>
      </c>
      <c r="BV17" s="513" t="s">
        <v>328</v>
      </c>
      <c r="BW17" s="522"/>
      <c r="BX17" s="513" t="s">
        <v>50</v>
      </c>
      <c r="BY17" s="513" t="s">
        <v>14</v>
      </c>
    </row>
    <row r="18" spans="1:77" s="6" customFormat="1" ht="48" customHeight="1" x14ac:dyDescent="0.2">
      <c r="A18" s="518"/>
      <c r="B18" s="522"/>
      <c r="C18" s="518" t="s">
        <v>41</v>
      </c>
      <c r="D18" s="518" t="s">
        <v>53</v>
      </c>
      <c r="E18" s="518" t="s">
        <v>52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 t="s">
        <v>36</v>
      </c>
      <c r="P18" s="518" t="s">
        <v>37</v>
      </c>
      <c r="Q18" s="535" t="s">
        <v>19</v>
      </c>
      <c r="R18" s="518" t="s">
        <v>20</v>
      </c>
      <c r="S18" s="535" t="s">
        <v>19</v>
      </c>
      <c r="T18" s="518" t="s">
        <v>20</v>
      </c>
      <c r="U18" s="518"/>
      <c r="V18" s="518"/>
      <c r="W18" s="518" t="s">
        <v>16</v>
      </c>
      <c r="X18" s="518" t="s">
        <v>17</v>
      </c>
      <c r="Y18" s="518" t="s">
        <v>173</v>
      </c>
      <c r="Z18" s="518" t="s">
        <v>174</v>
      </c>
      <c r="AA18" s="518" t="s">
        <v>16</v>
      </c>
      <c r="AB18" s="518" t="s">
        <v>17</v>
      </c>
      <c r="AC18" s="515"/>
      <c r="AD18" s="515"/>
      <c r="AE18" s="515"/>
      <c r="AF18" s="518" t="s">
        <v>16</v>
      </c>
      <c r="AG18" s="518" t="s">
        <v>17</v>
      </c>
      <c r="AH18" s="518"/>
      <c r="AI18" s="518"/>
      <c r="AJ18" s="518" t="s">
        <v>16</v>
      </c>
      <c r="AK18" s="518" t="s">
        <v>17</v>
      </c>
      <c r="AL18" s="518"/>
      <c r="AM18" s="518"/>
      <c r="AN18" s="518"/>
      <c r="AO18" s="518"/>
      <c r="AP18" s="513"/>
      <c r="AQ18" s="513"/>
      <c r="AR18" s="513"/>
      <c r="AS18" s="513"/>
      <c r="AT18" s="518"/>
      <c r="AU18" s="513"/>
      <c r="AV18" s="513"/>
      <c r="AW18" s="513"/>
      <c r="AX18" s="518"/>
      <c r="AY18" s="513"/>
      <c r="AZ18" s="513"/>
      <c r="BA18" s="513"/>
      <c r="BB18" s="518"/>
      <c r="BC18" s="513"/>
      <c r="BD18" s="513"/>
      <c r="BE18" s="513"/>
      <c r="BF18" s="513"/>
      <c r="BG18" s="513"/>
      <c r="BH18" s="513"/>
      <c r="BI18" s="513" t="s">
        <v>47</v>
      </c>
      <c r="BJ18" s="513" t="s">
        <v>314</v>
      </c>
      <c r="BK18" s="513" t="s">
        <v>47</v>
      </c>
      <c r="BL18" s="513" t="s">
        <v>314</v>
      </c>
      <c r="BM18" s="537"/>
      <c r="BN18" s="513" t="s">
        <v>307</v>
      </c>
      <c r="BO18" s="513" t="s">
        <v>314</v>
      </c>
      <c r="BP18" s="513" t="s">
        <v>307</v>
      </c>
      <c r="BQ18" s="513" t="s">
        <v>314</v>
      </c>
      <c r="BR18" s="513" t="s">
        <v>307</v>
      </c>
      <c r="BS18" s="513" t="s">
        <v>314</v>
      </c>
      <c r="BT18" s="518"/>
      <c r="BU18" s="513"/>
      <c r="BV18" s="513"/>
      <c r="BW18" s="522"/>
      <c r="BX18" s="513"/>
      <c r="BY18" s="513"/>
    </row>
    <row r="19" spans="1:77" s="6" customFormat="1" ht="76.5" customHeight="1" x14ac:dyDescent="0.2">
      <c r="A19" s="518"/>
      <c r="B19" s="522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35"/>
      <c r="R19" s="518"/>
      <c r="S19" s="535"/>
      <c r="T19" s="518"/>
      <c r="U19" s="518"/>
      <c r="V19" s="518"/>
      <c r="W19" s="518"/>
      <c r="X19" s="518"/>
      <c r="Y19" s="518"/>
      <c r="Z19" s="518"/>
      <c r="AA19" s="518"/>
      <c r="AB19" s="518"/>
      <c r="AC19" s="516"/>
      <c r="AD19" s="516"/>
      <c r="AE19" s="516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3"/>
      <c r="AQ19" s="513"/>
      <c r="AR19" s="513"/>
      <c r="AS19" s="513"/>
      <c r="AT19" s="518"/>
      <c r="AU19" s="513"/>
      <c r="AV19" s="513"/>
      <c r="AW19" s="513"/>
      <c r="AX19" s="518"/>
      <c r="AY19" s="513"/>
      <c r="AZ19" s="513"/>
      <c r="BA19" s="513"/>
      <c r="BB19" s="518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38"/>
      <c r="BN19" s="513"/>
      <c r="BO19" s="513"/>
      <c r="BP19" s="513"/>
      <c r="BQ19" s="513"/>
      <c r="BR19" s="513"/>
      <c r="BS19" s="513"/>
      <c r="BT19" s="518"/>
      <c r="BU19" s="513"/>
      <c r="BV19" s="513"/>
      <c r="BW19" s="522"/>
      <c r="BX19" s="513"/>
      <c r="BY19" s="513"/>
    </row>
    <row r="20" spans="1:77" x14ac:dyDescent="0.2">
      <c r="A20" s="20">
        <f>COLUMN(A20)</f>
        <v>1</v>
      </c>
      <c r="B20" s="512">
        <f>COLUMN(B20)</f>
        <v>2</v>
      </c>
      <c r="C20" s="512"/>
      <c r="D20" s="512"/>
      <c r="E20" s="512"/>
      <c r="F20" s="20">
        <v>3</v>
      </c>
      <c r="G20" s="20">
        <f t="shared" ref="G20:BR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ref="BS20:BY20" si="1">BR20+1</f>
        <v>68</v>
      </c>
      <c r="BT20" s="20">
        <f t="shared" si="1"/>
        <v>69</v>
      </c>
      <c r="BU20" s="20">
        <f t="shared" si="1"/>
        <v>70</v>
      </c>
      <c r="BV20" s="20">
        <f t="shared" si="1"/>
        <v>71</v>
      </c>
      <c r="BW20" s="20">
        <f t="shared" si="1"/>
        <v>72</v>
      </c>
      <c r="BX20" s="20">
        <f t="shared" si="1"/>
        <v>73</v>
      </c>
      <c r="BY20" s="20">
        <f t="shared" si="1"/>
        <v>74</v>
      </c>
    </row>
    <row r="21" spans="1:77" s="7" customFormat="1" ht="12.75" customHeight="1" x14ac:dyDescent="0.2">
      <c r="A21" s="21"/>
      <c r="B21" s="483" t="s">
        <v>56</v>
      </c>
      <c r="C21" s="483"/>
      <c r="D21" s="483"/>
      <c r="E21" s="483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411</v>
      </c>
      <c r="C22" s="66">
        <v>2</v>
      </c>
      <c r="D22" s="30" t="s">
        <v>184</v>
      </c>
      <c r="E22" s="31" t="s">
        <v>113</v>
      </c>
      <c r="F22" s="28" t="s">
        <v>106</v>
      </c>
      <c r="G22" s="29">
        <f>D6</f>
        <v>100</v>
      </c>
      <c r="H22" s="137">
        <v>42628</v>
      </c>
      <c r="I22" s="137">
        <v>42633</v>
      </c>
      <c r="J22" s="182">
        <f>I22-H22</f>
        <v>5</v>
      </c>
      <c r="K22" s="172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данные'!$G$22</f>
        <v>197.57121135326915</v>
      </c>
      <c r="S22" s="34"/>
      <c r="T22" s="33"/>
      <c r="U22" s="130">
        <f>O22*R22*'Исходные данные'!$C$40%</f>
        <v>0</v>
      </c>
      <c r="V22" s="130">
        <f>P22*T22*'Исходные данные'!$C$41%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5637.9077313851958</v>
      </c>
      <c r="AG22" s="73"/>
      <c r="AH22" s="35">
        <f t="shared" ref="AH22:AI32" ca="1" si="2">AD22+AF22</f>
        <v>43368.52101065535</v>
      </c>
      <c r="AI22" s="35">
        <f t="shared" si="2"/>
        <v>0</v>
      </c>
      <c r="AJ22" s="35">
        <f t="shared" ref="AJ22:AK32" ca="1" si="3">AH22*$AJ$17</f>
        <v>13010.556303196605</v>
      </c>
      <c r="AK22" s="73">
        <f t="shared" si="3"/>
        <v>0</v>
      </c>
      <c r="AL22" s="35">
        <f ca="1">AH22+AJ22</f>
        <v>56379.077313851958</v>
      </c>
      <c r="AM22" s="73">
        <f>AK22+AI22</f>
        <v>0</v>
      </c>
      <c r="AN22" s="173">
        <v>9.5238095238095237</v>
      </c>
      <c r="AO22" s="33">
        <f>'Исходные данные'!$C$59</f>
        <v>0.84</v>
      </c>
      <c r="AP22" s="79">
        <f>(G22*AN22)*AO22/100</f>
        <v>8</v>
      </c>
      <c r="AQ22" s="33" t="s">
        <v>154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419</v>
      </c>
      <c r="C23" s="66">
        <v>1</v>
      </c>
      <c r="D23" s="30" t="s">
        <v>184</v>
      </c>
      <c r="E23" s="31" t="s">
        <v>423</v>
      </c>
      <c r="F23" s="28" t="s">
        <v>106</v>
      </c>
      <c r="G23" s="29">
        <f>G22</f>
        <v>100</v>
      </c>
      <c r="H23" s="137">
        <v>42510</v>
      </c>
      <c r="I23" s="137">
        <v>42515</v>
      </c>
      <c r="J23" s="182">
        <f t="shared" ref="J23:J31" si="4">I23-H23</f>
        <v>5</v>
      </c>
      <c r="K23" s="172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данные'!$F$22</f>
        <v>173.86266599087685</v>
      </c>
      <c r="S23" s="34"/>
      <c r="T23" s="33"/>
      <c r="U23" s="130">
        <f>O23*R23*'Исходные данные'!$C$40%</f>
        <v>0</v>
      </c>
      <c r="V23" s="130">
        <f>P23*T23*'Исходные данные'!$C$41%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1736.4755812666401</v>
      </c>
      <c r="AG23" s="73"/>
      <c r="AH23" s="35">
        <f t="shared" ca="1" si="2"/>
        <v>13357.504471281847</v>
      </c>
      <c r="AI23" s="35">
        <f t="shared" si="2"/>
        <v>0</v>
      </c>
      <c r="AJ23" s="35">
        <f t="shared" ca="1" si="3"/>
        <v>4007.2513413845541</v>
      </c>
      <c r="AK23" s="73">
        <f t="shared" si="3"/>
        <v>0</v>
      </c>
      <c r="AL23" s="35">
        <f ca="1">AH23+AJ23</f>
        <v>17364.755812666401</v>
      </c>
      <c r="AM23" s="73">
        <f>AK23+AI23</f>
        <v>0</v>
      </c>
      <c r="AN23" s="173">
        <v>9.5238095238095237</v>
      </c>
      <c r="AO23" s="33">
        <f>'Исходные данные'!$C$59</f>
        <v>0.84</v>
      </c>
      <c r="AP23" s="79">
        <f>(G23*AN23)*AO23/100</f>
        <v>8</v>
      </c>
      <c r="AQ23" s="33" t="s">
        <v>154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420</v>
      </c>
      <c r="C24" s="66">
        <v>1</v>
      </c>
      <c r="D24" s="30" t="s">
        <v>184</v>
      </c>
      <c r="E24" s="31" t="s">
        <v>416</v>
      </c>
      <c r="F24" s="28" t="s">
        <v>106</v>
      </c>
      <c r="G24" s="29">
        <f>D6</f>
        <v>100</v>
      </c>
      <c r="H24" s="137">
        <v>42515</v>
      </c>
      <c r="I24" s="137">
        <v>42522</v>
      </c>
      <c r="J24" s="182">
        <f t="shared" si="4"/>
        <v>7</v>
      </c>
      <c r="K24" s="172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данные'!$F$22</f>
        <v>173.86266599087685</v>
      </c>
      <c r="S24" s="34"/>
      <c r="T24" s="33"/>
      <c r="U24" s="130">
        <f>O24*R24*'Исходные данные'!$C$40%</f>
        <v>0</v>
      </c>
      <c r="V24" s="130">
        <f>P24*T24*'Исходные данные'!$C$41%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1562.8280231399763</v>
      </c>
      <c r="AG24" s="73"/>
      <c r="AH24" s="35">
        <f t="shared" ca="1" si="2"/>
        <v>12021.754024153663</v>
      </c>
      <c r="AI24" s="35">
        <f t="shared" si="2"/>
        <v>0</v>
      </c>
      <c r="AJ24" s="35">
        <f t="shared" ca="1" si="3"/>
        <v>3606.5262072460987</v>
      </c>
      <c r="AK24" s="73">
        <f t="shared" si="3"/>
        <v>0</v>
      </c>
      <c r="AL24" s="35">
        <f ca="1">AH24+AJ24</f>
        <v>15628.280231399762</v>
      </c>
      <c r="AM24" s="73">
        <f>AK24+AI24</f>
        <v>0</v>
      </c>
      <c r="AN24" s="173">
        <v>9.5238095238095237</v>
      </c>
      <c r="AO24" s="33">
        <f>'Исходные данные'!$C$59</f>
        <v>0.84</v>
      </c>
      <c r="AP24" s="79">
        <f>(G24*AN24)*AO24/100</f>
        <v>8</v>
      </c>
      <c r="AQ24" s="33" t="s">
        <v>153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5">A24+1</f>
        <v>4</v>
      </c>
      <c r="B25" s="27" t="s">
        <v>421</v>
      </c>
      <c r="C25" s="66">
        <v>1</v>
      </c>
      <c r="D25" s="30" t="s">
        <v>105</v>
      </c>
      <c r="E25" s="183" t="s">
        <v>483</v>
      </c>
      <c r="F25" s="28" t="s">
        <v>106</v>
      </c>
      <c r="G25" s="29">
        <f>D6</f>
        <v>100</v>
      </c>
      <c r="H25" s="137">
        <v>42536</v>
      </c>
      <c r="I25" s="137">
        <v>42538</v>
      </c>
      <c r="J25" s="182">
        <f t="shared" si="4"/>
        <v>2</v>
      </c>
      <c r="K25" s="172">
        <f>8*4.2</f>
        <v>33.6</v>
      </c>
      <c r="L25" s="33">
        <f t="shared" ref="L25:L32" si="6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7">IF(N25=0,0,L25*$O$17)</f>
        <v>0</v>
      </c>
      <c r="Q25" s="34">
        <v>3</v>
      </c>
      <c r="R25" s="83">
        <f ca="1">IF(AND(O25&gt;0,Q25&gt;0),SUMIF('Исходные данные'!$C$14:H27,Q25,'Исходные данные'!$C$18:$H$18),IF(O25=0,0,IF(Q25=0,"РОТ")))</f>
        <v>138.29984794728838</v>
      </c>
      <c r="S25" s="34"/>
      <c r="T25" s="33"/>
      <c r="U25" s="130">
        <f ca="1">O25*R25*'Исходные данные'!$C$40%</f>
        <v>0</v>
      </c>
      <c r="V25" s="130">
        <f>P25*T25*'Исходные данные'!$C$41%</f>
        <v>0</v>
      </c>
      <c r="W25" s="130">
        <f t="shared" ref="W25:W32" ca="1" si="8">O25*R25*$W$17</f>
        <v>0</v>
      </c>
      <c r="X25" s="131">
        <f t="shared" ref="X25:X32" si="9">P25*T25*$W$17</f>
        <v>0</v>
      </c>
      <c r="Y25" s="130">
        <f t="shared" ref="Y25:Y32" ca="1" si="10">(O25*R25+U25+W25)*$Y$17</f>
        <v>288.12468322351754</v>
      </c>
      <c r="Z25" s="131">
        <f t="shared" ref="Z25:Z32" si="11">(P25*T25+V25+X25)*$Z$17</f>
        <v>0</v>
      </c>
      <c r="AA25" s="130">
        <f t="shared" ref="AA25:AA32" ca="1" si="12">(O25*R25+U25)*$AA$17</f>
        <v>0</v>
      </c>
      <c r="AB25" s="131">
        <f t="shared" ref="AB25:AB32" si="13">(P25*T25+V25)*$AA$17</f>
        <v>0</v>
      </c>
      <c r="AC25" s="129">
        <v>2.5</v>
      </c>
      <c r="AD25" s="130">
        <f t="shared" ref="AD25:AD32" ca="1" si="14">(O25*R25+U25+W25+Y25+AA25)*AC25</f>
        <v>7923.4287886467318</v>
      </c>
      <c r="AE25" s="130">
        <f t="shared" ref="AE25:AE32" si="15">(P25*T25+V25+X25+Z25+AB25)*AC25</f>
        <v>0</v>
      </c>
      <c r="AF25" s="35">
        <f t="shared" ref="AF25:AG32" ca="1" si="16">AD25*$AF$17</f>
        <v>1183.9606235908911</v>
      </c>
      <c r="AG25" s="73"/>
      <c r="AH25" s="35">
        <f t="shared" ca="1" si="2"/>
        <v>9107.3894122376223</v>
      </c>
      <c r="AI25" s="35"/>
      <c r="AJ25" s="35">
        <f t="shared" ca="1" si="3"/>
        <v>2732.2168236712864</v>
      </c>
      <c r="AK25" s="73"/>
      <c r="AL25" s="35">
        <f t="shared" ref="AL25:AL32" ca="1" si="17">AH25+AJ25</f>
        <v>11839.606235908908</v>
      </c>
      <c r="AM25" s="73"/>
      <c r="AN25" s="173">
        <v>2.2999999999999998</v>
      </c>
      <c r="AO25" s="33">
        <f>'Исходные данные'!$C$59</f>
        <v>0.84</v>
      </c>
      <c r="AP25" s="79">
        <f>(G25*AN25)*AO25/100</f>
        <v>1.9319999999999995</v>
      </c>
      <c r="AQ25" s="33" t="s">
        <v>153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8">AL25+AM25+AS25+AW25+BA25+BE25+BH25+BJ25+BL25+BM25+BO25+BQ25+BS25+BT25</f>
        <v>#REF!</v>
      </c>
      <c r="BV25" s="36" t="e">
        <f t="shared" ref="BV25:BV32" ca="1" si="19">BU25/$D$6</f>
        <v>#REF!</v>
      </c>
      <c r="BW25" s="38">
        <f t="shared" ref="BW25:BW31" si="20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5"/>
        <v>5</v>
      </c>
      <c r="B26" s="27" t="s">
        <v>22</v>
      </c>
      <c r="C26" s="66">
        <v>3</v>
      </c>
      <c r="D26" s="479" t="s">
        <v>118</v>
      </c>
      <c r="E26" s="480"/>
      <c r="F26" s="28" t="s">
        <v>109</v>
      </c>
      <c r="G26" s="186">
        <f>AU32</f>
        <v>3</v>
      </c>
      <c r="H26" s="137">
        <v>42536</v>
      </c>
      <c r="I26" s="137">
        <v>42538</v>
      </c>
      <c r="J26" s="182">
        <f t="shared" si="4"/>
        <v>2</v>
      </c>
      <c r="K26" s="172">
        <f>G26/6</f>
        <v>0.5</v>
      </c>
      <c r="L26" s="33">
        <f t="shared" si="6"/>
        <v>6</v>
      </c>
      <c r="M26" s="34">
        <v>1</v>
      </c>
      <c r="N26" s="34">
        <v>1</v>
      </c>
      <c r="O26" s="35">
        <f t="shared" ref="O26:O32" si="21">IF(M26=0,0,L26*$O$17)</f>
        <v>42</v>
      </c>
      <c r="P26" s="35">
        <f t="shared" si="7"/>
        <v>42</v>
      </c>
      <c r="Q26" s="34">
        <v>2</v>
      </c>
      <c r="R26" s="83">
        <f ca="1">IF(AND(O26&gt;0,Q26&gt;0),SUMIF('Исходные данные'!$C$14:H29,Q26,'Исходные данные'!$C$18:$H$18),IF(O26=0,0,IF(Q26=0,"РОТ")))</f>
        <v>128.66557526609228</v>
      </c>
      <c r="S26" s="34">
        <v>2</v>
      </c>
      <c r="T26" s="83">
        <f ca="1">IF(AND(N26&gt;0,P26&gt;0),SUMIF('Исходные данные'!$C$14:$J$30,S26,'Исходные данные'!$C$34:$J$42),IF(N26=0,0,IF(S26=0,"РОТ")))</f>
        <v>105.700598073999</v>
      </c>
      <c r="U26" s="130">
        <f ca="1">O26*R26*'Исходные данные'!$C$40%</f>
        <v>0</v>
      </c>
      <c r="V26" s="130">
        <f ca="1">P26*T26*'Исходные данные'!$C$41%</f>
        <v>1553.7987916877853</v>
      </c>
      <c r="W26" s="130">
        <f t="shared" ca="1" si="8"/>
        <v>0</v>
      </c>
      <c r="X26" s="131">
        <f t="shared" ca="1" si="9"/>
        <v>0</v>
      </c>
      <c r="Y26" s="130">
        <f t="shared" ca="1" si="10"/>
        <v>540.39541611758762</v>
      </c>
      <c r="Z26" s="131">
        <f t="shared" ca="1" si="11"/>
        <v>299.66119553978723</v>
      </c>
      <c r="AA26" s="130">
        <f t="shared" ca="1" si="12"/>
        <v>0</v>
      </c>
      <c r="AB26" s="131">
        <f t="shared" ca="1" si="13"/>
        <v>0</v>
      </c>
      <c r="AC26" s="129">
        <v>2.5</v>
      </c>
      <c r="AD26" s="130">
        <f t="shared" ca="1" si="14"/>
        <v>14860.873943233659</v>
      </c>
      <c r="AE26" s="130">
        <f t="shared" ca="1" si="15"/>
        <v>15732.212765838829</v>
      </c>
      <c r="AF26" s="35">
        <f t="shared" ca="1" si="16"/>
        <v>2220.5903593337653</v>
      </c>
      <c r="AG26" s="73">
        <f t="shared" ca="1" si="16"/>
        <v>2350.7904132862618</v>
      </c>
      <c r="AH26" s="35">
        <f t="shared" ca="1" si="2"/>
        <v>17081.464302567423</v>
      </c>
      <c r="AI26" s="35">
        <f t="shared" ca="1" si="2"/>
        <v>18083.003179125091</v>
      </c>
      <c r="AJ26" s="35">
        <f t="shared" ca="1" si="3"/>
        <v>5124.4392907702268</v>
      </c>
      <c r="AK26" s="73">
        <f t="shared" ca="1" si="3"/>
        <v>5424.9009537375268</v>
      </c>
      <c r="AL26" s="35">
        <f t="shared" ca="1" si="17"/>
        <v>22205.903593337651</v>
      </c>
      <c r="AM26" s="73">
        <f t="shared" ref="AM26:AM32" ca="1" si="22">AK26+AI26</f>
        <v>23507.904132862619</v>
      </c>
      <c r="AN26" s="173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8"/>
        <v>45713.80772620027</v>
      </c>
      <c r="BV26" s="36">
        <f t="shared" ca="1" si="19"/>
        <v>457.1380772620027</v>
      </c>
      <c r="BW26" s="38">
        <f t="shared" si="20"/>
        <v>0.84</v>
      </c>
      <c r="BX26" s="38"/>
      <c r="BY26" s="39"/>
    </row>
    <row r="27" spans="1:77" ht="22.5" x14ac:dyDescent="0.2">
      <c r="A27" s="20">
        <f t="shared" si="5"/>
        <v>6</v>
      </c>
      <c r="B27" s="27" t="s">
        <v>23</v>
      </c>
      <c r="C27" s="66">
        <v>3</v>
      </c>
      <c r="D27" s="30" t="s">
        <v>105</v>
      </c>
      <c r="E27" s="31" t="s">
        <v>115</v>
      </c>
      <c r="F27" s="28" t="s">
        <v>109</v>
      </c>
      <c r="G27" s="186">
        <f>G26</f>
        <v>3</v>
      </c>
      <c r="H27" s="137">
        <v>42536</v>
      </c>
      <c r="I27" s="137">
        <v>42538</v>
      </c>
      <c r="J27" s="182">
        <f t="shared" si="4"/>
        <v>2</v>
      </c>
      <c r="K27" s="172">
        <f>G27/6</f>
        <v>0.5</v>
      </c>
      <c r="L27" s="33">
        <f t="shared" si="6"/>
        <v>6</v>
      </c>
      <c r="M27" s="34">
        <v>1</v>
      </c>
      <c r="N27" s="34">
        <v>1</v>
      </c>
      <c r="O27" s="35">
        <f t="shared" si="21"/>
        <v>42</v>
      </c>
      <c r="P27" s="35">
        <f t="shared" si="7"/>
        <v>42</v>
      </c>
      <c r="Q27" s="34">
        <v>2</v>
      </c>
      <c r="R27" s="83">
        <f ca="1">IF(AND(O27&gt;0,Q27&gt;0),SUMIF('Исходные данные'!$C$14:H30,Q27,'Исходные данные'!$C$18:$H$18),IF(O27=0,0,IF(Q27=0,"РОТ")))</f>
        <v>128.66557526609228</v>
      </c>
      <c r="S27" s="34">
        <v>2</v>
      </c>
      <c r="T27" s="83">
        <f ca="1">IF(AND(N27&gt;0,P27&gt;0),SUMIF('Исходные данные'!$C$14:$J$30,S27,'Исходные данные'!$C$34:$J$42),IF(N27=0,0,IF(S27=0,"РОТ")))</f>
        <v>105.700598073999</v>
      </c>
      <c r="U27" s="130">
        <f ca="1">O27*R27*'Исходные данные'!$C$40%</f>
        <v>0</v>
      </c>
      <c r="V27" s="130">
        <f ca="1">P27*T27*'Исходные данные'!$C$41%</f>
        <v>1553.7987916877853</v>
      </c>
      <c r="W27" s="130">
        <f t="shared" ca="1" si="8"/>
        <v>0</v>
      </c>
      <c r="X27" s="131">
        <f t="shared" ca="1" si="9"/>
        <v>0</v>
      </c>
      <c r="Y27" s="130">
        <f t="shared" ca="1" si="10"/>
        <v>540.39541611758762</v>
      </c>
      <c r="Z27" s="131">
        <f t="shared" ca="1" si="11"/>
        <v>299.66119553978723</v>
      </c>
      <c r="AA27" s="130">
        <f t="shared" ca="1" si="12"/>
        <v>0</v>
      </c>
      <c r="AB27" s="131">
        <f t="shared" ca="1" si="13"/>
        <v>0</v>
      </c>
      <c r="AC27" s="129">
        <v>2.5</v>
      </c>
      <c r="AD27" s="130">
        <f t="shared" ca="1" si="14"/>
        <v>14860.873943233659</v>
      </c>
      <c r="AE27" s="130">
        <f t="shared" ca="1" si="15"/>
        <v>15732.212765838829</v>
      </c>
      <c r="AF27" s="35">
        <f t="shared" ca="1" si="16"/>
        <v>2220.5903593337653</v>
      </c>
      <c r="AG27" s="73">
        <f t="shared" ca="1" si="16"/>
        <v>2350.7904132862618</v>
      </c>
      <c r="AH27" s="35">
        <f t="shared" ca="1" si="2"/>
        <v>17081.464302567423</v>
      </c>
      <c r="AI27" s="35">
        <f t="shared" ca="1" si="2"/>
        <v>18083.003179125091</v>
      </c>
      <c r="AJ27" s="35">
        <f t="shared" ca="1" si="3"/>
        <v>5124.4392907702268</v>
      </c>
      <c r="AK27" s="73">
        <f t="shared" ca="1" si="3"/>
        <v>5424.9009537375268</v>
      </c>
      <c r="AL27" s="35">
        <f t="shared" ca="1" si="17"/>
        <v>22205.903593337651</v>
      </c>
      <c r="AM27" s="73">
        <f t="shared" ca="1" si="22"/>
        <v>23507.904132862619</v>
      </c>
      <c r="AN27" s="173">
        <v>0.96</v>
      </c>
      <c r="AO27" s="33">
        <f>'Исходные данные'!$C$59</f>
        <v>0.84</v>
      </c>
      <c r="AP27" s="79">
        <f>(G27*AN27)*AO27/100</f>
        <v>2.4192000000000002E-2</v>
      </c>
      <c r="AQ27" s="33" t="s">
        <v>153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8"/>
        <v>#REF!</v>
      </c>
      <c r="BV27" s="36" t="e">
        <f t="shared" ca="1" si="19"/>
        <v>#REF!</v>
      </c>
      <c r="BW27" s="38">
        <f t="shared" si="20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5"/>
        <v>7</v>
      </c>
      <c r="B28" s="27" t="s">
        <v>24</v>
      </c>
      <c r="C28" s="66">
        <v>3</v>
      </c>
      <c r="D28" s="479" t="s">
        <v>118</v>
      </c>
      <c r="E28" s="480"/>
      <c r="F28" s="28" t="s">
        <v>109</v>
      </c>
      <c r="G28" s="186">
        <f>G27</f>
        <v>3</v>
      </c>
      <c r="H28" s="137">
        <v>42536</v>
      </c>
      <c r="I28" s="137">
        <v>42538</v>
      </c>
      <c r="J28" s="182">
        <f t="shared" si="4"/>
        <v>2</v>
      </c>
      <c r="K28" s="172">
        <f>G28/6</f>
        <v>0.5</v>
      </c>
      <c r="L28" s="33">
        <f t="shared" si="6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данные'!$C$14:H30,Q28,'Исходные данные'!$C$18:$H$18),IF(O28=0,0,IF(Q28=0,"РОТ")))</f>
        <v>0</v>
      </c>
      <c r="S28" s="34">
        <v>2</v>
      </c>
      <c r="T28" s="83">
        <f ca="1">IF(AND(N28&gt;0,P28&gt;0),SUMIF('Исходные данные'!$C$14:$J$30,S28,'Исходные данные'!$C$34:$J$42),IF(N28=0,0,IF(S28=0,"РОТ")))</f>
        <v>105.700598073999</v>
      </c>
      <c r="U28" s="130">
        <f>O28*R28*'Исходные данные'!$C$40%</f>
        <v>0</v>
      </c>
      <c r="V28" s="130">
        <f ca="1">P28*T28*'Исходные данные'!$C$41%</f>
        <v>1553.7987916877853</v>
      </c>
      <c r="W28" s="130">
        <f t="shared" si="8"/>
        <v>0</v>
      </c>
      <c r="X28" s="131">
        <f t="shared" ca="1" si="9"/>
        <v>0</v>
      </c>
      <c r="Y28" s="130">
        <f t="shared" si="10"/>
        <v>0</v>
      </c>
      <c r="Z28" s="131">
        <f t="shared" ca="1" si="11"/>
        <v>299.66119553978723</v>
      </c>
      <c r="AA28" s="130">
        <f t="shared" si="12"/>
        <v>0</v>
      </c>
      <c r="AB28" s="131">
        <f t="shared" ca="1" si="13"/>
        <v>0</v>
      </c>
      <c r="AC28" s="129">
        <v>2.5</v>
      </c>
      <c r="AD28" s="130">
        <f t="shared" si="14"/>
        <v>0</v>
      </c>
      <c r="AE28" s="130">
        <f t="shared" ca="1" si="15"/>
        <v>15732.212765838829</v>
      </c>
      <c r="AF28" s="35">
        <f t="shared" ca="1" si="16"/>
        <v>0</v>
      </c>
      <c r="AG28" s="73">
        <f t="shared" ca="1" si="16"/>
        <v>2350.7904132862618</v>
      </c>
      <c r="AH28" s="35">
        <f t="shared" ca="1" si="2"/>
        <v>0</v>
      </c>
      <c r="AI28" s="35">
        <f t="shared" ca="1" si="2"/>
        <v>18083.003179125091</v>
      </c>
      <c r="AJ28" s="35">
        <f t="shared" ca="1" si="3"/>
        <v>0</v>
      </c>
      <c r="AK28" s="73">
        <f t="shared" ca="1" si="3"/>
        <v>5424.9009537375268</v>
      </c>
      <c r="AL28" s="35">
        <f t="shared" ca="1" si="17"/>
        <v>0</v>
      </c>
      <c r="AM28" s="73">
        <f t="shared" ca="1" si="22"/>
        <v>23507.904132862619</v>
      </c>
      <c r="AN28" s="173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8"/>
        <v>23507.904132862619</v>
      </c>
      <c r="BV28" s="36">
        <f ca="1">BU28/$D$6</f>
        <v>235.0790413286262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5"/>
        <v>8</v>
      </c>
      <c r="B29" s="27" t="s">
        <v>25</v>
      </c>
      <c r="C29" s="66">
        <v>3</v>
      </c>
      <c r="D29" s="479" t="s">
        <v>118</v>
      </c>
      <c r="E29" s="480"/>
      <c r="F29" s="28" t="s">
        <v>109</v>
      </c>
      <c r="G29" s="36">
        <f>AY32</f>
        <v>50</v>
      </c>
      <c r="H29" s="137">
        <v>42536</v>
      </c>
      <c r="I29" s="137">
        <v>42538</v>
      </c>
      <c r="J29" s="182">
        <f t="shared" si="4"/>
        <v>2</v>
      </c>
      <c r="K29" s="172">
        <f>50/6</f>
        <v>8.3333333333333339</v>
      </c>
      <c r="L29" s="33">
        <f t="shared" si="6"/>
        <v>6</v>
      </c>
      <c r="M29" s="34"/>
      <c r="N29" s="34">
        <v>1</v>
      </c>
      <c r="O29" s="35">
        <f t="shared" si="21"/>
        <v>0</v>
      </c>
      <c r="P29" s="35">
        <f t="shared" si="7"/>
        <v>42</v>
      </c>
      <c r="Q29" s="34">
        <v>2</v>
      </c>
      <c r="R29" s="83">
        <f>IF(AND(O29&gt;0,Q29&gt;0),SUMIF('Исходные данные'!$C$14:H30,Q29,'Исходные данные'!$C$18:$H$18),IF(O29=0,0,IF(Q29=0,"РОТ")))</f>
        <v>0</v>
      </c>
      <c r="S29" s="34">
        <v>2</v>
      </c>
      <c r="T29" s="83">
        <f ca="1">IF(AND(N29&gt;0,P29&gt;0),SUMIF('Исходные данные'!$C$14:$J$30,S29,'Исходные данные'!$C$34:$J$42),IF(N29=0,0,IF(S29=0,"РОТ")))</f>
        <v>105.700598073999</v>
      </c>
      <c r="U29" s="130">
        <f>O29*R29*'Исходные данные'!$C$40%</f>
        <v>0</v>
      </c>
      <c r="V29" s="130">
        <f ca="1">P29*T29*'Исходные данные'!$C$41%</f>
        <v>1553.7987916877853</v>
      </c>
      <c r="W29" s="130">
        <f t="shared" si="8"/>
        <v>0</v>
      </c>
      <c r="X29" s="131">
        <f t="shared" ca="1" si="9"/>
        <v>0</v>
      </c>
      <c r="Y29" s="130">
        <f t="shared" si="10"/>
        <v>0</v>
      </c>
      <c r="Z29" s="131">
        <f t="shared" ca="1" si="11"/>
        <v>299.66119553978723</v>
      </c>
      <c r="AA29" s="130">
        <f t="shared" si="12"/>
        <v>0</v>
      </c>
      <c r="AB29" s="131">
        <f t="shared" ca="1" si="13"/>
        <v>0</v>
      </c>
      <c r="AC29" s="129">
        <v>2.5</v>
      </c>
      <c r="AD29" s="130">
        <f t="shared" si="14"/>
        <v>0</v>
      </c>
      <c r="AE29" s="130">
        <f t="shared" ca="1" si="15"/>
        <v>15732.212765838829</v>
      </c>
      <c r="AF29" s="35">
        <f t="shared" ca="1" si="16"/>
        <v>0</v>
      </c>
      <c r="AG29" s="73">
        <f t="shared" ca="1" si="16"/>
        <v>2350.7904132862618</v>
      </c>
      <c r="AH29" s="35">
        <f t="shared" ca="1" si="2"/>
        <v>0</v>
      </c>
      <c r="AI29" s="35">
        <f t="shared" ca="1" si="2"/>
        <v>18083.003179125091</v>
      </c>
      <c r="AJ29" s="35">
        <f t="shared" ca="1" si="3"/>
        <v>0</v>
      </c>
      <c r="AK29" s="73">
        <f t="shared" ca="1" si="3"/>
        <v>5424.9009537375268</v>
      </c>
      <c r="AL29" s="35">
        <f t="shared" ca="1" si="17"/>
        <v>0</v>
      </c>
      <c r="AM29" s="73">
        <f t="shared" ca="1" si="22"/>
        <v>23507.904132862619</v>
      </c>
      <c r="AN29" s="173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8"/>
        <v>23507.904132862619</v>
      </c>
      <c r="BV29" s="36">
        <f t="shared" ca="1" si="19"/>
        <v>235.0790413286262</v>
      </c>
      <c r="BW29" s="38">
        <f t="shared" si="20"/>
        <v>0.42</v>
      </c>
      <c r="BX29" s="38"/>
      <c r="BY29" s="39"/>
    </row>
    <row r="30" spans="1:77" ht="33.75" x14ac:dyDescent="0.2">
      <c r="A30" s="20">
        <f t="shared" si="5"/>
        <v>9</v>
      </c>
      <c r="B30" s="27" t="s">
        <v>75</v>
      </c>
      <c r="C30" s="66">
        <v>3</v>
      </c>
      <c r="D30" s="30" t="s">
        <v>105</v>
      </c>
      <c r="E30" s="31" t="s">
        <v>115</v>
      </c>
      <c r="F30" s="28" t="s">
        <v>109</v>
      </c>
      <c r="G30" s="36">
        <f>G29</f>
        <v>50</v>
      </c>
      <c r="H30" s="137">
        <v>42536</v>
      </c>
      <c r="I30" s="137">
        <v>42538</v>
      </c>
      <c r="J30" s="182">
        <f t="shared" si="4"/>
        <v>2</v>
      </c>
      <c r="K30" s="172">
        <f>50/6</f>
        <v>8.3333333333333339</v>
      </c>
      <c r="L30" s="33">
        <f t="shared" si="6"/>
        <v>6</v>
      </c>
      <c r="M30" s="34">
        <v>1</v>
      </c>
      <c r="N30" s="34">
        <v>1</v>
      </c>
      <c r="O30" s="35">
        <f t="shared" si="21"/>
        <v>42</v>
      </c>
      <c r="P30" s="35">
        <f t="shared" si="7"/>
        <v>42</v>
      </c>
      <c r="Q30" s="34">
        <v>2</v>
      </c>
      <c r="R30" s="83">
        <f ca="1">IF(AND(O30&gt;0,Q30&gt;0),SUMIF('Исходные данные'!$C$14:H31,Q30,'Исходные данные'!$C$18:$H$18),IF(O30=0,0,IF(Q30=0,"РОТ")))</f>
        <v>128.66557526609228</v>
      </c>
      <c r="S30" s="34">
        <v>2</v>
      </c>
      <c r="T30" s="83">
        <f ca="1">IF(AND(N30&gt;0,P30&gt;0),SUMIF('Исходные данные'!$C$14:$J$30,S30,'Исходные данные'!$C$34:$J$42),IF(N30=0,0,IF(S30=0,"РОТ")))</f>
        <v>105.700598073999</v>
      </c>
      <c r="U30" s="130">
        <f ca="1">O30*R30*'Исходные данные'!$C$40%</f>
        <v>0</v>
      </c>
      <c r="V30" s="130">
        <f ca="1">P30*T30*'Исходные данные'!$C$41%</f>
        <v>1553.7987916877853</v>
      </c>
      <c r="W30" s="130">
        <f t="shared" ca="1" si="8"/>
        <v>0</v>
      </c>
      <c r="X30" s="131">
        <f t="shared" ca="1" si="9"/>
        <v>0</v>
      </c>
      <c r="Y30" s="130">
        <f t="shared" ca="1" si="10"/>
        <v>540.39541611758762</v>
      </c>
      <c r="Z30" s="131">
        <f t="shared" ca="1" si="11"/>
        <v>299.66119553978723</v>
      </c>
      <c r="AA30" s="130">
        <f t="shared" ca="1" si="12"/>
        <v>0</v>
      </c>
      <c r="AB30" s="131">
        <f t="shared" ca="1" si="13"/>
        <v>0</v>
      </c>
      <c r="AC30" s="129">
        <v>2.5</v>
      </c>
      <c r="AD30" s="130">
        <f t="shared" ca="1" si="14"/>
        <v>14860.873943233659</v>
      </c>
      <c r="AE30" s="130">
        <f t="shared" ca="1" si="15"/>
        <v>15732.212765838829</v>
      </c>
      <c r="AF30" s="35">
        <f t="shared" ca="1" si="16"/>
        <v>2220.5903593337653</v>
      </c>
      <c r="AG30" s="73">
        <f t="shared" ca="1" si="16"/>
        <v>2350.7904132862618</v>
      </c>
      <c r="AH30" s="35">
        <f t="shared" ca="1" si="2"/>
        <v>17081.464302567423</v>
      </c>
      <c r="AI30" s="35">
        <f t="shared" ca="1" si="2"/>
        <v>18083.003179125091</v>
      </c>
      <c r="AJ30" s="35">
        <f t="shared" ca="1" si="3"/>
        <v>5124.4392907702268</v>
      </c>
      <c r="AK30" s="73">
        <f t="shared" ca="1" si="3"/>
        <v>5424.9009537375268</v>
      </c>
      <c r="AL30" s="35">
        <f t="shared" ca="1" si="17"/>
        <v>22205.903593337651</v>
      </c>
      <c r="AM30" s="73">
        <f t="shared" ca="1" si="22"/>
        <v>23507.904132862619</v>
      </c>
      <c r="AN30" s="173">
        <v>0.96</v>
      </c>
      <c r="AO30" s="33">
        <f>'Исходные данные'!$C$59</f>
        <v>0.84</v>
      </c>
      <c r="AP30" s="79">
        <f>(G30*AN30)*AO30/100</f>
        <v>0.4032</v>
      </c>
      <c r="AQ30" s="33" t="s">
        <v>153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8"/>
        <v>#REF!</v>
      </c>
      <c r="BV30" s="36" t="e">
        <f t="shared" ca="1" si="19"/>
        <v>#REF!</v>
      </c>
      <c r="BW30" s="38">
        <f t="shared" si="20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5"/>
        <v>10</v>
      </c>
      <c r="B31" s="27" t="s">
        <v>26</v>
      </c>
      <c r="C31" s="66">
        <v>3</v>
      </c>
      <c r="D31" s="479" t="s">
        <v>118</v>
      </c>
      <c r="E31" s="480"/>
      <c r="F31" s="28" t="s">
        <v>109</v>
      </c>
      <c r="G31" s="36">
        <f>G30</f>
        <v>50</v>
      </c>
      <c r="H31" s="137">
        <v>42536</v>
      </c>
      <c r="I31" s="137">
        <v>42538</v>
      </c>
      <c r="J31" s="182">
        <f t="shared" si="4"/>
        <v>2</v>
      </c>
      <c r="K31" s="172">
        <f>50/6</f>
        <v>8.3333333333333339</v>
      </c>
      <c r="L31" s="33">
        <f t="shared" si="6"/>
        <v>6</v>
      </c>
      <c r="M31" s="34"/>
      <c r="N31" s="34">
        <v>1</v>
      </c>
      <c r="O31" s="35">
        <f>IF(M31=0,0,L31*$O$17)</f>
        <v>0</v>
      </c>
      <c r="P31" s="35">
        <f t="shared" si="7"/>
        <v>42</v>
      </c>
      <c r="Q31" s="34">
        <v>2</v>
      </c>
      <c r="R31" s="83">
        <f>IF(AND(O31&gt;0,Q31&gt;0),SUMIF('Исходные данные'!$C$14:H32,Q31,'Исходные данные'!$C$18:$H$18),IF(O31=0,0,IF(Q31=0,"РОТ")))</f>
        <v>0</v>
      </c>
      <c r="S31" s="34">
        <v>2</v>
      </c>
      <c r="T31" s="83">
        <f ca="1">IF(AND(N31&gt;0,P31&gt;0),SUMIF('Исходные данные'!$C$14:$J$30,S31,'Исходные данные'!$C$34:$J$42),IF(N31=0,0,IF(S31=0,"РОТ")))</f>
        <v>105.700598073999</v>
      </c>
      <c r="U31" s="130">
        <f>O31*R31*'Исходные данные'!$C$40%</f>
        <v>0</v>
      </c>
      <c r="V31" s="130">
        <f ca="1">P31*T31*'Исходные данные'!$C$41%</f>
        <v>1553.7987916877853</v>
      </c>
      <c r="W31" s="130">
        <f t="shared" si="8"/>
        <v>0</v>
      </c>
      <c r="X31" s="131">
        <f t="shared" ca="1" si="9"/>
        <v>0</v>
      </c>
      <c r="Y31" s="130">
        <f t="shared" si="10"/>
        <v>0</v>
      </c>
      <c r="Z31" s="131">
        <f t="shared" ca="1" si="11"/>
        <v>299.66119553978723</v>
      </c>
      <c r="AA31" s="130">
        <f t="shared" si="12"/>
        <v>0</v>
      </c>
      <c r="AB31" s="131">
        <f t="shared" ca="1" si="13"/>
        <v>0</v>
      </c>
      <c r="AC31" s="129">
        <v>2.5</v>
      </c>
      <c r="AD31" s="130">
        <f t="shared" si="14"/>
        <v>0</v>
      </c>
      <c r="AE31" s="130">
        <f t="shared" ca="1" si="15"/>
        <v>15732.212765838829</v>
      </c>
      <c r="AF31" s="35">
        <f t="shared" ca="1" si="16"/>
        <v>0</v>
      </c>
      <c r="AG31" s="73">
        <f t="shared" ca="1" si="16"/>
        <v>2350.7904132862618</v>
      </c>
      <c r="AH31" s="35">
        <f t="shared" ca="1" si="2"/>
        <v>0</v>
      </c>
      <c r="AI31" s="35">
        <f t="shared" ca="1" si="2"/>
        <v>18083.003179125091</v>
      </c>
      <c r="AJ31" s="35">
        <f t="shared" ca="1" si="3"/>
        <v>0</v>
      </c>
      <c r="AK31" s="73">
        <f t="shared" ca="1" si="3"/>
        <v>5424.9009537375268</v>
      </c>
      <c r="AL31" s="35">
        <f t="shared" ca="1" si="17"/>
        <v>0</v>
      </c>
      <c r="AM31" s="73">
        <f t="shared" ca="1" si="22"/>
        <v>23507.904132862619</v>
      </c>
      <c r="AN31" s="173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23507.904132862619</v>
      </c>
      <c r="BV31" s="36">
        <f t="shared" ca="1" si="19"/>
        <v>235.0790413286262</v>
      </c>
      <c r="BW31" s="38">
        <f t="shared" si="20"/>
        <v>0.42</v>
      </c>
      <c r="BX31" s="38"/>
      <c r="BY31" s="39"/>
    </row>
    <row r="32" spans="1:77" ht="67.5" x14ac:dyDescent="0.2">
      <c r="A32" s="20">
        <f t="shared" si="5"/>
        <v>11</v>
      </c>
      <c r="B32" s="27" t="s">
        <v>493</v>
      </c>
      <c r="C32" s="66">
        <v>2</v>
      </c>
      <c r="D32" s="30" t="s">
        <v>184</v>
      </c>
      <c r="E32" s="84" t="s">
        <v>489</v>
      </c>
      <c r="F32" s="28" t="s">
        <v>106</v>
      </c>
      <c r="G32" s="29">
        <f>D6</f>
        <v>100</v>
      </c>
      <c r="H32" s="137">
        <f>H25</f>
        <v>42536</v>
      </c>
      <c r="I32" s="137">
        <v>42538</v>
      </c>
      <c r="J32" s="182">
        <f>I32-H32</f>
        <v>2</v>
      </c>
      <c r="K32" s="172">
        <f>6.7*8</f>
        <v>53.6</v>
      </c>
      <c r="L32" s="33">
        <f t="shared" si="6"/>
        <v>1.8656716417910448</v>
      </c>
      <c r="M32" s="34">
        <v>1</v>
      </c>
      <c r="N32" s="34">
        <v>1</v>
      </c>
      <c r="O32" s="35">
        <f t="shared" si="21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данные'!$C$14:H33,Q32,'Исходные данные'!$C$18:$H$18),IF(O32=0,0,IF(Q32=0,"РОТ")))</f>
        <v>179.78980233147493</v>
      </c>
      <c r="S32" s="34">
        <v>2</v>
      </c>
      <c r="T32" s="83">
        <f ca="1">IF(AND(N32&gt;0,P32&gt;0),SUMIF('Исходные данные'!$C$14:$J$30,S32,'Исходные данные'!$C$34:$J$42),IF(N32=0,0,IF(S32=0,"РОТ")))</f>
        <v>105.700598073999</v>
      </c>
      <c r="U32" s="130">
        <f ca="1">O32*R32*'Исходные данные'!$C$40%</f>
        <v>0</v>
      </c>
      <c r="V32" s="130">
        <f ca="1">P32*T32*'Исходные данные'!$C$41%</f>
        <v>483.14639045018203</v>
      </c>
      <c r="W32" s="130">
        <f t="shared" ca="1" si="8"/>
        <v>0</v>
      </c>
      <c r="X32" s="131">
        <f t="shared" ca="1" si="9"/>
        <v>0</v>
      </c>
      <c r="Y32" s="130">
        <f t="shared" ca="1" si="10"/>
        <v>234.8001149851352</v>
      </c>
      <c r="Z32" s="131">
        <f t="shared" ca="1" si="11"/>
        <v>93.17823244396368</v>
      </c>
      <c r="AA32" s="130">
        <f t="shared" ca="1" si="12"/>
        <v>0</v>
      </c>
      <c r="AB32" s="131">
        <f t="shared" ca="1" si="13"/>
        <v>0</v>
      </c>
      <c r="AC32" s="129">
        <v>2.5</v>
      </c>
      <c r="AD32" s="130">
        <f t="shared" ca="1" si="14"/>
        <v>6457.0031620912177</v>
      </c>
      <c r="AE32" s="130">
        <f t="shared" ca="1" si="15"/>
        <v>4891.8572033080927</v>
      </c>
      <c r="AF32" s="35">
        <f t="shared" ca="1" si="16"/>
        <v>964.83955295615908</v>
      </c>
      <c r="AG32" s="73">
        <f t="shared" ca="1" si="16"/>
        <v>730.96716831040476</v>
      </c>
      <c r="AH32" s="35">
        <f t="shared" ca="1" si="2"/>
        <v>7421.8427150473772</v>
      </c>
      <c r="AI32" s="35">
        <f t="shared" ca="1" si="2"/>
        <v>5622.824371618497</v>
      </c>
      <c r="AJ32" s="35">
        <f t="shared" ca="1" si="3"/>
        <v>2226.552814514213</v>
      </c>
      <c r="AK32" s="73">
        <f t="shared" ca="1" si="3"/>
        <v>1686.847311485549</v>
      </c>
      <c r="AL32" s="35">
        <f t="shared" ca="1" si="17"/>
        <v>9648.3955295615906</v>
      </c>
      <c r="AM32" s="73">
        <f t="shared" ca="1" si="22"/>
        <v>7309.6716831040458</v>
      </c>
      <c r="AN32" s="173">
        <v>9</v>
      </c>
      <c r="AO32" s="33">
        <f>'Исходные данные'!$C$59</f>
        <v>0.84</v>
      </c>
      <c r="AP32" s="79">
        <f>(G32*AN32)*AO32/100</f>
        <v>7.56</v>
      </c>
      <c r="AQ32" s="33" t="s">
        <v>153</v>
      </c>
      <c r="AR32" s="83" t="e">
        <f>'Исходные данные'!#REF!</f>
        <v>#REF!</v>
      </c>
      <c r="AS32" s="36" t="e">
        <f>AP32*AR32</f>
        <v>#REF!</v>
      </c>
      <c r="AT32" s="173">
        <v>0.3</v>
      </c>
      <c r="AU32" s="36">
        <f>AT32*G32/10</f>
        <v>3</v>
      </c>
      <c r="AV32" s="79">
        <v>20</v>
      </c>
      <c r="AW32" s="36">
        <f>AU32*AV32*1000</f>
        <v>60000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8"/>
        <v>#REF!</v>
      </c>
      <c r="BV32" s="36" t="e">
        <f t="shared" ca="1" si="19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21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3">SUM(U22:U33)</f>
        <v>0</v>
      </c>
      <c r="V34" s="65">
        <f t="shared" ca="1" si="23"/>
        <v>9805.9391405768929</v>
      </c>
      <c r="W34" s="65">
        <f t="shared" ca="1" si="23"/>
        <v>0</v>
      </c>
      <c r="X34" s="65">
        <f t="shared" ca="1" si="23"/>
        <v>0</v>
      </c>
      <c r="Y34" s="65">
        <f t="shared" ca="1" si="23"/>
        <v>4319.0407982086526</v>
      </c>
      <c r="Z34" s="65">
        <f t="shared" ca="1" si="23"/>
        <v>1891.1454056826872</v>
      </c>
      <c r="AA34" s="65">
        <f t="shared" ca="1" si="23"/>
        <v>0</v>
      </c>
      <c r="AB34" s="65">
        <f t="shared" ca="1" si="23"/>
        <v>0</v>
      </c>
      <c r="AC34" s="65"/>
      <c r="AD34" s="65">
        <f t="shared" ca="1" si="23"/>
        <v>118773.62195073797</v>
      </c>
      <c r="AE34" s="65">
        <f t="shared" ca="1" si="23"/>
        <v>99285.133798341063</v>
      </c>
      <c r="AF34" s="65">
        <f t="shared" ca="1" si="23"/>
        <v>17747.782590340157</v>
      </c>
      <c r="AG34" s="65">
        <f t="shared" ca="1" si="23"/>
        <v>14835.709648027976</v>
      </c>
      <c r="AH34" s="65">
        <f t="shared" ca="1" si="23"/>
        <v>136521.40454107811</v>
      </c>
      <c r="AI34" s="65">
        <f t="shared" ca="1" si="23"/>
        <v>114120.84344636905</v>
      </c>
      <c r="AJ34" s="65">
        <f t="shared" ca="1" si="23"/>
        <v>40956.421362323439</v>
      </c>
      <c r="AK34" s="65">
        <f t="shared" ca="1" si="23"/>
        <v>34236.253033910711</v>
      </c>
      <c r="AL34" s="65">
        <f t="shared" ca="1" si="23"/>
        <v>177477.82590340159</v>
      </c>
      <c r="AM34" s="65">
        <f t="shared" ca="1" si="23"/>
        <v>148357.09648027975</v>
      </c>
      <c r="AN34" s="65"/>
      <c r="AO34" s="65"/>
      <c r="AP34" s="65">
        <f>SUM(AP22:AP33)</f>
        <v>33.919392000000002</v>
      </c>
      <c r="AQ34" s="65"/>
      <c r="AR34" s="65"/>
      <c r="AS34" s="65" t="e">
        <f>SUM(AS22:AS33)</f>
        <v>#REF!</v>
      </c>
      <c r="AT34" s="65"/>
      <c r="AU34" s="65">
        <f>SUM(AU22:AU33)</f>
        <v>3</v>
      </c>
      <c r="AV34" s="65"/>
      <c r="AW34" s="65">
        <f>SUM(AW22:AW33)</f>
        <v>60000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483" t="s">
        <v>72</v>
      </c>
      <c r="C35" s="483"/>
      <c r="D35" s="483"/>
      <c r="E35" s="483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73</v>
      </c>
      <c r="C36" s="66">
        <v>1</v>
      </c>
      <c r="D36" s="484" t="s">
        <v>131</v>
      </c>
      <c r="E36" s="485"/>
      <c r="F36" s="28" t="s">
        <v>106</v>
      </c>
      <c r="G36" s="29">
        <v>100</v>
      </c>
      <c r="H36" s="181">
        <v>42537</v>
      </c>
      <c r="I36" s="181">
        <v>42542</v>
      </c>
      <c r="J36" s="182">
        <f t="shared" ref="J36:J41" si="24">I36-H36+1</f>
        <v>6</v>
      </c>
      <c r="K36" s="172">
        <f t="shared" ref="K36:K41" si="25">G36/J36</f>
        <v>16.666666666666668</v>
      </c>
      <c r="L36" s="33">
        <f t="shared" ref="L36:L41" si="26">G36/K36</f>
        <v>6</v>
      </c>
      <c r="M36" s="30"/>
      <c r="N36" s="30">
        <v>1</v>
      </c>
      <c r="O36" s="35">
        <f t="shared" ref="O36:O41" si="27">IF(M36=0,0,L36*$O$17)</f>
        <v>0</v>
      </c>
      <c r="P36" s="35">
        <f t="shared" ref="P36:P41" si="28">IF(N36=0,0,L36*$O$17)</f>
        <v>42</v>
      </c>
      <c r="Q36" s="85">
        <v>5</v>
      </c>
      <c r="R36" s="83">
        <f>'Исходные данные'!$G$22</f>
        <v>197.57121135326915</v>
      </c>
      <c r="S36" s="187">
        <v>5</v>
      </c>
      <c r="T36" s="83">
        <f ca="1">IF(AND(N36&gt;0,P36&gt;0),SUMIF('Исходные данные'!$C$14:$J$30,S36,'Исходные данные'!$C$34:$J$42),IF(N36=0,0,IF(S36=0,"РОТ")))</f>
        <v>136.32413583375569</v>
      </c>
      <c r="U36" s="130">
        <f>O36*R36*'Исходные данные'!$C$40%</f>
        <v>0</v>
      </c>
      <c r="V36" s="130">
        <f ca="1">P36*T36*'Исходные данные'!$C$41%</f>
        <v>2003.9647967562084</v>
      </c>
      <c r="W36" s="130">
        <f t="shared" ref="W36:W41" si="29">O36*R36*$W$17</f>
        <v>0</v>
      </c>
      <c r="X36" s="131">
        <f t="shared" ref="X36:X41" ca="1" si="30">P36*T36*$W$17</f>
        <v>0</v>
      </c>
      <c r="Y36" s="130">
        <f t="shared" ref="Y36:Y41" si="31">(O36*R36+U36+W36)*$Y$17</f>
        <v>0</v>
      </c>
      <c r="Z36" s="131">
        <f t="shared" ref="Z36:Z41" ca="1" si="32">(P36*T36+V36+X36)*$Z$17</f>
        <v>386.47892508869739</v>
      </c>
      <c r="AA36" s="130">
        <f t="shared" ref="AA36:AA41" si="33">(O36*R36+U36)*$AA$17</f>
        <v>0</v>
      </c>
      <c r="AB36" s="131">
        <f t="shared" ref="AB36:AB41" ca="1" si="34">(P36*T36+V36)*$AA$17</f>
        <v>0</v>
      </c>
      <c r="AC36" s="129">
        <v>2.5</v>
      </c>
      <c r="AD36" s="130">
        <f t="shared" ref="AD36:AD41" si="35">(O36*R36+U36+W36+Y36+AA36)*AC36</f>
        <v>0</v>
      </c>
      <c r="AE36" s="130">
        <f t="shared" ref="AE36:AE41" ca="1" si="36">(P36*T36+V36+X36+Z36+AB36)*AC36</f>
        <v>20290.143567156611</v>
      </c>
      <c r="AF36" s="35">
        <f t="shared" ref="AF36:AG41" ca="1" si="37">AD36*$AF$17</f>
        <v>0</v>
      </c>
      <c r="AG36" s="73">
        <f t="shared" ca="1" si="37"/>
        <v>3031.8605330234018</v>
      </c>
      <c r="AH36" s="35">
        <f t="shared" ref="AH36:AI41" ca="1" si="38">AD36+AF36</f>
        <v>0</v>
      </c>
      <c r="AI36" s="35">
        <f t="shared" ca="1" si="38"/>
        <v>23322.004100180013</v>
      </c>
      <c r="AJ36" s="35">
        <f t="shared" ref="AJ36:AK41" ca="1" si="39">AH36*$AJ$17</f>
        <v>0</v>
      </c>
      <c r="AK36" s="73">
        <f t="shared" ca="1" si="39"/>
        <v>6996.6012300540033</v>
      </c>
      <c r="AL36" s="35">
        <f t="shared" ref="AL36:AL41" ca="1" si="40">AH36+AJ36</f>
        <v>0</v>
      </c>
      <c r="AM36" s="73">
        <f t="shared" ref="AM36:AM41" ca="1" si="41">AK36+AI36</f>
        <v>30318.605330234015</v>
      </c>
      <c r="AN36" s="173">
        <f>2419/G36</f>
        <v>24.19</v>
      </c>
      <c r="AO36" s="33">
        <f>'Исходные данные'!$C$59</f>
        <v>0.84</v>
      </c>
      <c r="AP36" s="79">
        <f t="shared" ref="AP36:AP41" si="42">(G36*AN36)*AO36/100</f>
        <v>20.319600000000001</v>
      </c>
      <c r="AQ36" s="33" t="s">
        <v>153</v>
      </c>
      <c r="AR36" s="83" t="e">
        <f>'Исходные данные'!#REF!</f>
        <v>#REF!</v>
      </c>
      <c r="AS36" s="36" t="e">
        <f t="shared" ref="AS36:AS41" si="43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4">BI36*L36</f>
        <v>0</v>
      </c>
      <c r="BK36" s="36">
        <f>аморт!$G$88</f>
        <v>114.406775</v>
      </c>
      <c r="BL36" s="36">
        <f t="shared" ref="BL36:BL41" si="45">BK36*L36</f>
        <v>686.44065000000001</v>
      </c>
      <c r="BM36" s="36"/>
      <c r="BN36" s="42"/>
      <c r="BO36" s="36">
        <f t="shared" ref="BO36:BO41" si="46">BN36*BY36</f>
        <v>0</v>
      </c>
      <c r="BP36" s="42"/>
      <c r="BQ36" s="36">
        <f t="shared" ref="BQ36:BQ41" si="47">BP36*BY36</f>
        <v>0</v>
      </c>
      <c r="BR36" s="42"/>
      <c r="BS36" s="36">
        <f t="shared" ref="BS36:BS41" si="48">BR36*BY36</f>
        <v>0</v>
      </c>
      <c r="BT36" s="36">
        <f>аморт!$C$88*10%/аморт!$E$88*L36*7</f>
        <v>30752.541119999998</v>
      </c>
      <c r="BU36" s="36" t="e">
        <f t="shared" ref="BU36:BU41" ca="1" si="49">AL36+AM36+AS36+AW36+BA36+BE36+BH36+BJ36+BL36+BM36+BO36+BQ36+BS36+BT36</f>
        <v>#REF!</v>
      </c>
      <c r="BV36" s="36" t="e">
        <f t="shared" ref="BV36:BV41" ca="1" si="50">BU36/$D$6</f>
        <v>#REF!</v>
      </c>
      <c r="BW36" s="38">
        <f t="shared" ref="BW36:BW41" si="51">(O36+P36)/$D$6</f>
        <v>0.42</v>
      </c>
      <c r="BX36" s="42"/>
      <c r="BY36" s="39">
        <f t="shared" ref="BY36:BY41" si="52">BX36*L36</f>
        <v>0</v>
      </c>
    </row>
    <row r="37" spans="1:77" s="7" customFormat="1" x14ac:dyDescent="0.2">
      <c r="A37" s="20">
        <f>A36+1</f>
        <v>2</v>
      </c>
      <c r="B37" s="27" t="s">
        <v>74</v>
      </c>
      <c r="C37" s="66">
        <v>1</v>
      </c>
      <c r="D37" s="30" t="s">
        <v>103</v>
      </c>
      <c r="E37" s="31" t="s">
        <v>132</v>
      </c>
      <c r="F37" s="28" t="s">
        <v>106</v>
      </c>
      <c r="G37" s="29">
        <v>100</v>
      </c>
      <c r="H37" s="181">
        <f>H36</f>
        <v>42537</v>
      </c>
      <c r="I37" s="181">
        <f>I36</f>
        <v>42542</v>
      </c>
      <c r="J37" s="182">
        <f t="shared" si="24"/>
        <v>6</v>
      </c>
      <c r="K37" s="172">
        <f t="shared" si="25"/>
        <v>16.666666666666668</v>
      </c>
      <c r="L37" s="33">
        <f t="shared" si="26"/>
        <v>6</v>
      </c>
      <c r="M37" s="30">
        <v>1</v>
      </c>
      <c r="N37" s="30"/>
      <c r="O37" s="35">
        <f t="shared" si="27"/>
        <v>42</v>
      </c>
      <c r="P37" s="35">
        <f t="shared" si="28"/>
        <v>0</v>
      </c>
      <c r="Q37" s="85">
        <v>5</v>
      </c>
      <c r="R37" s="83">
        <f>'Исходные данные'!$G$22</f>
        <v>197.57121135326915</v>
      </c>
      <c r="S37" s="187">
        <v>5</v>
      </c>
      <c r="T37" s="83">
        <f>IF(AND(N37&gt;0,P37&gt;0),SUMIF('Исходные данные'!$C$14:$J$30,S37,'Исходные данные'!$C$34:$J$42),IF(N37=0,0,IF(S37=0,"РОТ")))</f>
        <v>0</v>
      </c>
      <c r="U37" s="130">
        <f>O37*R37*'Исходные данные'!$C$40%</f>
        <v>0</v>
      </c>
      <c r="V37" s="130">
        <f>P37*T37*'Исходные данные'!$C$41%</f>
        <v>0</v>
      </c>
      <c r="W37" s="130">
        <f t="shared" si="29"/>
        <v>0</v>
      </c>
      <c r="X37" s="131">
        <f t="shared" si="30"/>
        <v>0</v>
      </c>
      <c r="Y37" s="130">
        <f t="shared" si="31"/>
        <v>829.79908768373048</v>
      </c>
      <c r="Z37" s="131">
        <f t="shared" si="32"/>
        <v>0</v>
      </c>
      <c r="AA37" s="130">
        <f t="shared" si="33"/>
        <v>0</v>
      </c>
      <c r="AB37" s="131">
        <f t="shared" si="34"/>
        <v>0</v>
      </c>
      <c r="AC37" s="129">
        <v>2.5</v>
      </c>
      <c r="AD37" s="130">
        <f t="shared" si="35"/>
        <v>22819.474911302586</v>
      </c>
      <c r="AE37" s="130">
        <f t="shared" si="36"/>
        <v>0</v>
      </c>
      <c r="AF37" s="35">
        <f t="shared" ca="1" si="37"/>
        <v>3409.8065959417659</v>
      </c>
      <c r="AG37" s="73">
        <f t="shared" ca="1" si="37"/>
        <v>0</v>
      </c>
      <c r="AH37" s="35">
        <f t="shared" ca="1" si="38"/>
        <v>26229.281507244352</v>
      </c>
      <c r="AI37" s="35">
        <f t="shared" ca="1" si="38"/>
        <v>0</v>
      </c>
      <c r="AJ37" s="35">
        <f t="shared" ca="1" si="39"/>
        <v>7868.784452173305</v>
      </c>
      <c r="AK37" s="73">
        <f t="shared" ca="1" si="39"/>
        <v>0</v>
      </c>
      <c r="AL37" s="35">
        <f t="shared" ca="1" si="40"/>
        <v>34098.065959417654</v>
      </c>
      <c r="AM37" s="73">
        <f t="shared" ca="1" si="41"/>
        <v>0</v>
      </c>
      <c r="AN37" s="173">
        <f>1440/G37</f>
        <v>14.4</v>
      </c>
      <c r="AO37" s="33">
        <f>'Исходные данные'!$C$59</f>
        <v>0.84</v>
      </c>
      <c r="AP37" s="79">
        <f t="shared" si="42"/>
        <v>12.095999999999998</v>
      </c>
      <c r="AQ37" s="33" t="s">
        <v>153</v>
      </c>
      <c r="AR37" s="83" t="e">
        <f>'Исходные данные'!#REF!</f>
        <v>#REF!</v>
      </c>
      <c r="AS37" s="36" t="e">
        <f t="shared" si="43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4"/>
        <v>450.71186499999999</v>
      </c>
      <c r="BK37" s="36">
        <f>аморт!$G$42</f>
        <v>30.100819672131149</v>
      </c>
      <c r="BL37" s="36">
        <f t="shared" si="45"/>
        <v>180.60491803278688</v>
      </c>
      <c r="BM37" s="36"/>
      <c r="BN37" s="38">
        <v>111.7</v>
      </c>
      <c r="BO37" s="36">
        <f t="shared" si="46"/>
        <v>4825.4400000000005</v>
      </c>
      <c r="BP37" s="38">
        <v>12.5</v>
      </c>
      <c r="BQ37" s="36">
        <f t="shared" si="47"/>
        <v>540</v>
      </c>
      <c r="BR37" s="42"/>
      <c r="BS37" s="36">
        <f t="shared" si="48"/>
        <v>0</v>
      </c>
      <c r="BT37" s="36">
        <f>аморт!$C$42*10%/аморт!$E$42*L37*7</f>
        <v>5552.5175999999992</v>
      </c>
      <c r="BU37" s="36" t="e">
        <f t="shared" ca="1" si="49"/>
        <v>#REF!</v>
      </c>
      <c r="BV37" s="36" t="e">
        <f t="shared" ca="1" si="50"/>
        <v>#REF!</v>
      </c>
      <c r="BW37" s="38">
        <f t="shared" si="51"/>
        <v>0.42</v>
      </c>
      <c r="BX37" s="38">
        <v>7.2</v>
      </c>
      <c r="BY37" s="39">
        <f t="shared" si="52"/>
        <v>43.2</v>
      </c>
    </row>
    <row r="38" spans="1:77" s="7" customFormat="1" ht="22.5" x14ac:dyDescent="0.2">
      <c r="A38" s="19">
        <v>3</v>
      </c>
      <c r="B38" s="27" t="s">
        <v>73</v>
      </c>
      <c r="C38" s="66">
        <v>1</v>
      </c>
      <c r="D38" s="481" t="s">
        <v>131</v>
      </c>
      <c r="E38" s="482"/>
      <c r="F38" s="28" t="s">
        <v>106</v>
      </c>
      <c r="G38" s="29">
        <f>G37</f>
        <v>100</v>
      </c>
      <c r="H38" s="181">
        <v>42565</v>
      </c>
      <c r="I38" s="181">
        <v>42570</v>
      </c>
      <c r="J38" s="182">
        <f t="shared" si="24"/>
        <v>6</v>
      </c>
      <c r="K38" s="172">
        <f t="shared" si="25"/>
        <v>16.666666666666668</v>
      </c>
      <c r="L38" s="33">
        <f t="shared" si="26"/>
        <v>6</v>
      </c>
      <c r="M38" s="30"/>
      <c r="N38" s="30">
        <v>1</v>
      </c>
      <c r="O38" s="35">
        <f t="shared" si="27"/>
        <v>0</v>
      </c>
      <c r="P38" s="35">
        <f t="shared" si="28"/>
        <v>42</v>
      </c>
      <c r="Q38" s="85">
        <v>5</v>
      </c>
      <c r="R38" s="83">
        <f>'Исходные данные'!$G$22</f>
        <v>197.57121135326915</v>
      </c>
      <c r="S38" s="187">
        <v>5</v>
      </c>
      <c r="T38" s="83">
        <f ca="1">IF(AND(N38&gt;0,P38&gt;0),SUMIF('Исходные данные'!$C$14:$J$30,S38,'Исходные данные'!$C$34:$J$42),IF(N38=0,0,IF(S38=0,"РОТ")))</f>
        <v>136.32413583375569</v>
      </c>
      <c r="U38" s="130">
        <f>O38*R38*'Исходные данные'!$C$40%</f>
        <v>0</v>
      </c>
      <c r="V38" s="130">
        <f ca="1">P38*T38*'Исходные данные'!$C$41%</f>
        <v>2003.9647967562084</v>
      </c>
      <c r="W38" s="130">
        <f t="shared" si="29"/>
        <v>0</v>
      </c>
      <c r="X38" s="131">
        <f t="shared" ca="1" si="30"/>
        <v>0</v>
      </c>
      <c r="Y38" s="130">
        <f t="shared" si="31"/>
        <v>0</v>
      </c>
      <c r="Z38" s="131">
        <f t="shared" ca="1" si="32"/>
        <v>386.47892508869739</v>
      </c>
      <c r="AA38" s="130">
        <f t="shared" si="33"/>
        <v>0</v>
      </c>
      <c r="AB38" s="131">
        <f t="shared" ca="1" si="34"/>
        <v>0</v>
      </c>
      <c r="AC38" s="129">
        <v>3.5</v>
      </c>
      <c r="AD38" s="130">
        <f t="shared" si="35"/>
        <v>0</v>
      </c>
      <c r="AE38" s="130">
        <f t="shared" ca="1" si="36"/>
        <v>28406.200994019255</v>
      </c>
      <c r="AF38" s="35">
        <f t="shared" ca="1" si="37"/>
        <v>0</v>
      </c>
      <c r="AG38" s="73">
        <f t="shared" ca="1" si="37"/>
        <v>4244.6047462327624</v>
      </c>
      <c r="AH38" s="35">
        <f t="shared" ca="1" si="38"/>
        <v>0</v>
      </c>
      <c r="AI38" s="35">
        <f t="shared" ca="1" si="38"/>
        <v>32650.805740252017</v>
      </c>
      <c r="AJ38" s="35">
        <f t="shared" ca="1" si="39"/>
        <v>0</v>
      </c>
      <c r="AK38" s="73">
        <f t="shared" ca="1" si="39"/>
        <v>9795.2417220756051</v>
      </c>
      <c r="AL38" s="35">
        <f t="shared" ca="1" si="40"/>
        <v>0</v>
      </c>
      <c r="AM38" s="73">
        <f t="shared" ca="1" si="41"/>
        <v>42446.047462327624</v>
      </c>
      <c r="AN38" s="173">
        <f>2419/G38</f>
        <v>24.19</v>
      </c>
      <c r="AO38" s="33">
        <f>'Исходные данные'!$C$59</f>
        <v>0.84</v>
      </c>
      <c r="AP38" s="79">
        <f t="shared" si="42"/>
        <v>20.319600000000001</v>
      </c>
      <c r="AQ38" s="33" t="s">
        <v>153</v>
      </c>
      <c r="AR38" s="83" t="e">
        <f>'Исходные данные'!#REF!</f>
        <v>#REF!</v>
      </c>
      <c r="AS38" s="36" t="e">
        <f t="shared" si="43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4"/>
        <v>0</v>
      </c>
      <c r="BK38" s="36">
        <f>аморт!$G$88</f>
        <v>114.406775</v>
      </c>
      <c r="BL38" s="36">
        <f t="shared" si="45"/>
        <v>686.44065000000001</v>
      </c>
      <c r="BM38" s="36"/>
      <c r="BN38" s="42"/>
      <c r="BO38" s="36">
        <f t="shared" si="46"/>
        <v>0</v>
      </c>
      <c r="BP38" s="42"/>
      <c r="BQ38" s="36">
        <f t="shared" si="47"/>
        <v>0</v>
      </c>
      <c r="BR38" s="42"/>
      <c r="BS38" s="36">
        <f t="shared" si="48"/>
        <v>0</v>
      </c>
      <c r="BT38" s="36">
        <f>аморт!$C$88*10%/аморт!$E$88*L38*7</f>
        <v>30752.541119999998</v>
      </c>
      <c r="BU38" s="36" t="e">
        <f t="shared" ca="1" si="49"/>
        <v>#REF!</v>
      </c>
      <c r="BV38" s="36" t="e">
        <f t="shared" ca="1" si="50"/>
        <v>#REF!</v>
      </c>
      <c r="BW38" s="38">
        <f t="shared" si="51"/>
        <v>0.42</v>
      </c>
      <c r="BX38" s="42"/>
      <c r="BY38" s="39">
        <f t="shared" si="52"/>
        <v>0</v>
      </c>
    </row>
    <row r="39" spans="1:77" s="7" customFormat="1" x14ac:dyDescent="0.2">
      <c r="A39" s="20">
        <v>4</v>
      </c>
      <c r="B39" s="27" t="s">
        <v>74</v>
      </c>
      <c r="C39" s="66">
        <v>1</v>
      </c>
      <c r="D39" s="30" t="s">
        <v>103</v>
      </c>
      <c r="E39" s="183" t="s">
        <v>132</v>
      </c>
      <c r="F39" s="28" t="s">
        <v>106</v>
      </c>
      <c r="G39" s="29">
        <f>G38</f>
        <v>100</v>
      </c>
      <c r="H39" s="181">
        <v>42565</v>
      </c>
      <c r="I39" s="181">
        <v>42570</v>
      </c>
      <c r="J39" s="182">
        <f t="shared" si="24"/>
        <v>6</v>
      </c>
      <c r="K39" s="172">
        <f t="shared" si="25"/>
        <v>16.666666666666668</v>
      </c>
      <c r="L39" s="33">
        <f t="shared" si="26"/>
        <v>6</v>
      </c>
      <c r="M39" s="30">
        <v>1</v>
      </c>
      <c r="N39" s="30"/>
      <c r="O39" s="35">
        <f t="shared" si="27"/>
        <v>42</v>
      </c>
      <c r="P39" s="35">
        <f t="shared" si="28"/>
        <v>0</v>
      </c>
      <c r="Q39" s="85">
        <v>5</v>
      </c>
      <c r="R39" s="83">
        <f>'Исходные данные'!$G$22</f>
        <v>197.57121135326915</v>
      </c>
      <c r="S39" s="187">
        <v>5</v>
      </c>
      <c r="T39" s="83">
        <f>IF(AND(N39&gt;0,P39&gt;0),SUMIF('Исходные данные'!$C$14:$J$30,S39,'Исходные данные'!$C$34:$J$42),IF(N39=0,0,IF(S39=0,"РОТ")))</f>
        <v>0</v>
      </c>
      <c r="U39" s="130">
        <f>O39*R39*'Исходные данные'!$C$40%</f>
        <v>0</v>
      </c>
      <c r="V39" s="130">
        <f>P39*T39*'Исходные данные'!$C$41%</f>
        <v>0</v>
      </c>
      <c r="W39" s="130">
        <f t="shared" si="29"/>
        <v>0</v>
      </c>
      <c r="X39" s="131">
        <f t="shared" si="30"/>
        <v>0</v>
      </c>
      <c r="Y39" s="130">
        <f t="shared" si="31"/>
        <v>829.79908768373048</v>
      </c>
      <c r="Z39" s="131">
        <f t="shared" si="32"/>
        <v>0</v>
      </c>
      <c r="AA39" s="130">
        <f t="shared" si="33"/>
        <v>0</v>
      </c>
      <c r="AB39" s="131">
        <f t="shared" si="34"/>
        <v>0</v>
      </c>
      <c r="AC39" s="129">
        <v>4.5</v>
      </c>
      <c r="AD39" s="130">
        <f t="shared" si="35"/>
        <v>41075.054840344659</v>
      </c>
      <c r="AE39" s="130">
        <f t="shared" si="36"/>
        <v>0</v>
      </c>
      <c r="AF39" s="35">
        <f t="shared" ca="1" si="37"/>
        <v>6137.651872695179</v>
      </c>
      <c r="AG39" s="73">
        <f t="shared" ca="1" si="37"/>
        <v>0</v>
      </c>
      <c r="AH39" s="35">
        <f t="shared" ca="1" si="38"/>
        <v>47212.706713039835</v>
      </c>
      <c r="AI39" s="35">
        <f t="shared" ca="1" si="38"/>
        <v>0</v>
      </c>
      <c r="AJ39" s="35">
        <f t="shared" ca="1" si="39"/>
        <v>14163.812013911951</v>
      </c>
      <c r="AK39" s="73">
        <f t="shared" ca="1" si="39"/>
        <v>0</v>
      </c>
      <c r="AL39" s="35">
        <f t="shared" ca="1" si="40"/>
        <v>61376.518726951785</v>
      </c>
      <c r="AM39" s="73">
        <f t="shared" ca="1" si="41"/>
        <v>0</v>
      </c>
      <c r="AN39" s="173">
        <f>1440/G39</f>
        <v>14.4</v>
      </c>
      <c r="AO39" s="33">
        <f>'Исходные данные'!$C$59</f>
        <v>0.84</v>
      </c>
      <c r="AP39" s="79">
        <f t="shared" si="42"/>
        <v>12.095999999999998</v>
      </c>
      <c r="AQ39" s="33" t="s">
        <v>153</v>
      </c>
      <c r="AR39" s="83" t="e">
        <f>'Исходные данные'!#REF!</f>
        <v>#REF!</v>
      </c>
      <c r="AS39" s="36" t="e">
        <f t="shared" si="43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4"/>
        <v>450.71186499999999</v>
      </c>
      <c r="BK39" s="36">
        <f>аморт!$G$42</f>
        <v>30.100819672131149</v>
      </c>
      <c r="BL39" s="36">
        <f t="shared" si="45"/>
        <v>180.60491803278688</v>
      </c>
      <c r="BM39" s="36"/>
      <c r="BN39" s="38">
        <v>112.7</v>
      </c>
      <c r="BO39" s="36">
        <f t="shared" si="46"/>
        <v>4868.6400000000003</v>
      </c>
      <c r="BP39" s="38">
        <v>12.5</v>
      </c>
      <c r="BQ39" s="36">
        <f t="shared" si="47"/>
        <v>540</v>
      </c>
      <c r="BR39" s="42"/>
      <c r="BS39" s="36">
        <f t="shared" si="48"/>
        <v>0</v>
      </c>
      <c r="BT39" s="36">
        <f>аморт!$C$42*10%/аморт!$E$42*L39*7</f>
        <v>5552.5175999999992</v>
      </c>
      <c r="BU39" s="36" t="e">
        <f t="shared" ca="1" si="49"/>
        <v>#REF!</v>
      </c>
      <c r="BV39" s="36" t="e">
        <f t="shared" ca="1" si="50"/>
        <v>#REF!</v>
      </c>
      <c r="BW39" s="38">
        <f t="shared" si="51"/>
        <v>0.42</v>
      </c>
      <c r="BX39" s="38">
        <v>7.2</v>
      </c>
      <c r="BY39" s="39">
        <f t="shared" si="52"/>
        <v>43.2</v>
      </c>
    </row>
    <row r="40" spans="1:77" s="7" customFormat="1" ht="22.5" x14ac:dyDescent="0.2">
      <c r="A40" s="19">
        <v>5</v>
      </c>
      <c r="B40" s="27" t="s">
        <v>73</v>
      </c>
      <c r="C40" s="66">
        <v>1</v>
      </c>
      <c r="D40" s="481" t="s">
        <v>131</v>
      </c>
      <c r="E40" s="482"/>
      <c r="F40" s="28" t="s">
        <v>106</v>
      </c>
      <c r="G40" s="29">
        <f>G39</f>
        <v>100</v>
      </c>
      <c r="H40" s="181">
        <v>42586</v>
      </c>
      <c r="I40" s="181">
        <v>42594</v>
      </c>
      <c r="J40" s="182">
        <f t="shared" si="24"/>
        <v>9</v>
      </c>
      <c r="K40" s="172">
        <f t="shared" si="25"/>
        <v>11.111111111111111</v>
      </c>
      <c r="L40" s="33">
        <f t="shared" si="26"/>
        <v>9</v>
      </c>
      <c r="M40" s="30"/>
      <c r="N40" s="30">
        <v>1</v>
      </c>
      <c r="O40" s="35">
        <f t="shared" si="27"/>
        <v>0</v>
      </c>
      <c r="P40" s="35">
        <f t="shared" si="28"/>
        <v>63</v>
      </c>
      <c r="Q40" s="85">
        <v>5</v>
      </c>
      <c r="R40" s="83">
        <f>'Исходные данные'!$G$22</f>
        <v>197.57121135326915</v>
      </c>
      <c r="S40" s="187">
        <v>5</v>
      </c>
      <c r="T40" s="83">
        <f ca="1">IF(AND(N40&gt;0,P40&gt;0),SUMIF('Исходные данные'!$C$14:$J$30,S40,'Исходные данные'!$C$34:$J$42),IF(N40=0,0,IF(S40=0,"РОТ")))</f>
        <v>136.32413583375569</v>
      </c>
      <c r="U40" s="130">
        <f>O40*R40*'Исходные данные'!$C$40%</f>
        <v>0</v>
      </c>
      <c r="V40" s="130">
        <f ca="1">P40*T40*'Исходные данные'!$C$41%</f>
        <v>3005.9471951343126</v>
      </c>
      <c r="W40" s="130">
        <f t="shared" si="29"/>
        <v>0</v>
      </c>
      <c r="X40" s="131">
        <f t="shared" ca="1" si="30"/>
        <v>0</v>
      </c>
      <c r="Y40" s="130">
        <f t="shared" si="31"/>
        <v>0</v>
      </c>
      <c r="Z40" s="131">
        <f t="shared" ca="1" si="32"/>
        <v>579.71838763304606</v>
      </c>
      <c r="AA40" s="130">
        <f t="shared" si="33"/>
        <v>0</v>
      </c>
      <c r="AB40" s="131">
        <f t="shared" ca="1" si="34"/>
        <v>0</v>
      </c>
      <c r="AC40" s="129">
        <v>5.5</v>
      </c>
      <c r="AD40" s="130">
        <f t="shared" si="35"/>
        <v>0</v>
      </c>
      <c r="AE40" s="130">
        <f t="shared" ca="1" si="36"/>
        <v>66957.473771616817</v>
      </c>
      <c r="AF40" s="35">
        <f t="shared" ca="1" si="37"/>
        <v>0</v>
      </c>
      <c r="AG40" s="73">
        <f t="shared" ca="1" si="37"/>
        <v>10005.139758977226</v>
      </c>
      <c r="AH40" s="35">
        <f t="shared" ca="1" si="38"/>
        <v>0</v>
      </c>
      <c r="AI40" s="35">
        <f t="shared" ca="1" si="38"/>
        <v>76962.613530594041</v>
      </c>
      <c r="AJ40" s="35">
        <f t="shared" ca="1" si="39"/>
        <v>0</v>
      </c>
      <c r="AK40" s="73">
        <f t="shared" ca="1" si="39"/>
        <v>23088.784059178211</v>
      </c>
      <c r="AL40" s="35">
        <f t="shared" ca="1" si="40"/>
        <v>0</v>
      </c>
      <c r="AM40" s="73">
        <f t="shared" ca="1" si="41"/>
        <v>100051.39758977226</v>
      </c>
      <c r="AN40" s="173">
        <f>3628.8/G40</f>
        <v>36.288000000000004</v>
      </c>
      <c r="AO40" s="33">
        <f>'Исходные данные'!$C$59</f>
        <v>0.84</v>
      </c>
      <c r="AP40" s="79">
        <f t="shared" si="42"/>
        <v>30.481919999999999</v>
      </c>
      <c r="AQ40" s="33" t="s">
        <v>153</v>
      </c>
      <c r="AR40" s="83" t="e">
        <f>'Исходные данные'!#REF!</f>
        <v>#REF!</v>
      </c>
      <c r="AS40" s="36" t="e">
        <f t="shared" si="43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4"/>
        <v>0</v>
      </c>
      <c r="BK40" s="36">
        <f>аморт!$G$88</f>
        <v>114.406775</v>
      </c>
      <c r="BL40" s="36">
        <f t="shared" si="45"/>
        <v>1029.660975</v>
      </c>
      <c r="BM40" s="36"/>
      <c r="BN40" s="42"/>
      <c r="BO40" s="36">
        <f t="shared" si="46"/>
        <v>0</v>
      </c>
      <c r="BP40" s="42"/>
      <c r="BQ40" s="36">
        <f t="shared" si="47"/>
        <v>0</v>
      </c>
      <c r="BR40" s="42"/>
      <c r="BS40" s="36">
        <f t="shared" si="48"/>
        <v>0</v>
      </c>
      <c r="BT40" s="36">
        <f>аморт!$C$88*10%/аморт!$E$88*L40*7</f>
        <v>46128.811679999999</v>
      </c>
      <c r="BU40" s="36" t="e">
        <f t="shared" ca="1" si="49"/>
        <v>#REF!</v>
      </c>
      <c r="BV40" s="36" t="e">
        <f t="shared" ca="1" si="50"/>
        <v>#REF!</v>
      </c>
      <c r="BW40" s="38">
        <f t="shared" si="51"/>
        <v>0.63</v>
      </c>
      <c r="BX40" s="42"/>
      <c r="BY40" s="39">
        <f t="shared" si="52"/>
        <v>0</v>
      </c>
    </row>
    <row r="41" spans="1:77" s="7" customFormat="1" x14ac:dyDescent="0.2">
      <c r="A41" s="20">
        <f>A40+1</f>
        <v>6</v>
      </c>
      <c r="B41" s="27" t="s">
        <v>74</v>
      </c>
      <c r="C41" s="66">
        <v>1</v>
      </c>
      <c r="D41" s="30" t="s">
        <v>103</v>
      </c>
      <c r="E41" s="183" t="s">
        <v>132</v>
      </c>
      <c r="F41" s="28" t="s">
        <v>106</v>
      </c>
      <c r="G41" s="29">
        <f>G40</f>
        <v>100</v>
      </c>
      <c r="H41" s="181">
        <v>42586</v>
      </c>
      <c r="I41" s="181">
        <f>I40</f>
        <v>42594</v>
      </c>
      <c r="J41" s="182">
        <f t="shared" si="24"/>
        <v>9</v>
      </c>
      <c r="K41" s="172">
        <f t="shared" si="25"/>
        <v>11.111111111111111</v>
      </c>
      <c r="L41" s="33">
        <f t="shared" si="26"/>
        <v>9</v>
      </c>
      <c r="M41" s="30">
        <v>1</v>
      </c>
      <c r="N41" s="30"/>
      <c r="O41" s="35">
        <f t="shared" si="27"/>
        <v>63</v>
      </c>
      <c r="P41" s="35">
        <f t="shared" si="28"/>
        <v>0</v>
      </c>
      <c r="Q41" s="85">
        <v>5</v>
      </c>
      <c r="R41" s="83">
        <f>'Исходные данные'!$G$22</f>
        <v>197.57121135326915</v>
      </c>
      <c r="S41" s="187">
        <v>5</v>
      </c>
      <c r="T41" s="83">
        <f>IF(AND(N41&gt;0,P41&gt;0),SUMIF('Исходные данные'!$C$14:$J$30,S41,'Исходные данные'!$C$34:$J$42),IF(N41=0,0,IF(S41=0,"РОТ")))</f>
        <v>0</v>
      </c>
      <c r="U41" s="130">
        <f>O41*R41*'Исходные данные'!$C$40%</f>
        <v>0</v>
      </c>
      <c r="V41" s="130">
        <f>P41*T41*'Исходные данные'!$C$41%</f>
        <v>0</v>
      </c>
      <c r="W41" s="130">
        <f t="shared" si="29"/>
        <v>0</v>
      </c>
      <c r="X41" s="131">
        <f t="shared" si="30"/>
        <v>0</v>
      </c>
      <c r="Y41" s="130">
        <f t="shared" si="31"/>
        <v>1244.6986315255956</v>
      </c>
      <c r="Z41" s="131">
        <f t="shared" si="32"/>
        <v>0</v>
      </c>
      <c r="AA41" s="130">
        <f t="shared" si="33"/>
        <v>0</v>
      </c>
      <c r="AB41" s="131">
        <f t="shared" si="34"/>
        <v>0</v>
      </c>
      <c r="AC41" s="129">
        <v>6.5</v>
      </c>
      <c r="AD41" s="130">
        <f t="shared" si="35"/>
        <v>88995.952154080092</v>
      </c>
      <c r="AE41" s="130">
        <f t="shared" si="36"/>
        <v>0</v>
      </c>
      <c r="AF41" s="35">
        <f t="shared" ca="1" si="37"/>
        <v>13298.245724172888</v>
      </c>
      <c r="AG41" s="73">
        <f t="shared" ca="1" si="37"/>
        <v>0</v>
      </c>
      <c r="AH41" s="35">
        <f t="shared" ca="1" si="38"/>
        <v>102294.19787825298</v>
      </c>
      <c r="AI41" s="35">
        <f t="shared" ca="1" si="38"/>
        <v>0</v>
      </c>
      <c r="AJ41" s="35">
        <f t="shared" ca="1" si="39"/>
        <v>30688.259363475892</v>
      </c>
      <c r="AK41" s="73">
        <f t="shared" ca="1" si="39"/>
        <v>0</v>
      </c>
      <c r="AL41" s="35">
        <f t="shared" ca="1" si="40"/>
        <v>132982.45724172887</v>
      </c>
      <c r="AM41" s="73">
        <f t="shared" ca="1" si="41"/>
        <v>0</v>
      </c>
      <c r="AN41" s="173">
        <f>2160/G41</f>
        <v>21.6</v>
      </c>
      <c r="AO41" s="33">
        <f>'Исходные данные'!$C$59</f>
        <v>0.84</v>
      </c>
      <c r="AP41" s="79">
        <f t="shared" si="42"/>
        <v>18.143999999999998</v>
      </c>
      <c r="AQ41" s="33" t="s">
        <v>153</v>
      </c>
      <c r="AR41" s="83" t="e">
        <f>'Исходные данные'!#REF!</f>
        <v>#REF!</v>
      </c>
      <c r="AS41" s="36" t="e">
        <f t="shared" si="43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4"/>
        <v>676.06779749999998</v>
      </c>
      <c r="BK41" s="36">
        <f>аморт!$G$42</f>
        <v>30.100819672131149</v>
      </c>
      <c r="BL41" s="36">
        <f t="shared" si="45"/>
        <v>270.90737704918035</v>
      </c>
      <c r="BM41" s="36"/>
      <c r="BN41" s="38">
        <v>113.7</v>
      </c>
      <c r="BO41" s="36">
        <f t="shared" si="46"/>
        <v>7367.76</v>
      </c>
      <c r="BP41" s="38">
        <v>12.5</v>
      </c>
      <c r="BQ41" s="36">
        <f t="shared" si="47"/>
        <v>810</v>
      </c>
      <c r="BR41" s="42"/>
      <c r="BS41" s="36">
        <f t="shared" si="48"/>
        <v>0</v>
      </c>
      <c r="BT41" s="36">
        <f>аморт!$C$42*10%/аморт!$E$42*L41*7</f>
        <v>8328.7764000000006</v>
      </c>
      <c r="BU41" s="36" t="e">
        <f t="shared" ca="1" si="49"/>
        <v>#REF!</v>
      </c>
      <c r="BV41" s="36" t="e">
        <f t="shared" ca="1" si="50"/>
        <v>#REF!</v>
      </c>
      <c r="BW41" s="38">
        <f t="shared" si="51"/>
        <v>0.63</v>
      </c>
      <c r="BX41" s="38">
        <v>7.2</v>
      </c>
      <c r="BY41" s="39">
        <f t="shared" si="52"/>
        <v>64.8</v>
      </c>
    </row>
    <row r="42" spans="1:77" s="54" customFormat="1" x14ac:dyDescent="0.2">
      <c r="A42" s="52"/>
      <c r="B42" s="53" t="s">
        <v>21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3">SUM(U36:U41)</f>
        <v>0</v>
      </c>
      <c r="V42" s="65">
        <f t="shared" ca="1" si="53"/>
        <v>7013.8767886467294</v>
      </c>
      <c r="W42" s="65">
        <f t="shared" si="53"/>
        <v>0</v>
      </c>
      <c r="X42" s="65">
        <f t="shared" ca="1" si="53"/>
        <v>0</v>
      </c>
      <c r="Y42" s="65">
        <f t="shared" si="53"/>
        <v>2904.2968068930568</v>
      </c>
      <c r="Z42" s="65">
        <f t="shared" ca="1" si="53"/>
        <v>1352.6762378104409</v>
      </c>
      <c r="AA42" s="65">
        <f t="shared" si="53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115653.81833279268</v>
      </c>
      <c r="AF42" s="65">
        <f ca="1">SUM(AF36:AF41)</f>
        <v>22845.704192809833</v>
      </c>
      <c r="AG42" s="65">
        <f t="shared" ref="AG42:AL42" ca="1" si="54">SUM(AG36:AG41)</f>
        <v>17281.605038233392</v>
      </c>
      <c r="AH42" s="65">
        <f t="shared" ca="1" si="54"/>
        <v>175736.18609853717</v>
      </c>
      <c r="AI42" s="65">
        <f t="shared" ca="1" si="54"/>
        <v>132935.42337102606</v>
      </c>
      <c r="AJ42" s="65">
        <f t="shared" ca="1" si="54"/>
        <v>52720.855829561144</v>
      </c>
      <c r="AK42" s="65">
        <f t="shared" ca="1" si="54"/>
        <v>39880.627011307821</v>
      </c>
      <c r="AL42" s="65">
        <f t="shared" ca="1" si="54"/>
        <v>228457.0419280983</v>
      </c>
      <c r="AM42" s="65">
        <f ca="1">SUM(AM36:AM41)</f>
        <v>172816.05038233389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483" t="s">
        <v>82</v>
      </c>
      <c r="C43" s="483"/>
      <c r="D43" s="483"/>
      <c r="E43" s="483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424</v>
      </c>
      <c r="C44" s="66">
        <v>1</v>
      </c>
      <c r="D44" s="184" t="s">
        <v>492</v>
      </c>
      <c r="E44" s="185" t="s">
        <v>491</v>
      </c>
      <c r="F44" s="28" t="s">
        <v>106</v>
      </c>
      <c r="G44" s="29">
        <v>100</v>
      </c>
      <c r="H44" s="174">
        <v>42597</v>
      </c>
      <c r="I44" s="174">
        <v>42600</v>
      </c>
      <c r="J44" s="188">
        <f t="shared" ref="J44:J49" si="55">I44-H44</f>
        <v>3</v>
      </c>
      <c r="K44" s="172">
        <f>5*8</f>
        <v>40</v>
      </c>
      <c r="L44" s="33">
        <f t="shared" ref="L44:L49" si="56">G44/K44</f>
        <v>2.5</v>
      </c>
      <c r="M44" s="34">
        <v>1</v>
      </c>
      <c r="N44" s="34"/>
      <c r="O44" s="35">
        <f t="shared" ref="O44:O49" si="57">IF(M44=0,0,L44*$O$17)</f>
        <v>17.5</v>
      </c>
      <c r="P44" s="35">
        <f t="shared" ref="P44:P49" si="58">IF(N44=0,0,L44*$O$17)</f>
        <v>0</v>
      </c>
      <c r="Q44" s="34">
        <v>4</v>
      </c>
      <c r="R44" s="83">
        <f ca="1">IF(AND(O44&gt;0,Q44&gt;0),SUMIF('Исходные данные'!$C$14:H39,Q44,'Исходные данные'!$C$18:$H$18),IF(O44=0,0,IF(Q44=0,"РОТ")))</f>
        <v>156.08125696908263</v>
      </c>
      <c r="S44" s="34"/>
      <c r="T44" s="33"/>
      <c r="U44" s="130">
        <f ca="1">O44*R44*'Исходные данные'!$C$40%</f>
        <v>0</v>
      </c>
      <c r="V44" s="130">
        <f>P44*T44*'Исходные данные'!$C$41%</f>
        <v>0</v>
      </c>
      <c r="W44" s="130">
        <f t="shared" ref="W44:W49" ca="1" si="59">O44*R44*$W$17</f>
        <v>0</v>
      </c>
      <c r="X44" s="131">
        <f t="shared" ref="X44:X49" si="60">P44*T44*$W$17</f>
        <v>0</v>
      </c>
      <c r="Y44" s="130">
        <f t="shared" ref="Y44:Y49" ca="1" si="61">(O44*R44+U44+W44)*$Y$17</f>
        <v>273.14219969589465</v>
      </c>
      <c r="Z44" s="131">
        <f t="shared" ref="Z44:Z49" si="62">(P44*T44+V44+X44)*$Z$17</f>
        <v>0</v>
      </c>
      <c r="AA44" s="130">
        <f t="shared" ref="AA44:AA49" ca="1" si="63">(O44*R44+U44)*$AA$17</f>
        <v>0</v>
      </c>
      <c r="AB44" s="131">
        <f t="shared" ref="AB44:AB49" si="64">(P44*T44+V44)*$AA$17</f>
        <v>0</v>
      </c>
      <c r="AC44" s="129">
        <v>2.5</v>
      </c>
      <c r="AD44" s="130">
        <f t="shared" ref="AD44:AD49" ca="1" si="65">(O44*R44+U44+W44+Y44+AA44)*AC44</f>
        <v>7511.4104916371025</v>
      </c>
      <c r="AE44" s="130">
        <f t="shared" ref="AE44:AE49" si="66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3">
        <f>12.5/0.84</f>
        <v>14.880952380952381</v>
      </c>
      <c r="AO44" s="33">
        <f>'Исходные данные'!$C$59</f>
        <v>0.84</v>
      </c>
      <c r="AP44" s="79">
        <f>(G44*AN44)*AO44/100</f>
        <v>12.5</v>
      </c>
      <c r="AQ44" s="33" t="s">
        <v>153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67">AL44+AM44+AS44+AW44+BA44+BE44+BH44+BJ44+BL44+BM44+BO44+BQ44+BS44+BT44</f>
        <v>#REF!</v>
      </c>
      <c r="BV44" s="36" t="e">
        <f t="shared" ref="BV44:BV49" ca="1" si="68">BU44/$D$6</f>
        <v>#REF!</v>
      </c>
      <c r="BW44" s="38">
        <f t="shared" ref="BW44:BW49" si="69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77</v>
      </c>
      <c r="C45" s="66">
        <v>5</v>
      </c>
      <c r="D45" s="19" t="s">
        <v>225</v>
      </c>
      <c r="E45" s="31"/>
      <c r="F45" s="28" t="s">
        <v>119</v>
      </c>
      <c r="G45" s="29">
        <f>D12/10</f>
        <v>1500</v>
      </c>
      <c r="H45" s="174">
        <v>42597</v>
      </c>
      <c r="I45" s="174">
        <f>I44</f>
        <v>42600</v>
      </c>
      <c r="J45" s="188">
        <f t="shared" si="55"/>
        <v>3</v>
      </c>
      <c r="K45" s="172">
        <v>80</v>
      </c>
      <c r="L45" s="33">
        <f t="shared" si="56"/>
        <v>18.75</v>
      </c>
      <c r="M45" s="34">
        <v>1</v>
      </c>
      <c r="N45" s="34"/>
      <c r="O45" s="35">
        <f t="shared" si="57"/>
        <v>131.25</v>
      </c>
      <c r="P45" s="35">
        <f t="shared" si="58"/>
        <v>0</v>
      </c>
      <c r="Q45" s="34">
        <v>5</v>
      </c>
      <c r="R45" s="83">
        <f>'Исходные данные'!G22</f>
        <v>197.57121135326915</v>
      </c>
      <c r="S45" s="34"/>
      <c r="T45" s="33"/>
      <c r="U45" s="130">
        <f>O45*R45*'Исходные данные'!$C$40%</f>
        <v>0</v>
      </c>
      <c r="V45" s="130">
        <f>P45*T45*'Исходные данные'!$C$41%</f>
        <v>0</v>
      </c>
      <c r="W45" s="130">
        <f t="shared" si="59"/>
        <v>0</v>
      </c>
      <c r="X45" s="131">
        <f t="shared" si="60"/>
        <v>0</v>
      </c>
      <c r="Y45" s="130">
        <f t="shared" si="61"/>
        <v>2593.1221490116577</v>
      </c>
      <c r="Z45" s="131">
        <f t="shared" si="62"/>
        <v>0</v>
      </c>
      <c r="AA45" s="130">
        <f t="shared" si="63"/>
        <v>0</v>
      </c>
      <c r="AB45" s="131">
        <f t="shared" si="64"/>
        <v>0</v>
      </c>
      <c r="AC45" s="129">
        <v>2.5</v>
      </c>
      <c r="AD45" s="130">
        <f t="shared" si="65"/>
        <v>71310.85909782059</v>
      </c>
      <c r="AE45" s="130">
        <f t="shared" si="66"/>
        <v>0</v>
      </c>
      <c r="AF45" s="35">
        <f ca="1">AD45*$AF$17</f>
        <v>10655.64561231802</v>
      </c>
      <c r="AG45" s="73"/>
      <c r="AH45" s="35">
        <f ca="1">AD45+AF45</f>
        <v>81966.504710138615</v>
      </c>
      <c r="AI45" s="35"/>
      <c r="AJ45" s="35">
        <f ca="1">AH45*$AJ$17</f>
        <v>24589.951413041585</v>
      </c>
      <c r="AK45" s="73"/>
      <c r="AL45" s="35">
        <f ca="1">AH45+AJ45</f>
        <v>106556.45612318019</v>
      </c>
      <c r="AM45" s="73"/>
      <c r="AN45" s="32">
        <v>12.33</v>
      </c>
      <c r="AO45" s="33">
        <f>'Исходные данные'!$C$59</f>
        <v>0.84</v>
      </c>
      <c r="AP45" s="79">
        <f>(G45*AN45)*AO45/100</f>
        <v>155.358</v>
      </c>
      <c r="AQ45" s="33" t="s">
        <v>153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3410.871159217877</v>
      </c>
      <c r="BK45" s="85">
        <f>аморт!$G$23</f>
        <v>48.426111111111105</v>
      </c>
      <c r="BL45" s="36">
        <f>BK45*L45</f>
        <v>907.98958333333326</v>
      </c>
      <c r="BM45" s="36"/>
      <c r="BN45" s="38">
        <v>82.4</v>
      </c>
      <c r="BO45" s="36">
        <f>BN45*BY45</f>
        <v>7879.5000000000009</v>
      </c>
      <c r="BP45" s="38">
        <v>13.9</v>
      </c>
      <c r="BQ45" s="36">
        <f>BP45*BY45</f>
        <v>1329.1875</v>
      </c>
      <c r="BR45" s="38">
        <f>4.8*1.045*1.054</f>
        <v>5.2868639999999996</v>
      </c>
      <c r="BS45" s="36">
        <f>BR45*BY45</f>
        <v>505.55636999999996</v>
      </c>
      <c r="BT45" s="36">
        <f>аморт!$C$23*10%/аморт!$E$23*L45*7</f>
        <v>144152.42625000002</v>
      </c>
      <c r="BU45" s="36" t="e">
        <f t="shared" ca="1" si="67"/>
        <v>#REF!</v>
      </c>
      <c r="BV45" s="36" t="e">
        <f t="shared" ca="1" si="68"/>
        <v>#REF!</v>
      </c>
      <c r="BW45" s="38">
        <f t="shared" si="69"/>
        <v>1.3125</v>
      </c>
      <c r="BX45" s="38">
        <v>5.0999999999999996</v>
      </c>
      <c r="BY45" s="39">
        <f>BX45*L45</f>
        <v>95.625</v>
      </c>
    </row>
    <row r="46" spans="1:77" x14ac:dyDescent="0.2">
      <c r="A46" s="20">
        <f>A45+1</f>
        <v>3</v>
      </c>
      <c r="B46" s="27" t="s">
        <v>78</v>
      </c>
      <c r="C46" s="66">
        <v>1</v>
      </c>
      <c r="D46" s="479" t="s">
        <v>487</v>
      </c>
      <c r="E46" s="480"/>
      <c r="F46" s="28" t="s">
        <v>119</v>
      </c>
      <c r="G46" s="29">
        <f>D12/10</f>
        <v>1500</v>
      </c>
      <c r="H46" s="174">
        <v>42597</v>
      </c>
      <c r="I46" s="174">
        <f>I45</f>
        <v>42600</v>
      </c>
      <c r="J46" s="188">
        <f t="shared" si="55"/>
        <v>3</v>
      </c>
      <c r="K46" s="172">
        <f>G46/J46</f>
        <v>500</v>
      </c>
      <c r="L46" s="33">
        <f t="shared" si="56"/>
        <v>3</v>
      </c>
      <c r="M46" s="34">
        <v>1</v>
      </c>
      <c r="N46" s="34"/>
      <c r="O46" s="35">
        <f t="shared" si="57"/>
        <v>21</v>
      </c>
      <c r="P46" s="35">
        <f t="shared" si="58"/>
        <v>0</v>
      </c>
      <c r="Q46" s="34">
        <v>5</v>
      </c>
      <c r="R46" s="83">
        <f>'Исходные данные'!$G$22</f>
        <v>197.57121135326915</v>
      </c>
      <c r="S46" s="34"/>
      <c r="T46" s="33"/>
      <c r="U46" s="130">
        <f>O46*R46*'Исходные данные'!$C$40%</f>
        <v>0</v>
      </c>
      <c r="V46" s="130">
        <f>P46*T46*'Исходные данные'!$C$41%</f>
        <v>0</v>
      </c>
      <c r="W46" s="130">
        <f t="shared" si="59"/>
        <v>0</v>
      </c>
      <c r="X46" s="131">
        <f t="shared" si="60"/>
        <v>0</v>
      </c>
      <c r="Y46" s="130">
        <f t="shared" si="61"/>
        <v>414.89954384186524</v>
      </c>
      <c r="Z46" s="131">
        <f t="shared" si="62"/>
        <v>0</v>
      </c>
      <c r="AA46" s="130">
        <f t="shared" si="63"/>
        <v>0</v>
      </c>
      <c r="AB46" s="131">
        <f t="shared" si="64"/>
        <v>0</v>
      </c>
      <c r="AC46" s="129">
        <v>2.5</v>
      </c>
      <c r="AD46" s="130">
        <f t="shared" si="65"/>
        <v>11409.737455651293</v>
      </c>
      <c r="AE46" s="130">
        <f t="shared" si="66"/>
        <v>0</v>
      </c>
      <c r="AF46" s="35">
        <f ca="1">AD46*$AF$17</f>
        <v>1704.9032979708829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3">
        <v>10</v>
      </c>
      <c r="AO46" s="33">
        <f>'Исходные данные'!$C$59</f>
        <v>0.84</v>
      </c>
      <c r="AP46" s="79">
        <f>(G46*AN46)*AO46/100</f>
        <v>126</v>
      </c>
      <c r="AQ46" s="33" t="s">
        <v>153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67"/>
        <v>#REF!</v>
      </c>
      <c r="BV46" s="36" t="e">
        <f t="shared" ca="1" si="68"/>
        <v>#REF!</v>
      </c>
      <c r="BW46" s="38">
        <f t="shared" si="69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79</v>
      </c>
      <c r="C47" s="66"/>
      <c r="D47" s="479" t="s">
        <v>118</v>
      </c>
      <c r="E47" s="480"/>
      <c r="F47" s="28" t="s">
        <v>119</v>
      </c>
      <c r="G47" s="38">
        <f>BC47</f>
        <v>3</v>
      </c>
      <c r="H47" s="175">
        <v>42597</v>
      </c>
      <c r="I47" s="174">
        <f>I46</f>
        <v>42600</v>
      </c>
      <c r="J47" s="188">
        <f t="shared" si="55"/>
        <v>3</v>
      </c>
      <c r="K47" s="172">
        <v>2</v>
      </c>
      <c r="L47" s="33">
        <f t="shared" si="56"/>
        <v>1.5</v>
      </c>
      <c r="M47" s="34"/>
      <c r="N47" s="34">
        <v>1</v>
      </c>
      <c r="O47" s="35">
        <f t="shared" si="57"/>
        <v>0</v>
      </c>
      <c r="P47" s="35">
        <f t="shared" si="58"/>
        <v>10.5</v>
      </c>
      <c r="Q47" s="34"/>
      <c r="R47" s="33"/>
      <c r="S47" s="34">
        <v>2</v>
      </c>
      <c r="T47" s="83">
        <f ca="1">IF(AND(N47&gt;0,P47&gt;0),SUMIF('Исходные данные'!$C$14:$J$30,S47,'Исходные данные'!$C$34:$J$42),IF(N47=0,0,IF(S47=0,"РОТ")))</f>
        <v>105.700598073999</v>
      </c>
      <c r="U47" s="130">
        <f>O47*R47*'Исходные данные'!$C$40%</f>
        <v>0</v>
      </c>
      <c r="V47" s="130">
        <f ca="1">P47*T47*'Исходные данные'!$C$41%</f>
        <v>388.44969792194632</v>
      </c>
      <c r="W47" s="130">
        <f t="shared" si="59"/>
        <v>0</v>
      </c>
      <c r="X47" s="131">
        <f t="shared" ca="1" si="60"/>
        <v>0</v>
      </c>
      <c r="Y47" s="130">
        <f t="shared" si="61"/>
        <v>0</v>
      </c>
      <c r="Z47" s="131">
        <f t="shared" ca="1" si="62"/>
        <v>74.915298884946807</v>
      </c>
      <c r="AA47" s="130">
        <f t="shared" si="63"/>
        <v>0</v>
      </c>
      <c r="AB47" s="131">
        <f t="shared" ca="1" si="64"/>
        <v>0</v>
      </c>
      <c r="AC47" s="129">
        <v>2.5</v>
      </c>
      <c r="AD47" s="130">
        <f t="shared" si="65"/>
        <v>0</v>
      </c>
      <c r="AE47" s="130">
        <f t="shared" ca="1" si="66"/>
        <v>3933.0531914597073</v>
      </c>
      <c r="AF47" s="35"/>
      <c r="AG47" s="73">
        <f ca="1">AE47*$AF$17</f>
        <v>587.69760332156545</v>
      </c>
      <c r="AH47" s="35"/>
      <c r="AI47" s="35">
        <f ca="1">AE47+AG47</f>
        <v>4520.7507947812728</v>
      </c>
      <c r="AJ47" s="35"/>
      <c r="AK47" s="73">
        <f ca="1">AI47*$AJ$17</f>
        <v>1356.2252384343817</v>
      </c>
      <c r="AL47" s="35"/>
      <c r="AM47" s="73">
        <f ca="1">AK47+AI47</f>
        <v>5876.9760332156548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3</v>
      </c>
      <c r="BD47" s="113">
        <v>12.5</v>
      </c>
      <c r="BE47" s="36">
        <f>BC47*BD47*1000</f>
        <v>37500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67"/>
        <v>43376.976033215658</v>
      </c>
      <c r="BV47" s="36">
        <f t="shared" ca="1" si="68"/>
        <v>433.76976033215658</v>
      </c>
      <c r="BW47" s="38">
        <f t="shared" si="69"/>
        <v>0.105</v>
      </c>
      <c r="BX47" s="38"/>
      <c r="BY47" s="39"/>
    </row>
    <row r="48" spans="1:77" ht="22.5" x14ac:dyDescent="0.2">
      <c r="A48" s="20">
        <v>5</v>
      </c>
      <c r="B48" s="27" t="s">
        <v>80</v>
      </c>
      <c r="C48" s="66"/>
      <c r="D48" s="479" t="s">
        <v>118</v>
      </c>
      <c r="E48" s="480"/>
      <c r="F48" s="28" t="s">
        <v>123</v>
      </c>
      <c r="G48" s="66">
        <f>D10*D9*2</f>
        <v>1000</v>
      </c>
      <c r="H48" s="175">
        <v>42597</v>
      </c>
      <c r="I48" s="174">
        <f>I47</f>
        <v>42600</v>
      </c>
      <c r="J48" s="188">
        <f t="shared" si="55"/>
        <v>3</v>
      </c>
      <c r="K48" s="172">
        <f>G48/J48</f>
        <v>333.33333333333331</v>
      </c>
      <c r="L48" s="33">
        <f t="shared" si="56"/>
        <v>3</v>
      </c>
      <c r="M48" s="34"/>
      <c r="N48" s="34">
        <v>1</v>
      </c>
      <c r="O48" s="35">
        <f t="shared" si="57"/>
        <v>0</v>
      </c>
      <c r="P48" s="35">
        <f t="shared" si="58"/>
        <v>21</v>
      </c>
      <c r="Q48" s="34"/>
      <c r="R48" s="33"/>
      <c r="S48" s="34">
        <v>2</v>
      </c>
      <c r="T48" s="83">
        <f ca="1">IF(AND(N48&gt;0,P48&gt;0),SUMIF('Исходные данные'!$C$14:$J$30,S48,'Исходные данные'!$C$34:$J$42),IF(N48=0,0,IF(S48=0,"РОТ")))</f>
        <v>105.700598073999</v>
      </c>
      <c r="U48" s="130">
        <f>O48*R48*'Исходные данные'!$C$40%</f>
        <v>0</v>
      </c>
      <c r="V48" s="130">
        <f ca="1">P48*T48*'Исходные данные'!$C$41%</f>
        <v>776.89939584389265</v>
      </c>
      <c r="W48" s="130">
        <f t="shared" si="59"/>
        <v>0</v>
      </c>
      <c r="X48" s="131">
        <f t="shared" ca="1" si="60"/>
        <v>0</v>
      </c>
      <c r="Y48" s="130">
        <f t="shared" si="61"/>
        <v>0</v>
      </c>
      <c r="Z48" s="131">
        <f t="shared" ca="1" si="62"/>
        <v>149.83059776989361</v>
      </c>
      <c r="AA48" s="130">
        <f t="shared" si="63"/>
        <v>0</v>
      </c>
      <c r="AB48" s="131">
        <f t="shared" ca="1" si="64"/>
        <v>0</v>
      </c>
      <c r="AC48" s="129">
        <v>2.5</v>
      </c>
      <c r="AD48" s="130">
        <f t="shared" si="65"/>
        <v>0</v>
      </c>
      <c r="AE48" s="130">
        <f t="shared" ca="1" si="66"/>
        <v>7866.1063829194145</v>
      </c>
      <c r="AF48" s="35"/>
      <c r="AG48" s="73">
        <f ca="1">AE48*$AF$17</f>
        <v>1175.3952066431309</v>
      </c>
      <c r="AH48" s="35"/>
      <c r="AI48" s="35">
        <f ca="1">AE48+AG48</f>
        <v>9041.5015895625456</v>
      </c>
      <c r="AJ48" s="35"/>
      <c r="AK48" s="73">
        <f ca="1">AI48*$AJ$17</f>
        <v>2712.4504768687634</v>
      </c>
      <c r="AL48" s="35"/>
      <c r="AM48" s="73">
        <f ca="1">AK48+AI48</f>
        <v>11753.95206643131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1130</v>
      </c>
      <c r="BG48" s="38"/>
      <c r="BH48" s="36">
        <f>BF48*BG48</f>
        <v>0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67"/>
        <v>11753.95206643131</v>
      </c>
      <c r="BV48" s="36">
        <f t="shared" ca="1" si="68"/>
        <v>117.5395206643131</v>
      </c>
      <c r="BW48" s="38">
        <f t="shared" si="69"/>
        <v>0.21</v>
      </c>
      <c r="BX48" s="38"/>
      <c r="BY48" s="39"/>
    </row>
    <row r="49" spans="1:77" ht="22.5" x14ac:dyDescent="0.2">
      <c r="A49" s="20">
        <v>6</v>
      </c>
      <c r="B49" s="27" t="s">
        <v>81</v>
      </c>
      <c r="C49" s="66"/>
      <c r="D49" s="479" t="s">
        <v>118</v>
      </c>
      <c r="E49" s="480"/>
      <c r="F49" s="28" t="s">
        <v>123</v>
      </c>
      <c r="G49" s="66">
        <f>G48</f>
        <v>1000</v>
      </c>
      <c r="H49" s="175">
        <v>42597</v>
      </c>
      <c r="I49" s="174">
        <f>I48</f>
        <v>42600</v>
      </c>
      <c r="J49" s="188">
        <f t="shared" si="55"/>
        <v>3</v>
      </c>
      <c r="K49" s="172">
        <f>G49/J49</f>
        <v>333.33333333333331</v>
      </c>
      <c r="L49" s="33">
        <f t="shared" si="56"/>
        <v>3</v>
      </c>
      <c r="M49" s="34"/>
      <c r="N49" s="34">
        <v>1</v>
      </c>
      <c r="O49" s="35">
        <f t="shared" si="57"/>
        <v>0</v>
      </c>
      <c r="P49" s="35">
        <f t="shared" si="58"/>
        <v>21</v>
      </c>
      <c r="Q49" s="34"/>
      <c r="R49" s="33"/>
      <c r="S49" s="34">
        <v>2</v>
      </c>
      <c r="T49" s="83">
        <f ca="1">IF(AND(N49&gt;0,P49&gt;0),SUMIF('Исходные данные'!$C$14:$J$30,S49,'Исходные данные'!$C$34:$J$42),IF(N49=0,0,IF(S49=0,"РОТ")))</f>
        <v>105.700598073999</v>
      </c>
      <c r="U49" s="130">
        <f>O49*R49*'Исходные данные'!$C$40%</f>
        <v>0</v>
      </c>
      <c r="V49" s="130">
        <f ca="1">P49*T49*'Исходные данные'!$C$41%</f>
        <v>776.89939584389265</v>
      </c>
      <c r="W49" s="130">
        <f t="shared" si="59"/>
        <v>0</v>
      </c>
      <c r="X49" s="131">
        <f t="shared" ca="1" si="60"/>
        <v>0</v>
      </c>
      <c r="Y49" s="130">
        <f t="shared" si="61"/>
        <v>0</v>
      </c>
      <c r="Z49" s="131">
        <f t="shared" ca="1" si="62"/>
        <v>149.83059776989361</v>
      </c>
      <c r="AA49" s="130">
        <f t="shared" si="63"/>
        <v>0</v>
      </c>
      <c r="AB49" s="131">
        <f t="shared" ca="1" si="64"/>
        <v>0</v>
      </c>
      <c r="AC49" s="129">
        <v>2.5</v>
      </c>
      <c r="AD49" s="130">
        <f t="shared" si="65"/>
        <v>0</v>
      </c>
      <c r="AE49" s="130">
        <f t="shared" ca="1" si="66"/>
        <v>7866.1063829194145</v>
      </c>
      <c r="AF49" s="35"/>
      <c r="AG49" s="73">
        <f ca="1">AE49*$AF$17</f>
        <v>1175.3952066431309</v>
      </c>
      <c r="AH49" s="35"/>
      <c r="AI49" s="35">
        <f ca="1">AE49+AG49</f>
        <v>9041.5015895625456</v>
      </c>
      <c r="AJ49" s="35"/>
      <c r="AK49" s="73">
        <f ca="1">AI49*$AJ$17</f>
        <v>2712.4504768687634</v>
      </c>
      <c r="AL49" s="35"/>
      <c r="AM49" s="73">
        <f ca="1">AK49+AI49</f>
        <v>11753.95206643131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67"/>
        <v>11753.95206643131</v>
      </c>
      <c r="BV49" s="36">
        <f t="shared" ca="1" si="68"/>
        <v>117.5395206643131</v>
      </c>
      <c r="BW49" s="38">
        <f t="shared" si="69"/>
        <v>0.21</v>
      </c>
      <c r="BX49" s="38"/>
      <c r="BY49" s="39"/>
    </row>
    <row r="50" spans="1:77" s="54" customFormat="1" x14ac:dyDescent="0.2">
      <c r="A50" s="52"/>
      <c r="B50" s="53" t="s">
        <v>21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0">SUM(L44:L49)</f>
        <v>31.75</v>
      </c>
      <c r="M50" s="65">
        <f t="shared" si="70"/>
        <v>3</v>
      </c>
      <c r="N50" s="65">
        <f t="shared" si="70"/>
        <v>3</v>
      </c>
      <c r="O50" s="65">
        <f t="shared" si="70"/>
        <v>169.75</v>
      </c>
      <c r="P50" s="65">
        <f t="shared" si="70"/>
        <v>52.5</v>
      </c>
      <c r="Q50" s="65"/>
      <c r="R50" s="65"/>
      <c r="S50" s="65"/>
      <c r="T50" s="65"/>
      <c r="U50" s="65">
        <f t="shared" ca="1" si="70"/>
        <v>0</v>
      </c>
      <c r="V50" s="65">
        <f t="shared" ca="1" si="70"/>
        <v>1942.2484896097317</v>
      </c>
      <c r="W50" s="65">
        <f t="shared" ca="1" si="70"/>
        <v>0</v>
      </c>
      <c r="X50" s="65">
        <f t="shared" ca="1" si="70"/>
        <v>0</v>
      </c>
      <c r="Y50" s="65">
        <f t="shared" ca="1" si="70"/>
        <v>3281.1638925494176</v>
      </c>
      <c r="Z50" s="65">
        <f t="shared" ca="1" si="70"/>
        <v>374.57649442473405</v>
      </c>
      <c r="AA50" s="65">
        <f t="shared" ca="1" si="70"/>
        <v>0</v>
      </c>
      <c r="AB50" s="65">
        <f t="shared" ca="1" si="70"/>
        <v>0</v>
      </c>
      <c r="AC50" s="65"/>
      <c r="AD50" s="65">
        <f t="shared" ca="1" si="70"/>
        <v>90232.007045108985</v>
      </c>
      <c r="AE50" s="65">
        <f t="shared" ca="1" si="70"/>
        <v>19665.265957298536</v>
      </c>
      <c r="AF50" s="65">
        <f t="shared" ca="1" si="70"/>
        <v>13482.943581453066</v>
      </c>
      <c r="AG50" s="65">
        <f t="shared" ca="1" si="70"/>
        <v>2938.4880166078274</v>
      </c>
      <c r="AH50" s="65">
        <f t="shared" ca="1" si="70"/>
        <v>103714.95062656206</v>
      </c>
      <c r="AI50" s="65">
        <f t="shared" ca="1" si="70"/>
        <v>22603.753973906365</v>
      </c>
      <c r="AJ50" s="65">
        <f t="shared" ca="1" si="70"/>
        <v>31114.485187968618</v>
      </c>
      <c r="AK50" s="65">
        <f t="shared" ca="1" si="70"/>
        <v>6781.1261921719088</v>
      </c>
      <c r="AL50" s="65">
        <f t="shared" ca="1" si="70"/>
        <v>134829.43581453068</v>
      </c>
      <c r="AM50" s="65">
        <f t="shared" ca="1" si="70"/>
        <v>29384.880166078274</v>
      </c>
      <c r="AN50" s="65"/>
      <c r="AO50" s="65"/>
      <c r="AP50" s="65">
        <f t="shared" si="70"/>
        <v>293.858</v>
      </c>
      <c r="AQ50" s="65"/>
      <c r="AR50" s="65"/>
      <c r="AS50" s="65" t="e">
        <f t="shared" si="70"/>
        <v>#REF!</v>
      </c>
      <c r="AT50" s="65"/>
      <c r="AU50" s="65">
        <f t="shared" si="70"/>
        <v>0</v>
      </c>
      <c r="AV50" s="65"/>
      <c r="AW50" s="65">
        <f t="shared" si="70"/>
        <v>0</v>
      </c>
      <c r="AX50" s="65"/>
      <c r="AY50" s="65">
        <f t="shared" si="70"/>
        <v>0</v>
      </c>
      <c r="AZ50" s="65"/>
      <c r="BA50" s="65">
        <f t="shared" si="70"/>
        <v>0</v>
      </c>
      <c r="BB50" s="65"/>
      <c r="BC50" s="65">
        <f t="shared" si="70"/>
        <v>3</v>
      </c>
      <c r="BD50" s="65"/>
      <c r="BE50" s="65">
        <f t="shared" si="70"/>
        <v>37500</v>
      </c>
      <c r="BF50" s="65">
        <f>SUM(BF44:BF49)</f>
        <v>1130</v>
      </c>
      <c r="BG50" s="65"/>
      <c r="BH50" s="65">
        <f>SUM(BH44:BH49)</f>
        <v>0</v>
      </c>
      <c r="BI50" s="65"/>
      <c r="BJ50" s="65">
        <f t="shared" si="70"/>
        <v>4091.0099129469272</v>
      </c>
      <c r="BK50" s="65"/>
      <c r="BL50" s="65">
        <f t="shared" si="70"/>
        <v>1896.8611096491229</v>
      </c>
      <c r="BM50" s="65">
        <f t="shared" si="70"/>
        <v>173995.65000000002</v>
      </c>
      <c r="BN50" s="65"/>
      <c r="BO50" s="65">
        <f t="shared" si="70"/>
        <v>11342.82</v>
      </c>
      <c r="BP50" s="65"/>
      <c r="BQ50" s="65">
        <f t="shared" si="70"/>
        <v>1776.4124999999999</v>
      </c>
      <c r="BR50" s="65"/>
      <c r="BS50" s="65">
        <f t="shared" ref="BS50:BY50" si="71">SUM(BS44:BS49)</f>
        <v>572.963886</v>
      </c>
      <c r="BT50" s="65">
        <f t="shared" si="71"/>
        <v>151460.90225000001</v>
      </c>
      <c r="BU50" s="65" t="e">
        <f t="shared" ca="1" si="71"/>
        <v>#REF!</v>
      </c>
      <c r="BV50" s="65"/>
      <c r="BW50" s="65"/>
      <c r="BX50" s="65"/>
      <c r="BY50" s="65">
        <f t="shared" si="71"/>
        <v>129.97499999999999</v>
      </c>
    </row>
    <row r="51" spans="1:77" s="51" customFormat="1" x14ac:dyDescent="0.2">
      <c r="A51" s="48"/>
      <c r="B51" s="58" t="s">
        <v>29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131.10971926083866</v>
      </c>
      <c r="M51" s="78">
        <f>M34+M42+M50</f>
        <v>14</v>
      </c>
      <c r="N51" s="78">
        <f>N34+N42+N50</f>
        <v>13</v>
      </c>
      <c r="O51" s="78">
        <f>O34+O42+O50</f>
        <v>592.2680348258707</v>
      </c>
      <c r="P51" s="78">
        <f>P34+P42+P50</f>
        <v>464.55970149253733</v>
      </c>
      <c r="Q51" s="78"/>
      <c r="R51" s="78"/>
      <c r="S51" s="78"/>
      <c r="T51" s="78"/>
      <c r="U51" s="78">
        <f t="shared" ref="U51:AM51" ca="1" si="72">U34+U42+U50</f>
        <v>0</v>
      </c>
      <c r="V51" s="78">
        <f t="shared" ca="1" si="72"/>
        <v>18762.064418833354</v>
      </c>
      <c r="W51" s="78">
        <f t="shared" ca="1" si="72"/>
        <v>0</v>
      </c>
      <c r="X51" s="78">
        <f t="shared" ca="1" si="72"/>
        <v>0</v>
      </c>
      <c r="Y51" s="78">
        <f t="shared" ca="1" si="72"/>
        <v>10504.501497651127</v>
      </c>
      <c r="Z51" s="78">
        <f t="shared" ca="1" si="72"/>
        <v>3618.3981379178622</v>
      </c>
      <c r="AA51" s="78">
        <f t="shared" ca="1" si="72"/>
        <v>0</v>
      </c>
      <c r="AB51" s="78">
        <f t="shared" ca="1" si="72"/>
        <v>0</v>
      </c>
      <c r="AC51" s="78"/>
      <c r="AD51" s="78">
        <f t="shared" ca="1" si="72"/>
        <v>361896.11090157431</v>
      </c>
      <c r="AE51" s="78">
        <f t="shared" ca="1" si="72"/>
        <v>234604.2180884323</v>
      </c>
      <c r="AF51" s="78">
        <f t="shared" ca="1" si="72"/>
        <v>54076.430364603053</v>
      </c>
      <c r="AG51" s="78">
        <f t="shared" ca="1" si="72"/>
        <v>35055.802702869194</v>
      </c>
      <c r="AH51" s="78">
        <f t="shared" ca="1" si="72"/>
        <v>415972.54126617737</v>
      </c>
      <c r="AI51" s="78">
        <f t="shared" ca="1" si="72"/>
        <v>269660.0207913015</v>
      </c>
      <c r="AJ51" s="78">
        <f t="shared" ca="1" si="72"/>
        <v>124791.7623798532</v>
      </c>
      <c r="AK51" s="78">
        <f t="shared" ca="1" si="72"/>
        <v>80898.006237390451</v>
      </c>
      <c r="AL51" s="78">
        <f t="shared" ca="1" si="72"/>
        <v>540764.3036460306</v>
      </c>
      <c r="AM51" s="78">
        <f t="shared" ca="1" si="72"/>
        <v>350558.0270286919</v>
      </c>
      <c r="AN51" s="78"/>
      <c r="AO51" s="78"/>
      <c r="AP51" s="78">
        <f>AP34+AP42+AP50</f>
        <v>441.234512</v>
      </c>
      <c r="AQ51" s="78"/>
      <c r="AR51" s="78"/>
      <c r="AS51" s="78" t="e">
        <f>AS34+AS42+AS50</f>
        <v>#REF!</v>
      </c>
      <c r="AT51" s="78"/>
      <c r="AU51" s="78">
        <f>AU34+AU42+AU50</f>
        <v>3</v>
      </c>
      <c r="AV51" s="78"/>
      <c r="AW51" s="78">
        <f>AW34+AW42+AW50</f>
        <v>60000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3</v>
      </c>
      <c r="BD51" s="78"/>
      <c r="BE51" s="78">
        <f>BE34+BE42+BE50</f>
        <v>37500</v>
      </c>
      <c r="BF51" s="78">
        <f>BF34+BF42+BF50</f>
        <v>1130</v>
      </c>
      <c r="BG51" s="78"/>
      <c r="BH51" s="78">
        <f>BH34+BH42+BH50</f>
        <v>0</v>
      </c>
      <c r="BI51" s="78"/>
      <c r="BJ51" s="78">
        <f>BJ34+BJ42+BJ50</f>
        <v>9752.7630524502019</v>
      </c>
      <c r="BK51" s="78"/>
      <c r="BL51" s="78">
        <f>BL34+BL42+BL50</f>
        <v>7148.427569779552</v>
      </c>
      <c r="BM51" s="78">
        <f>BM34+BM42+BM50</f>
        <v>173995.65000000002</v>
      </c>
      <c r="BN51" s="78"/>
      <c r="BO51" s="78">
        <f>BO34+BO42+BO50</f>
        <v>51673.087707889128</v>
      </c>
      <c r="BP51" s="78"/>
      <c r="BQ51" s="78">
        <f>BQ34+BQ42+BQ50</f>
        <v>6661.4392484008531</v>
      </c>
      <c r="BR51" s="78"/>
      <c r="BS51" s="78">
        <f>BS34+BS42+BS50</f>
        <v>2441.0515529679105</v>
      </c>
      <c r="BT51" s="78">
        <f>BT34+BT42+BT50</f>
        <v>516876.29372920399</v>
      </c>
      <c r="BU51" s="78" t="e">
        <f ca="1">BU34+BU42+BU50</f>
        <v>#REF!</v>
      </c>
      <c r="BV51" s="78"/>
      <c r="BW51" s="78"/>
      <c r="BX51" s="78"/>
      <c r="BY51" s="78">
        <f>BY34+BY42+BY50</f>
        <v>558.67563965884858</v>
      </c>
    </row>
  </sheetData>
  <mergeCells count="128">
    <mergeCell ref="B21:E21"/>
    <mergeCell ref="D26:E26"/>
    <mergeCell ref="D28:E28"/>
    <mergeCell ref="D29:E29"/>
    <mergeCell ref="D31:E31"/>
    <mergeCell ref="D47:E47"/>
    <mergeCell ref="D48:E48"/>
    <mergeCell ref="D49:E49"/>
    <mergeCell ref="B35:E35"/>
    <mergeCell ref="D36:E36"/>
    <mergeCell ref="D38:E38"/>
    <mergeCell ref="D40:E40"/>
    <mergeCell ref="B43:E43"/>
    <mergeCell ref="D46:E46"/>
    <mergeCell ref="K15:K19"/>
    <mergeCell ref="L15:L19"/>
    <mergeCell ref="M15:N16"/>
    <mergeCell ref="BL18:BL19"/>
    <mergeCell ref="BN18:BN19"/>
    <mergeCell ref="BO18:BO19"/>
    <mergeCell ref="BP18:BP19"/>
    <mergeCell ref="BQ18:BQ19"/>
    <mergeCell ref="B20:E20"/>
    <mergeCell ref="S18:S19"/>
    <mergeCell ref="T18:T19"/>
    <mergeCell ref="W18:W19"/>
    <mergeCell ref="X18:X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BT17:BT19"/>
    <mergeCell ref="BU17:BU19"/>
    <mergeCell ref="BV17:BV19"/>
    <mergeCell ref="BI18:BI19"/>
    <mergeCell ref="BJ18:BJ19"/>
    <mergeCell ref="AX17:AX19"/>
    <mergeCell ref="AY17:AY19"/>
    <mergeCell ref="AZ17:AZ19"/>
    <mergeCell ref="BK18:BK19"/>
    <mergeCell ref="BA17:BA19"/>
    <mergeCell ref="BB17:BB19"/>
    <mergeCell ref="BC17:BC19"/>
    <mergeCell ref="AF17:AG17"/>
    <mergeCell ref="AH17:AH19"/>
    <mergeCell ref="AI17:AI19"/>
    <mergeCell ref="AJ17:AK17"/>
    <mergeCell ref="AF18:AF19"/>
    <mergeCell ref="AG18:AG19"/>
    <mergeCell ref="AJ18:AJ19"/>
    <mergeCell ref="AK18:AK19"/>
    <mergeCell ref="AL17:AL19"/>
    <mergeCell ref="W17:X17"/>
    <mergeCell ref="AA17:AB17"/>
    <mergeCell ref="AC17:AC19"/>
    <mergeCell ref="Z18:Z19"/>
    <mergeCell ref="AA18:AA19"/>
    <mergeCell ref="AB18:AB19"/>
    <mergeCell ref="Y18:Y19"/>
    <mergeCell ref="AD17:AD19"/>
    <mergeCell ref="AE17:AE19"/>
    <mergeCell ref="AT15:AW16"/>
    <mergeCell ref="AX15:BA16"/>
    <mergeCell ref="BB15:BE16"/>
    <mergeCell ref="BF15:BH16"/>
    <mergeCell ref="BI15:BM16"/>
    <mergeCell ref="BN15:BT16"/>
    <mergeCell ref="BU15:BV16"/>
    <mergeCell ref="BW15:BW19"/>
    <mergeCell ref="BX15:BY16"/>
    <mergeCell ref="BK17:BL17"/>
    <mergeCell ref="BM17:BM19"/>
    <mergeCell ref="BN17:BO17"/>
    <mergeCell ref="BP17:BQ17"/>
    <mergeCell ref="BX17:BX19"/>
    <mergeCell ref="BY17:BY19"/>
    <mergeCell ref="BR18:BR19"/>
    <mergeCell ref="BS18:BS19"/>
    <mergeCell ref="BD17:BD19"/>
    <mergeCell ref="BE17:BE19"/>
    <mergeCell ref="BF17:BF19"/>
    <mergeCell ref="BG17:BG19"/>
    <mergeCell ref="BH17:BH19"/>
    <mergeCell ref="BI17:BJ17"/>
    <mergeCell ref="BR17:BS17"/>
    <mergeCell ref="W15:X16"/>
    <mergeCell ref="Y15:Z16"/>
    <mergeCell ref="AA15:AB16"/>
    <mergeCell ref="AC15:AE16"/>
    <mergeCell ref="AF15:AG16"/>
    <mergeCell ref="AH15:AI16"/>
    <mergeCell ref="AJ15:AK16"/>
    <mergeCell ref="AL15:AM16"/>
    <mergeCell ref="AN15:AS16"/>
    <mergeCell ref="Q15:T16"/>
    <mergeCell ref="U15:V16"/>
    <mergeCell ref="M17:M19"/>
    <mergeCell ref="N17:N19"/>
    <mergeCell ref="O17:P17"/>
    <mergeCell ref="Q17:R17"/>
    <mergeCell ref="S17:T17"/>
    <mergeCell ref="U17:U19"/>
    <mergeCell ref="V17:V19"/>
    <mergeCell ref="R18:R19"/>
    <mergeCell ref="O15:P16"/>
    <mergeCell ref="O18:O19"/>
    <mergeCell ref="P18:P19"/>
    <mergeCell ref="Q18:Q19"/>
    <mergeCell ref="A15:A19"/>
    <mergeCell ref="B15:E16"/>
    <mergeCell ref="F15:F19"/>
    <mergeCell ref="G15:G19"/>
    <mergeCell ref="H15:I16"/>
    <mergeCell ref="J15:J19"/>
    <mergeCell ref="B17:B19"/>
    <mergeCell ref="C17:E17"/>
    <mergeCell ref="H17:H19"/>
    <mergeCell ref="I17:I19"/>
    <mergeCell ref="C18:C19"/>
    <mergeCell ref="D18:D19"/>
    <mergeCell ref="E18:E19"/>
  </mergeCells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L35:N41 Q35:Q41 S35:S41 U36:AE41 AF35:AM41 AP36:AP41 AS36:AS41 K42:BY43 AT35:BY41 Q44:Q49 L44:N49 H22:J49">
    <cfRule type="cellIs" dxfId="66" priority="47" stopIfTrue="1" operator="greaterThan">
      <formula>0</formula>
    </cfRule>
  </conditionalFormatting>
  <conditionalFormatting sqref="AN36:AN41 K22:K33 AN22:AN33 AN44:AN47 K36:K41 K44:K49">
    <cfRule type="cellIs" dxfId="65" priority="46" stopIfTrue="1" operator="greaterThan">
      <formula>0</formula>
    </cfRule>
  </conditionalFormatting>
  <conditionalFormatting sqref="E22:E25 E32:E33 E27 E30 E37:E41 E44:E45">
    <cfRule type="cellIs" dxfId="64" priority="45" stopIfTrue="1" operator="equal">
      <formula>0</formula>
    </cfRule>
  </conditionalFormatting>
  <conditionalFormatting sqref="O22:P33 O44:P49 O36:P41">
    <cfRule type="cellIs" dxfId="63" priority="44" stopIfTrue="1" operator="greaterThan">
      <formula>0</formula>
    </cfRule>
  </conditionalFormatting>
  <conditionalFormatting sqref="E32">
    <cfRule type="cellIs" dxfId="62" priority="43" stopIfTrue="1" operator="equal">
      <formula>0</formula>
    </cfRule>
  </conditionalFormatting>
  <conditionalFormatting sqref="E44">
    <cfRule type="cellIs" dxfId="61" priority="42" stopIfTrue="1" operator="equal">
      <formula>0</formula>
    </cfRule>
  </conditionalFormatting>
  <conditionalFormatting sqref="E44">
    <cfRule type="cellIs" dxfId="60" priority="41" stopIfTrue="1" operator="equal">
      <formula>0</formula>
    </cfRule>
  </conditionalFormatting>
  <conditionalFormatting sqref="E32">
    <cfRule type="cellIs" dxfId="59" priority="40" stopIfTrue="1" operator="equal">
      <formula>0</formula>
    </cfRule>
  </conditionalFormatting>
  <conditionalFormatting sqref="E44">
    <cfRule type="cellIs" dxfId="58" priority="39" stopIfTrue="1" operator="equal">
      <formula>0</formula>
    </cfRule>
  </conditionalFormatting>
  <conditionalFormatting sqref="E44">
    <cfRule type="cellIs" dxfId="57" priority="38" stopIfTrue="1" operator="equal">
      <formula>0</formula>
    </cfRule>
  </conditionalFormatting>
  <conditionalFormatting sqref="E44">
    <cfRule type="cellIs" dxfId="56" priority="37" stopIfTrue="1" operator="equal">
      <formula>0</formula>
    </cfRule>
  </conditionalFormatting>
  <conditionalFormatting sqref="E39">
    <cfRule type="cellIs" dxfId="55" priority="36" stopIfTrue="1" operator="equal">
      <formula>0</formula>
    </cfRule>
  </conditionalFormatting>
  <conditionalFormatting sqref="J36:J41">
    <cfRule type="cellIs" dxfId="54" priority="35" stopIfTrue="1" operator="greaterThan">
      <formula>0</formula>
    </cfRule>
  </conditionalFormatting>
  <conditionalFormatting sqref="L36:L39">
    <cfRule type="cellIs" dxfId="53" priority="34" stopIfTrue="1" operator="greaterThan">
      <formula>0</formula>
    </cfRule>
  </conditionalFormatting>
  <conditionalFormatting sqref="H38:I39">
    <cfRule type="cellIs" dxfId="52" priority="33" stopIfTrue="1" operator="greaterThan">
      <formula>0</formula>
    </cfRule>
  </conditionalFormatting>
  <conditionalFormatting sqref="L40:L41">
    <cfRule type="cellIs" dxfId="51" priority="32" stopIfTrue="1" operator="greaterThan">
      <formula>0</formula>
    </cfRule>
  </conditionalFormatting>
  <conditionalFormatting sqref="E41">
    <cfRule type="cellIs" dxfId="50" priority="31" stopIfTrue="1" operator="equal">
      <formula>0</formula>
    </cfRule>
  </conditionalFormatting>
  <conditionalFormatting sqref="H40:I41">
    <cfRule type="cellIs" dxfId="49" priority="30" stopIfTrue="1" operator="greaterThan">
      <formula>0</formula>
    </cfRule>
  </conditionalFormatting>
  <conditionalFormatting sqref="K36:K41">
    <cfRule type="cellIs" dxfId="48" priority="29" stopIfTrue="1" operator="greaterThan">
      <formula>0</formula>
    </cfRule>
  </conditionalFormatting>
  <conditionalFormatting sqref="H36:I37">
    <cfRule type="cellIs" dxfId="47" priority="28" stopIfTrue="1" operator="greaterThan">
      <formula>0</formula>
    </cfRule>
  </conditionalFormatting>
  <conditionalFormatting sqref="H22:I32">
    <cfRule type="cellIs" dxfId="46" priority="27" stopIfTrue="1" operator="greaterThan">
      <formula>0</formula>
    </cfRule>
  </conditionalFormatting>
  <conditionalFormatting sqref="E25">
    <cfRule type="cellIs" dxfId="45" priority="26" stopIfTrue="1" operator="equal">
      <formula>0</formula>
    </cfRule>
  </conditionalFormatting>
  <conditionalFormatting sqref="K32">
    <cfRule type="cellIs" dxfId="44" priority="25" stopIfTrue="1" operator="greaterThan">
      <formula>0</formula>
    </cfRule>
  </conditionalFormatting>
  <conditionalFormatting sqref="AT32">
    <cfRule type="cellIs" dxfId="43" priority="24" stopIfTrue="1" operator="greaterThan">
      <formula>0</formula>
    </cfRule>
  </conditionalFormatting>
  <conditionalFormatting sqref="K22">
    <cfRule type="cellIs" dxfId="42" priority="23" stopIfTrue="1" operator="greaterThan">
      <formula>0</formula>
    </cfRule>
  </conditionalFormatting>
  <conditionalFormatting sqref="K23:K24">
    <cfRule type="cellIs" dxfId="41" priority="22" stopIfTrue="1" operator="greaterThan">
      <formula>0</formula>
    </cfRule>
  </conditionalFormatting>
  <conditionalFormatting sqref="J22">
    <cfRule type="cellIs" dxfId="40" priority="21" stopIfTrue="1" operator="greaterThan">
      <formula>0</formula>
    </cfRule>
  </conditionalFormatting>
  <conditionalFormatting sqref="J23:J24">
    <cfRule type="cellIs" dxfId="39" priority="20" stopIfTrue="1" operator="greaterThan">
      <formula>0</formula>
    </cfRule>
  </conditionalFormatting>
  <conditionalFormatting sqref="J32">
    <cfRule type="cellIs" dxfId="38" priority="19" stopIfTrue="1" operator="greaterThan">
      <formula>0</formula>
    </cfRule>
  </conditionalFormatting>
  <conditionalFormatting sqref="H44:I49">
    <cfRule type="cellIs" dxfId="37" priority="18" stopIfTrue="1" operator="greaterThan">
      <formula>0</formula>
    </cfRule>
  </conditionalFormatting>
  <conditionalFormatting sqref="K44">
    <cfRule type="cellIs" dxfId="36" priority="17" stopIfTrue="1" operator="greaterThan">
      <formula>0</formula>
    </cfRule>
  </conditionalFormatting>
  <conditionalFormatting sqref="K45">
    <cfRule type="cellIs" dxfId="35" priority="16" stopIfTrue="1" operator="greaterThan">
      <formula>0</formula>
    </cfRule>
  </conditionalFormatting>
  <conditionalFormatting sqref="K46">
    <cfRule type="cellIs" dxfId="34" priority="15" stopIfTrue="1" operator="greaterThan">
      <formula>0</formula>
    </cfRule>
  </conditionalFormatting>
  <conditionalFormatting sqref="J44:J49">
    <cfRule type="cellIs" dxfId="33" priority="14" stopIfTrue="1" operator="greaterThan">
      <formula>0</formula>
    </cfRule>
  </conditionalFormatting>
  <conditionalFormatting sqref="K48:K49">
    <cfRule type="cellIs" dxfId="32" priority="13" stopIfTrue="1" operator="greaterThan">
      <formula>0</formula>
    </cfRule>
  </conditionalFormatting>
  <conditionalFormatting sqref="K23:K31">
    <cfRule type="cellIs" dxfId="31" priority="12" stopIfTrue="1" operator="greaterThan">
      <formula>0</formula>
    </cfRule>
  </conditionalFormatting>
  <conditionalFormatting sqref="J22:J32">
    <cfRule type="cellIs" dxfId="30" priority="11" stopIfTrue="1" operator="greaterThan">
      <formula>0</formula>
    </cfRule>
  </conditionalFormatting>
  <conditionalFormatting sqref="AN36:AN41">
    <cfRule type="cellIs" dxfId="29" priority="10" stopIfTrue="1" operator="greaterThan">
      <formula>0</formula>
    </cfRule>
  </conditionalFormatting>
  <conditionalFormatting sqref="AN22:AN32">
    <cfRule type="cellIs" dxfId="28" priority="9" stopIfTrue="1" operator="greaterThan">
      <formula>0</formula>
    </cfRule>
  </conditionalFormatting>
  <conditionalFormatting sqref="AN44">
    <cfRule type="cellIs" dxfId="27" priority="8" stopIfTrue="1" operator="greaterThan">
      <formula>0</formula>
    </cfRule>
  </conditionalFormatting>
  <conditionalFormatting sqref="AN46">
    <cfRule type="cellIs" dxfId="26" priority="7" stopIfTrue="1" operator="greaterThan">
      <formula>0</formula>
    </cfRule>
  </conditionalFormatting>
  <conditionalFormatting sqref="BD47">
    <cfRule type="cellIs" dxfId="25" priority="6" stopIfTrue="1" operator="greaterThan">
      <formula>0</formula>
    </cfRule>
  </conditionalFormatting>
  <conditionalFormatting sqref="AV32">
    <cfRule type="cellIs" dxfId="24" priority="5" stopIfTrue="1" operator="greaterThan">
      <formula>0</formula>
    </cfRule>
  </conditionalFormatting>
  <conditionalFormatting sqref="K47">
    <cfRule type="cellIs" dxfId="23" priority="4" stopIfTrue="1" operator="greaterThan">
      <formula>0</formula>
    </cfRule>
  </conditionalFormatting>
  <conditionalFormatting sqref="H32:I32">
    <cfRule type="cellIs" dxfId="22" priority="3" stopIfTrue="1" operator="greaterThan">
      <formula>0</formula>
    </cfRule>
  </conditionalFormatting>
  <conditionalFormatting sqref="AT32">
    <cfRule type="cellIs" dxfId="21" priority="2" stopIfTrue="1" operator="greaterThan">
      <formula>0</formula>
    </cfRule>
  </conditionalFormatting>
  <conditionalFormatting sqref="AV32">
    <cfRule type="cellIs" dxfId="20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50"/>
  <sheetViews>
    <sheetView topLeftCell="A25" workbookViewId="0">
      <selection activeCell="A50" sqref="A50:I50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355</v>
      </c>
      <c r="B1" s="46"/>
      <c r="C1" s="46"/>
      <c r="D1" s="1" t="s">
        <v>496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кукур'!B4</f>
        <v>Культура: Кукуруза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364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362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353</v>
      </c>
      <c r="B7" s="3">
        <f>'силос сп кукур'!I6</f>
        <v>150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77">
        <f>B6*B7</f>
        <v>15000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122">
        <f>B8*0.75</f>
        <v>11250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427</v>
      </c>
      <c r="B11" s="86" t="s">
        <v>29</v>
      </c>
      <c r="C11" s="87" t="s">
        <v>335</v>
      </c>
      <c r="D11" s="87" t="s">
        <v>339</v>
      </c>
    </row>
    <row r="12" spans="1:78" s="92" customFormat="1" x14ac:dyDescent="0.2">
      <c r="A12" s="89" t="s">
        <v>352</v>
      </c>
      <c r="B12" s="90">
        <f ca="1">'силос сп кукур'!AL51+'силос сп кукур'!AM51</f>
        <v>891322.33067472256</v>
      </c>
      <c r="C12" s="91">
        <f t="shared" ref="C12:C32" ca="1" si="0">B12/$B$6</f>
        <v>8913.2233067472262</v>
      </c>
      <c r="D12" s="110" t="e">
        <f t="shared" ref="D12:D31" ca="1" si="1">B12/$B$32%</f>
        <v>#REF!</v>
      </c>
    </row>
    <row r="13" spans="1:78" s="92" customFormat="1" x14ac:dyDescent="0.2">
      <c r="A13" s="93" t="s">
        <v>349</v>
      </c>
      <c r="B13" s="91">
        <f>'силос сп кукур'!AW51</f>
        <v>60000</v>
      </c>
      <c r="C13" s="91">
        <f t="shared" si="0"/>
        <v>600</v>
      </c>
      <c r="D13" s="110" t="e">
        <f t="shared" ca="1" si="1"/>
        <v>#REF!</v>
      </c>
    </row>
    <row r="14" spans="1:78" s="92" customFormat="1" x14ac:dyDescent="0.2">
      <c r="A14" s="93" t="s">
        <v>350</v>
      </c>
      <c r="B14" s="91" t="e">
        <f>'силос сп кукур'!BA51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374</v>
      </c>
      <c r="B15" s="91">
        <f>'силос сп кукур'!BE51</f>
        <v>37500</v>
      </c>
      <c r="C15" s="91">
        <f t="shared" si="0"/>
        <v>375</v>
      </c>
      <c r="D15" s="110" t="e">
        <f t="shared" ca="1" si="1"/>
        <v>#REF!</v>
      </c>
    </row>
    <row r="16" spans="1:78" s="92" customFormat="1" x14ac:dyDescent="0.2">
      <c r="A16" s="93" t="s">
        <v>351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333</v>
      </c>
      <c r="B17" s="95">
        <f>SUM(B18:B20)</f>
        <v>190896.84062222979</v>
      </c>
      <c r="C17" s="95">
        <f t="shared" si="0"/>
        <v>1908.968406222298</v>
      </c>
      <c r="D17" s="111" t="e">
        <f t="shared" ca="1" si="1"/>
        <v>#REF!</v>
      </c>
    </row>
    <row r="18" spans="1:4" x14ac:dyDescent="0.2">
      <c r="A18" s="107" t="s">
        <v>340</v>
      </c>
      <c r="B18" s="95">
        <f>'силос сп кукур'!BJ51</f>
        <v>9752.7630524502019</v>
      </c>
      <c r="C18" s="95">
        <f t="shared" si="0"/>
        <v>97.527630524502015</v>
      </c>
      <c r="D18" s="111" t="e">
        <f t="shared" ca="1" si="1"/>
        <v>#REF!</v>
      </c>
    </row>
    <row r="19" spans="1:4" x14ac:dyDescent="0.2">
      <c r="A19" s="107" t="s">
        <v>341</v>
      </c>
      <c r="B19" s="95">
        <f>'силос сп кукур'!BL51</f>
        <v>7148.427569779552</v>
      </c>
      <c r="C19" s="95">
        <f t="shared" si="0"/>
        <v>71.484275697795525</v>
      </c>
      <c r="D19" s="111" t="e">
        <f t="shared" ca="1" si="1"/>
        <v>#REF!</v>
      </c>
    </row>
    <row r="20" spans="1:4" x14ac:dyDescent="0.2">
      <c r="A20" s="107" t="s">
        <v>398</v>
      </c>
      <c r="B20" s="95">
        <f>'силос сп кукур'!BM51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334</v>
      </c>
      <c r="B21" s="95">
        <f>SUM(B22:B23)</f>
        <v>577651.87223846186</v>
      </c>
      <c r="C21" s="95">
        <f t="shared" si="0"/>
        <v>5776.5187223846187</v>
      </c>
      <c r="D21" s="111" t="e">
        <f t="shared" ca="1" si="1"/>
        <v>#REF!</v>
      </c>
    </row>
    <row r="22" spans="1:4" x14ac:dyDescent="0.2">
      <c r="A22" s="107" t="s">
        <v>340</v>
      </c>
      <c r="B22" s="95">
        <f>'силос сп кукур'!BO51+'силос сп кукур'!BQ51+'силос сп кукур'!BS51</f>
        <v>60775.578509257888</v>
      </c>
      <c r="C22" s="95">
        <f t="shared" si="0"/>
        <v>607.75578509257889</v>
      </c>
      <c r="D22" s="111" t="e">
        <f t="shared" ca="1" si="1"/>
        <v>#REF!</v>
      </c>
    </row>
    <row r="23" spans="1:4" x14ac:dyDescent="0.2">
      <c r="A23" s="107" t="s">
        <v>341</v>
      </c>
      <c r="B23" s="95">
        <f>'силос сп кукур'!BT51</f>
        <v>516876.29372920399</v>
      </c>
      <c r="C23" s="95">
        <f t="shared" si="0"/>
        <v>5168.7629372920401</v>
      </c>
      <c r="D23" s="111" t="e">
        <f t="shared" ca="1" si="1"/>
        <v>#REF!</v>
      </c>
    </row>
    <row r="24" spans="1:4" x14ac:dyDescent="0.2">
      <c r="A24" s="94" t="s">
        <v>332</v>
      </c>
      <c r="B24" s="112" t="e">
        <f>'силос сп кукур'!AS51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342</v>
      </c>
      <c r="B25" s="91">
        <f>SUM(B26:B29)</f>
        <v>24294.234655294953</v>
      </c>
      <c r="C25" s="91">
        <f t="shared" si="0"/>
        <v>242.94234655294952</v>
      </c>
      <c r="D25" s="110" t="e">
        <f t="shared" ca="1" si="1"/>
        <v>#REF!</v>
      </c>
    </row>
    <row r="26" spans="1:4" x14ac:dyDescent="0.2">
      <c r="A26" s="107" t="s">
        <v>356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359</v>
      </c>
      <c r="B27" s="95">
        <f>12*100/250*('силос сп кукур'!L37+'силос сп кукур'!L46)+12*80/250*('силос сп кукур'!L22+'силос сп кукур'!L23+'силос сп кукур'!L24+'силос сп кукур'!L25+'силос сп кукур'!L27+'силос сп кукур'!L30+'силос сп кукур'!L32+'силос сп кукур'!L33+'силос сп кукур'!L44+'силос сп кукур'!L45)</f>
        <v>252.90132196162045</v>
      </c>
      <c r="C27" s="95">
        <f t="shared" si="0"/>
        <v>2.5290132196162047</v>
      </c>
      <c r="D27" s="111" t="e">
        <f t="shared" ca="1" si="1"/>
        <v>#REF!</v>
      </c>
    </row>
    <row r="28" spans="1:4" x14ac:dyDescent="0.2">
      <c r="A28" s="107" t="s">
        <v>363</v>
      </c>
      <c r="B28" s="95">
        <f>'силос сп кукур'!BH51</f>
        <v>0</v>
      </c>
      <c r="C28" s="95">
        <f t="shared" si="0"/>
        <v>0</v>
      </c>
      <c r="D28" s="111" t="e">
        <f t="shared" ca="1" si="1"/>
        <v>#REF!</v>
      </c>
    </row>
    <row r="29" spans="1:4" x14ac:dyDescent="0.2">
      <c r="A29" s="107" t="s">
        <v>361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343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344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345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346</v>
      </c>
      <c r="B33" s="95" t="e">
        <f ca="1">B32/B6</f>
        <v>#REF!</v>
      </c>
      <c r="C33" s="95"/>
      <c r="D33" s="95"/>
    </row>
    <row r="34" spans="1:9" x14ac:dyDescent="0.2">
      <c r="A34" s="94" t="s">
        <v>367</v>
      </c>
      <c r="B34" s="95" t="e">
        <f ca="1">B32/(B8)</f>
        <v>#REF!</v>
      </c>
      <c r="C34" s="95"/>
      <c r="D34" s="95"/>
    </row>
    <row r="35" spans="1:9" x14ac:dyDescent="0.2">
      <c r="A35" s="143" t="s">
        <v>375</v>
      </c>
      <c r="B35" s="142" t="e">
        <f ca="1">B32/(B9)</f>
        <v>#REF!</v>
      </c>
      <c r="C35" s="141"/>
      <c r="D35" s="141"/>
    </row>
    <row r="36" spans="1:9" x14ac:dyDescent="0.2">
      <c r="A36" s="94" t="s">
        <v>347</v>
      </c>
      <c r="B36" s="95">
        <f>'силос сп кукур'!O51+'силос сп кукур'!P51</f>
        <v>1056.8277363184079</v>
      </c>
      <c r="C36" s="95"/>
      <c r="D36" s="95"/>
    </row>
    <row r="37" spans="1:9" x14ac:dyDescent="0.2">
      <c r="A37" s="107" t="s">
        <v>335</v>
      </c>
      <c r="B37" s="95">
        <f>B36/B6</f>
        <v>10.568277363184079</v>
      </c>
      <c r="C37" s="95"/>
      <c r="D37" s="95"/>
    </row>
    <row r="38" spans="1:9" x14ac:dyDescent="0.2">
      <c r="A38" s="107" t="s">
        <v>336</v>
      </c>
      <c r="B38" s="111">
        <f>B36/B8</f>
        <v>7.0455182421227197E-2</v>
      </c>
      <c r="C38" s="95"/>
      <c r="D38" s="95"/>
    </row>
    <row r="39" spans="1:9" x14ac:dyDescent="0.2">
      <c r="A39" s="94" t="s">
        <v>354</v>
      </c>
      <c r="B39" s="95">
        <f ca="1">('силос сп кукур'!AH51+'силос сп кукур'!AI51)/B36</f>
        <v>648.76473099198358</v>
      </c>
      <c r="C39" s="95"/>
      <c r="D39" s="95"/>
    </row>
    <row r="40" spans="1:9" x14ac:dyDescent="0.2">
      <c r="A40" s="108" t="s">
        <v>337</v>
      </c>
      <c r="B40" s="95">
        <f ca="1">'силос сп кукур'!AH51/'силос сп кукур'!O51</f>
        <v>702.33832793031797</v>
      </c>
      <c r="C40" s="95"/>
      <c r="D40" s="95"/>
    </row>
    <row r="41" spans="1:9" x14ac:dyDescent="0.2">
      <c r="A41" s="109" t="s">
        <v>338</v>
      </c>
      <c r="B41" s="95">
        <f ca="1">'силос сп кукур'!AI51/'силос сп кукур'!P51</f>
        <v>580.46365176518293</v>
      </c>
      <c r="C41" s="95"/>
      <c r="D41" s="95"/>
    </row>
    <row r="42" spans="1:9" x14ac:dyDescent="0.2">
      <c r="A42" s="94" t="s">
        <v>348</v>
      </c>
      <c r="B42" s="95">
        <f ca="1">B39*164.5</f>
        <v>106721.79824818129</v>
      </c>
      <c r="C42" s="95"/>
      <c r="D42" s="95"/>
    </row>
    <row r="43" spans="1:9" x14ac:dyDescent="0.2">
      <c r="A43" s="108" t="s">
        <v>337</v>
      </c>
      <c r="B43" s="112">
        <f ca="1">B40*164.5</f>
        <v>115534.65494453731</v>
      </c>
      <c r="C43" s="94"/>
      <c r="D43" s="94"/>
    </row>
    <row r="44" spans="1:9" ht="12.75" customHeight="1" x14ac:dyDescent="0.2">
      <c r="A44" s="109" t="s">
        <v>338</v>
      </c>
      <c r="B44" s="112">
        <f ca="1">B41*164.5</f>
        <v>95486.270715372593</v>
      </c>
      <c r="C44" s="94"/>
      <c r="D44" s="94"/>
    </row>
    <row r="46" spans="1:9" x14ac:dyDescent="0.2">
      <c r="A46" t="s">
        <v>497</v>
      </c>
      <c r="B46"/>
      <c r="C46"/>
      <c r="D46"/>
      <c r="E46"/>
      <c r="F46"/>
      <c r="G46"/>
      <c r="I46" t="s">
        <v>498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499</v>
      </c>
      <c r="B48"/>
      <c r="C48"/>
      <c r="D48"/>
      <c r="E48"/>
      <c r="F48"/>
      <c r="G48"/>
      <c r="I48" t="s">
        <v>500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502</v>
      </c>
      <c r="B50"/>
      <c r="C50"/>
      <c r="D50"/>
      <c r="E50"/>
      <c r="F50"/>
      <c r="G50"/>
      <c r="I50" t="s">
        <v>501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BM66"/>
  <sheetViews>
    <sheetView topLeftCell="AA1" zoomScale="90" zoomScaleNormal="90" workbookViewId="0">
      <selection activeCell="AR23" sqref="AR23"/>
    </sheetView>
  </sheetViews>
  <sheetFormatPr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7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8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7.855468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8.42578125" style="13" customWidth="1"/>
    <col min="36" max="36" width="7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54</v>
      </c>
      <c r="E1" s="8"/>
      <c r="G1" s="6"/>
      <c r="H1" s="115" t="s">
        <v>482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83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376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358</v>
      </c>
      <c r="E6" s="2"/>
      <c r="F6" s="45" t="s">
        <v>357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218</v>
      </c>
      <c r="D7" s="124">
        <v>10.182352941176473</v>
      </c>
      <c r="E7" s="14"/>
      <c r="F7" s="45"/>
      <c r="G7" s="45" t="s">
        <v>218</v>
      </c>
      <c r="H7" s="13">
        <f>$D$5*D7</f>
        <v>1018.2352941176473</v>
      </c>
      <c r="J7" s="124"/>
      <c r="L7" s="45"/>
      <c r="Q7" s="15"/>
      <c r="AQ7" s="16"/>
      <c r="AR7" s="16"/>
    </row>
    <row r="8" spans="1:65" ht="12.75" customHeight="1" x14ac:dyDescent="0.2">
      <c r="B8" s="45" t="s">
        <v>219</v>
      </c>
      <c r="D8" s="124">
        <v>10.182352941176473</v>
      </c>
      <c r="E8" s="14"/>
      <c r="F8" s="45"/>
      <c r="G8" s="45" t="s">
        <v>219</v>
      </c>
      <c r="H8" s="13">
        <f>$D$5*D8</f>
        <v>1018.2352941176473</v>
      </c>
      <c r="J8" s="124"/>
      <c r="L8" s="45"/>
      <c r="Q8" s="15"/>
      <c r="AQ8" s="16"/>
      <c r="AR8" s="16"/>
    </row>
    <row r="9" spans="1:65" ht="12.75" customHeight="1" x14ac:dyDescent="0.2">
      <c r="B9" s="45" t="s">
        <v>220</v>
      </c>
      <c r="D9" s="124">
        <v>10.182352941176473</v>
      </c>
      <c r="E9" s="14"/>
      <c r="F9" s="45"/>
      <c r="G9" s="45" t="s">
        <v>220</v>
      </c>
      <c r="H9" s="13">
        <f>$D$5*D9</f>
        <v>1018.2352941176473</v>
      </c>
      <c r="J9" s="124"/>
      <c r="L9" s="45"/>
      <c r="Q9" s="15"/>
      <c r="AQ9" s="16"/>
      <c r="AR9" s="16"/>
    </row>
    <row r="10" spans="1:65" ht="12.75" customHeight="1" x14ac:dyDescent="0.2">
      <c r="B10" s="45" t="s">
        <v>221</v>
      </c>
      <c r="D10" s="124">
        <v>10.182352941176473</v>
      </c>
      <c r="E10" s="14"/>
      <c r="F10" s="45"/>
      <c r="G10" s="45" t="s">
        <v>221</v>
      </c>
      <c r="H10" s="13">
        <f>$D$5*D10</f>
        <v>1018.2352941176473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222</v>
      </c>
      <c r="D11" s="124">
        <v>12.218823529411768</v>
      </c>
      <c r="E11" s="14"/>
      <c r="F11" s="45"/>
      <c r="G11" s="45" t="s">
        <v>222</v>
      </c>
      <c r="H11" s="13">
        <f>$D$5*D11</f>
        <v>1221.8823529411768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518" t="s">
        <v>55</v>
      </c>
      <c r="B13" s="522" t="s">
        <v>51</v>
      </c>
      <c r="C13" s="522"/>
      <c r="D13" s="522"/>
      <c r="E13" s="522"/>
      <c r="F13" s="518" t="s">
        <v>15</v>
      </c>
      <c r="G13" s="518" t="s">
        <v>34</v>
      </c>
      <c r="H13" s="522" t="s">
        <v>30</v>
      </c>
      <c r="I13" s="522"/>
      <c r="J13" s="518" t="s">
        <v>33</v>
      </c>
      <c r="K13" s="518" t="s">
        <v>39</v>
      </c>
      <c r="L13" s="518" t="s">
        <v>38</v>
      </c>
      <c r="M13" s="522" t="s">
        <v>35</v>
      </c>
      <c r="N13" s="522"/>
      <c r="O13" s="522" t="s">
        <v>316</v>
      </c>
      <c r="P13" s="522"/>
      <c r="Q13" s="522" t="s">
        <v>315</v>
      </c>
      <c r="R13" s="522"/>
      <c r="S13" s="522"/>
      <c r="T13" s="522"/>
      <c r="U13" s="522" t="s">
        <v>317</v>
      </c>
      <c r="V13" s="522"/>
      <c r="W13" s="522" t="s">
        <v>318</v>
      </c>
      <c r="X13" s="522"/>
      <c r="Y13" s="522" t="s">
        <v>319</v>
      </c>
      <c r="Z13" s="522"/>
      <c r="AA13" s="522" t="s">
        <v>320</v>
      </c>
      <c r="AB13" s="522"/>
      <c r="AC13" s="529" t="s">
        <v>426</v>
      </c>
      <c r="AD13" s="530"/>
      <c r="AE13" s="531"/>
      <c r="AF13" s="522" t="s">
        <v>164</v>
      </c>
      <c r="AG13" s="522"/>
      <c r="AH13" s="522" t="s">
        <v>321</v>
      </c>
      <c r="AI13" s="522"/>
      <c r="AJ13" s="522" t="s">
        <v>322</v>
      </c>
      <c r="AK13" s="522"/>
      <c r="AL13" s="522" t="s">
        <v>323</v>
      </c>
      <c r="AM13" s="522"/>
      <c r="AN13" s="522" t="s">
        <v>13</v>
      </c>
      <c r="AO13" s="522"/>
      <c r="AP13" s="522"/>
      <c r="AQ13" s="522"/>
      <c r="AR13" s="522"/>
      <c r="AS13" s="522"/>
      <c r="AT13" s="529" t="s">
        <v>395</v>
      </c>
      <c r="AU13" s="530"/>
      <c r="AV13" s="530"/>
      <c r="AW13" s="531"/>
      <c r="AX13" s="522" t="s">
        <v>44</v>
      </c>
      <c r="AY13" s="522"/>
      <c r="AZ13" s="522"/>
      <c r="BA13" s="522"/>
      <c r="BB13" s="522" t="s">
        <v>313</v>
      </c>
      <c r="BC13" s="522"/>
      <c r="BD13" s="522"/>
      <c r="BE13" s="522"/>
      <c r="BF13" s="522"/>
      <c r="BG13" s="522"/>
      <c r="BH13" s="522"/>
      <c r="BI13" s="522" t="s">
        <v>48</v>
      </c>
      <c r="BJ13" s="522"/>
      <c r="BK13" s="522" t="s">
        <v>327</v>
      </c>
      <c r="BL13" s="521" t="s">
        <v>58</v>
      </c>
      <c r="BM13" s="521"/>
    </row>
    <row r="14" spans="1:65" s="6" customFormat="1" ht="40.5" customHeight="1" x14ac:dyDescent="0.2">
      <c r="A14" s="518"/>
      <c r="B14" s="522"/>
      <c r="C14" s="522"/>
      <c r="D14" s="522"/>
      <c r="E14" s="522"/>
      <c r="F14" s="518"/>
      <c r="G14" s="518"/>
      <c r="H14" s="522"/>
      <c r="I14" s="522"/>
      <c r="J14" s="518"/>
      <c r="K14" s="518"/>
      <c r="L14" s="518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32"/>
      <c r="AD14" s="533"/>
      <c r="AE14" s="534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32"/>
      <c r="AU14" s="533"/>
      <c r="AV14" s="533"/>
      <c r="AW14" s="534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1"/>
      <c r="BM14" s="521"/>
    </row>
    <row r="15" spans="1:65" s="6" customFormat="1" ht="38.25" customHeight="1" x14ac:dyDescent="0.2">
      <c r="A15" s="518"/>
      <c r="B15" s="522" t="s">
        <v>12</v>
      </c>
      <c r="C15" s="522" t="s">
        <v>40</v>
      </c>
      <c r="D15" s="522"/>
      <c r="E15" s="522"/>
      <c r="F15" s="518"/>
      <c r="G15" s="518"/>
      <c r="H15" s="518" t="s">
        <v>31</v>
      </c>
      <c r="I15" s="518" t="s">
        <v>32</v>
      </c>
      <c r="J15" s="518"/>
      <c r="K15" s="518"/>
      <c r="L15" s="518"/>
      <c r="M15" s="518" t="s">
        <v>36</v>
      </c>
      <c r="N15" s="518" t="s">
        <v>37</v>
      </c>
      <c r="O15" s="483">
        <v>7</v>
      </c>
      <c r="P15" s="483"/>
      <c r="Q15" s="522" t="s">
        <v>36</v>
      </c>
      <c r="R15" s="522"/>
      <c r="S15" s="522" t="s">
        <v>37</v>
      </c>
      <c r="T15" s="522"/>
      <c r="U15" s="518" t="s">
        <v>16</v>
      </c>
      <c r="V15" s="518" t="s">
        <v>17</v>
      </c>
      <c r="W15" s="519">
        <v>0.4</v>
      </c>
      <c r="X15" s="519"/>
      <c r="Y15" s="74">
        <v>0.1</v>
      </c>
      <c r="Z15" s="74">
        <v>0.05</v>
      </c>
      <c r="AA15" s="517">
        <v>0.1</v>
      </c>
      <c r="AB15" s="517"/>
      <c r="AC15" s="514" t="s">
        <v>18</v>
      </c>
      <c r="AD15" s="514" t="s">
        <v>16</v>
      </c>
      <c r="AE15" s="514" t="s">
        <v>17</v>
      </c>
      <c r="AF15" s="517">
        <f ca="1">(((((AD66/O66)*164.5)/29*(52/12)))/((AD66/O66)*164.5))</f>
        <v>0.14942528735632182</v>
      </c>
      <c r="AG15" s="517"/>
      <c r="AH15" s="518" t="s">
        <v>16</v>
      </c>
      <c r="AI15" s="518" t="s">
        <v>17</v>
      </c>
      <c r="AJ15" s="517">
        <v>0.3</v>
      </c>
      <c r="AK15" s="517"/>
      <c r="AL15" s="518" t="s">
        <v>16</v>
      </c>
      <c r="AM15" s="518" t="s">
        <v>17</v>
      </c>
      <c r="AN15" s="518" t="s">
        <v>329</v>
      </c>
      <c r="AO15" s="518" t="s">
        <v>42</v>
      </c>
      <c r="AP15" s="513" t="s">
        <v>49</v>
      </c>
      <c r="AQ15" s="513" t="s">
        <v>43</v>
      </c>
      <c r="AR15" s="513" t="s">
        <v>324</v>
      </c>
      <c r="AS15" s="513" t="s">
        <v>325</v>
      </c>
      <c r="AT15" s="518" t="s">
        <v>408</v>
      </c>
      <c r="AU15" s="513" t="s">
        <v>409</v>
      </c>
      <c r="AV15" s="513" t="s">
        <v>410</v>
      </c>
      <c r="AW15" s="513" t="s">
        <v>325</v>
      </c>
      <c r="AX15" s="521" t="s">
        <v>45</v>
      </c>
      <c r="AY15" s="521"/>
      <c r="AZ15" s="521" t="s">
        <v>46</v>
      </c>
      <c r="BA15" s="521"/>
      <c r="BB15" s="521" t="s">
        <v>308</v>
      </c>
      <c r="BC15" s="521"/>
      <c r="BD15" s="521" t="s">
        <v>309</v>
      </c>
      <c r="BE15" s="521"/>
      <c r="BF15" s="521" t="s">
        <v>310</v>
      </c>
      <c r="BG15" s="521"/>
      <c r="BH15" s="518" t="s">
        <v>311</v>
      </c>
      <c r="BI15" s="513" t="s">
        <v>312</v>
      </c>
      <c r="BJ15" s="513" t="s">
        <v>328</v>
      </c>
      <c r="BK15" s="522"/>
      <c r="BL15" s="513" t="s">
        <v>50</v>
      </c>
      <c r="BM15" s="513" t="s">
        <v>14</v>
      </c>
    </row>
    <row r="16" spans="1:65" s="6" customFormat="1" ht="48" customHeight="1" x14ac:dyDescent="0.2">
      <c r="A16" s="518"/>
      <c r="B16" s="522"/>
      <c r="C16" s="518" t="s">
        <v>41</v>
      </c>
      <c r="D16" s="518" t="s">
        <v>53</v>
      </c>
      <c r="E16" s="518" t="s">
        <v>52</v>
      </c>
      <c r="F16" s="518"/>
      <c r="G16" s="518"/>
      <c r="H16" s="518"/>
      <c r="I16" s="518"/>
      <c r="J16" s="518"/>
      <c r="K16" s="518"/>
      <c r="L16" s="518"/>
      <c r="M16" s="518"/>
      <c r="N16" s="518"/>
      <c r="O16" s="518" t="s">
        <v>36</v>
      </c>
      <c r="P16" s="518" t="s">
        <v>37</v>
      </c>
      <c r="Q16" s="535" t="s">
        <v>19</v>
      </c>
      <c r="R16" s="518" t="s">
        <v>20</v>
      </c>
      <c r="S16" s="535" t="s">
        <v>19</v>
      </c>
      <c r="T16" s="518" t="s">
        <v>20</v>
      </c>
      <c r="U16" s="518"/>
      <c r="V16" s="518"/>
      <c r="W16" s="518" t="s">
        <v>16</v>
      </c>
      <c r="X16" s="518" t="s">
        <v>17</v>
      </c>
      <c r="Y16" s="518" t="s">
        <v>173</v>
      </c>
      <c r="Z16" s="518" t="s">
        <v>174</v>
      </c>
      <c r="AA16" s="518" t="s">
        <v>16</v>
      </c>
      <c r="AB16" s="518" t="s">
        <v>17</v>
      </c>
      <c r="AC16" s="515"/>
      <c r="AD16" s="515"/>
      <c r="AE16" s="515"/>
      <c r="AF16" s="518" t="s">
        <v>16</v>
      </c>
      <c r="AG16" s="518" t="s">
        <v>17</v>
      </c>
      <c r="AH16" s="518"/>
      <c r="AI16" s="518"/>
      <c r="AJ16" s="518" t="s">
        <v>16</v>
      </c>
      <c r="AK16" s="518" t="s">
        <v>17</v>
      </c>
      <c r="AL16" s="518"/>
      <c r="AM16" s="518"/>
      <c r="AN16" s="518"/>
      <c r="AO16" s="518"/>
      <c r="AP16" s="513"/>
      <c r="AQ16" s="513"/>
      <c r="AR16" s="513"/>
      <c r="AS16" s="513"/>
      <c r="AT16" s="518"/>
      <c r="AU16" s="513"/>
      <c r="AV16" s="513"/>
      <c r="AW16" s="513"/>
      <c r="AX16" s="513" t="s">
        <v>47</v>
      </c>
      <c r="AY16" s="513" t="s">
        <v>314</v>
      </c>
      <c r="AZ16" s="513" t="s">
        <v>47</v>
      </c>
      <c r="BA16" s="513" t="s">
        <v>314</v>
      </c>
      <c r="BB16" s="513" t="s">
        <v>307</v>
      </c>
      <c r="BC16" s="513" t="s">
        <v>314</v>
      </c>
      <c r="BD16" s="513" t="s">
        <v>307</v>
      </c>
      <c r="BE16" s="513" t="s">
        <v>314</v>
      </c>
      <c r="BF16" s="513" t="s">
        <v>307</v>
      </c>
      <c r="BG16" s="513" t="s">
        <v>314</v>
      </c>
      <c r="BH16" s="518"/>
      <c r="BI16" s="513"/>
      <c r="BJ16" s="513"/>
      <c r="BK16" s="522"/>
      <c r="BL16" s="513"/>
      <c r="BM16" s="513"/>
    </row>
    <row r="17" spans="1:65" s="6" customFormat="1" ht="76.5" customHeight="1" x14ac:dyDescent="0.2">
      <c r="A17" s="518"/>
      <c r="B17" s="522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35"/>
      <c r="R17" s="518"/>
      <c r="S17" s="535"/>
      <c r="T17" s="518"/>
      <c r="U17" s="518"/>
      <c r="V17" s="518"/>
      <c r="W17" s="518"/>
      <c r="X17" s="518"/>
      <c r="Y17" s="518"/>
      <c r="Z17" s="518"/>
      <c r="AA17" s="518"/>
      <c r="AB17" s="518"/>
      <c r="AC17" s="516"/>
      <c r="AD17" s="516"/>
      <c r="AE17" s="516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3"/>
      <c r="AQ17" s="513"/>
      <c r="AR17" s="513"/>
      <c r="AS17" s="513"/>
      <c r="AT17" s="518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8"/>
      <c r="BI17" s="513"/>
      <c r="BJ17" s="513"/>
      <c r="BK17" s="522"/>
      <c r="BL17" s="513"/>
      <c r="BM17" s="513"/>
    </row>
    <row r="18" spans="1:65" x14ac:dyDescent="0.2">
      <c r="A18" s="20">
        <f>COLUMN(A18)</f>
        <v>1</v>
      </c>
      <c r="B18" s="512">
        <f>COLUMN(B18)</f>
        <v>2</v>
      </c>
      <c r="C18" s="512"/>
      <c r="D18" s="512"/>
      <c r="E18" s="512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522" t="s">
        <v>99</v>
      </c>
      <c r="C19" s="522"/>
      <c r="D19" s="522"/>
      <c r="E19" s="5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76</v>
      </c>
      <c r="C20" s="29">
        <v>4.166666666666667</v>
      </c>
      <c r="D20" s="30" t="s">
        <v>105</v>
      </c>
      <c r="E20" s="31" t="s">
        <v>199</v>
      </c>
      <c r="F20" s="28" t="s">
        <v>106</v>
      </c>
      <c r="G20" s="146">
        <v>100</v>
      </c>
      <c r="H20" s="81">
        <v>40374</v>
      </c>
      <c r="I20" s="81">
        <v>40377</v>
      </c>
      <c r="J20" s="83">
        <f>L20/M20</f>
        <v>3.3333333333333335</v>
      </c>
      <c r="K20" s="32">
        <v>6</v>
      </c>
      <c r="L20" s="33">
        <f t="shared" ref="L20:L25" si="1">G20/K20</f>
        <v>16.666666666666668</v>
      </c>
      <c r="M20" s="34">
        <v>5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данные'!$C$14:H14,Q20,'Исходные данные'!$C$18:$H$18),IF(O20=0,0,IF(Q20=0,"РОТ")))</f>
        <v>156.08125696908263</v>
      </c>
      <c r="S20" s="34"/>
      <c r="T20" s="33"/>
      <c r="U20" s="130">
        <f>O20*R20*'Исходные данные'!$C$40%</f>
        <v>0</v>
      </c>
      <c r="V20" s="130">
        <f>P20*T20*'Исходные данные'!$C$41%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2.8</v>
      </c>
      <c r="AD20" s="130">
        <f t="shared" ref="AD20:AD25" si="10">(O20*R20+U20+W20+Y20+AA20)*AC20</f>
        <v>83617.932066903202</v>
      </c>
      <c r="AE20" s="130">
        <f t="shared" ref="AE20:AE25" si="11">(P20*T20+V20+X20+Z20+AB20)*AC20</f>
        <v>0</v>
      </c>
      <c r="AF20" s="35">
        <f t="shared" ref="AF20:AG25" ca="1" si="12">AD20*$AF$15</f>
        <v>12494.633527238408</v>
      </c>
      <c r="AG20" s="73"/>
      <c r="AH20" s="35">
        <f t="shared" ref="AH20:AI25" ca="1" si="13">AD20+AF20</f>
        <v>96112.565594141604</v>
      </c>
      <c r="AI20" s="35"/>
      <c r="AJ20" s="35">
        <f t="shared" ref="AJ20:AK25" ca="1" si="14">AH20*$AJ$15</f>
        <v>28833.769678242479</v>
      </c>
      <c r="AK20" s="73"/>
      <c r="AL20" s="35">
        <f t="shared" ref="AL20:AL25" ca="1" si="15">AH20+AJ20</f>
        <v>124946.33527238408</v>
      </c>
      <c r="AM20" s="73"/>
      <c r="AN20" s="32">
        <v>6.5</v>
      </c>
      <c r="AO20" s="33" t="e">
        <f>Нормы!#REF!</f>
        <v>#REF!</v>
      </c>
      <c r="AP20" s="79" t="e">
        <f>(G20*AN20)*AO20/100</f>
        <v>#REF!</v>
      </c>
      <c r="AQ20" s="33" t="s">
        <v>153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84</v>
      </c>
      <c r="C21" s="29">
        <v>0.25</v>
      </c>
      <c r="D21" s="30" t="s">
        <v>105</v>
      </c>
      <c r="E21" s="31" t="s">
        <v>200</v>
      </c>
      <c r="F21" s="28" t="s">
        <v>106</v>
      </c>
      <c r="G21" s="146"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данные'!$C$14:H15,Q21,'Исходные данные'!$C$18:$H$18),IF(O21=0,0,IF(Q21=0,"РОТ")))</f>
        <v>126.44557526609226</v>
      </c>
      <c r="S21" s="34"/>
      <c r="T21" s="33"/>
      <c r="U21" s="130">
        <f ca="1">O21*R21*'Исходные данные'!$C$40%</f>
        <v>0</v>
      </c>
      <c r="V21" s="130">
        <f>P21*T21*'Исходные данные'!$C$41%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2.8</v>
      </c>
      <c r="AD21" s="130">
        <f t="shared" ca="1" si="10"/>
        <v>5080.5832141915871</v>
      </c>
      <c r="AE21" s="130">
        <f t="shared" si="11"/>
        <v>0</v>
      </c>
      <c r="AF21" s="35">
        <f t="shared" ca="1" si="12"/>
        <v>759.16760671828308</v>
      </c>
      <c r="AG21" s="73"/>
      <c r="AH21" s="35">
        <f t="shared" ca="1" si="13"/>
        <v>5839.7508209098705</v>
      </c>
      <c r="AI21" s="35"/>
      <c r="AJ21" s="35">
        <f t="shared" ca="1" si="14"/>
        <v>1751.9252462729612</v>
      </c>
      <c r="AK21" s="73"/>
      <c r="AL21" s="35">
        <f t="shared" ca="1" si="15"/>
        <v>7591.6760671828315</v>
      </c>
      <c r="AM21" s="73"/>
      <c r="AN21" s="33">
        <v>1.8</v>
      </c>
      <c r="AO21" s="33" t="e">
        <f>Нормы!#REF!</f>
        <v>#REF!</v>
      </c>
      <c r="AP21" s="79" t="e">
        <f>(G21*AN21)*AO21/100</f>
        <v>#REF!</v>
      </c>
      <c r="AQ21" s="33" t="s">
        <v>153</v>
      </c>
      <c r="AR21" s="83" t="e">
        <f>'Исходные данные'!#REF!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85</v>
      </c>
      <c r="C22" s="29">
        <v>2.3809523809523809</v>
      </c>
      <c r="D22" s="30" t="s">
        <v>105</v>
      </c>
      <c r="E22" s="31" t="s">
        <v>200</v>
      </c>
      <c r="F22" s="28" t="s">
        <v>106</v>
      </c>
      <c r="G22" s="146">
        <v>100</v>
      </c>
      <c r="H22" s="81">
        <v>40377</v>
      </c>
      <c r="I22" s="81">
        <v>40379</v>
      </c>
      <c r="J22" s="83">
        <f>L22/M22</f>
        <v>2.3809523809523809</v>
      </c>
      <c r="K22" s="32">
        <v>14</v>
      </c>
      <c r="L22" s="33">
        <f t="shared" si="1"/>
        <v>7.1428571428571432</v>
      </c>
      <c r="M22" s="34">
        <v>3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данные'!$C$14:H16,Q22,'Исходные данные'!$C$18:$H$18),IF(O22=0,0,IF(Q22=0,"РОТ")))</f>
        <v>126.44557526609226</v>
      </c>
      <c r="S22" s="34"/>
      <c r="T22" s="33"/>
      <c r="U22" s="130">
        <f ca="1">O22*R22*'Исходные данные'!$C$40%</f>
        <v>0</v>
      </c>
      <c r="V22" s="130">
        <f>P22*T22*'Исходные данные'!$C$41%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2.8</v>
      </c>
      <c r="AD22" s="130">
        <f t="shared" ca="1" si="10"/>
        <v>29031.904081094781</v>
      </c>
      <c r="AE22" s="130">
        <f t="shared" si="11"/>
        <v>0</v>
      </c>
      <c r="AF22" s="35">
        <f t="shared" ca="1" si="12"/>
        <v>4338.1006098187599</v>
      </c>
      <c r="AG22" s="73"/>
      <c r="AH22" s="35">
        <f t="shared" ca="1" si="13"/>
        <v>33370.004690913542</v>
      </c>
      <c r="AI22" s="35"/>
      <c r="AJ22" s="35">
        <f t="shared" ca="1" si="14"/>
        <v>10011.001407274061</v>
      </c>
      <c r="AK22" s="73"/>
      <c r="AL22" s="35">
        <f t="shared" ca="1" si="15"/>
        <v>43381.006098187601</v>
      </c>
      <c r="AM22" s="73"/>
      <c r="AN22" s="32">
        <v>2.8</v>
      </c>
      <c r="AO22" s="33" t="e">
        <f>Нормы!#REF!</f>
        <v>#REF!</v>
      </c>
      <c r="AP22" s="79" t="e">
        <f>(G22*AN22)*AO22/100</f>
        <v>#REF!</v>
      </c>
      <c r="AQ22" s="33" t="s">
        <v>153</v>
      </c>
      <c r="AR22" s="83" t="e">
        <f>'Исходные данные'!#REF!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201</v>
      </c>
      <c r="C23" s="29">
        <v>4.6296296296296298</v>
      </c>
      <c r="D23" s="30" t="s">
        <v>105</v>
      </c>
      <c r="E23" s="31" t="s">
        <v>202</v>
      </c>
      <c r="F23" s="28" t="s">
        <v>106</v>
      </c>
      <c r="G23" s="146"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5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данные'!$G$26</f>
        <v>219.30404460212878</v>
      </c>
      <c r="S23" s="34">
        <v>4</v>
      </c>
      <c r="T23" s="83">
        <f ca="1">IF(AND(N23&gt;0,P23&gt;0),SUMIF('Исходные данные'!$C$14:$J$30,S23,'Исходные данные'!$C$34:$J$42),IF(N23=0,0,IF(S23=0,"РОТ")))</f>
        <v>123.48200709579322</v>
      </c>
      <c r="U23" s="130">
        <f>O23*R23*'Исходные данные'!$C$40%</f>
        <v>0</v>
      </c>
      <c r="V23" s="130">
        <f ca="1">P23*T23*'Исходные данные'!$C$41%</f>
        <v>4201.8182970096304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1050.4545742524078</v>
      </c>
      <c r="AA23" s="130">
        <f t="shared" si="8"/>
        <v>2132.1226558540302</v>
      </c>
      <c r="AB23" s="131">
        <f t="shared" ca="1" si="9"/>
        <v>1620.7013431322864</v>
      </c>
      <c r="AC23" s="129">
        <v>2.8</v>
      </c>
      <c r="AD23" s="130">
        <f t="shared" si="10"/>
        <v>97907.072356817051</v>
      </c>
      <c r="AE23" s="130">
        <f t="shared" ca="1" si="11"/>
        <v>66304.692726811976</v>
      </c>
      <c r="AF23" s="35">
        <f t="shared" ca="1" si="12"/>
        <v>14629.792421133581</v>
      </c>
      <c r="AG23" s="73">
        <f t="shared" ca="1" si="12"/>
        <v>9907.5977637765009</v>
      </c>
      <c r="AH23" s="35">
        <f t="shared" ca="1" si="13"/>
        <v>112536.86477795063</v>
      </c>
      <c r="AI23" s="35">
        <f t="shared" ca="1" si="13"/>
        <v>76212.290490588479</v>
      </c>
      <c r="AJ23" s="35">
        <f t="shared" ca="1" si="14"/>
        <v>33761.059433385184</v>
      </c>
      <c r="AK23" s="73">
        <f t="shared" ca="1" si="14"/>
        <v>22863.687147176544</v>
      </c>
      <c r="AL23" s="35">
        <f t="shared" ca="1" si="15"/>
        <v>146297.92421133581</v>
      </c>
      <c r="AM23" s="73">
        <f ca="1">AK23+AI23</f>
        <v>99075.977637765027</v>
      </c>
      <c r="AN23" s="32">
        <v>7.5</v>
      </c>
      <c r="AO23" s="33" t="e">
        <f>Нормы!#REF!</f>
        <v>#REF!</v>
      </c>
      <c r="AP23" s="79" t="e">
        <f>(G23*AN23)*AO23/100</f>
        <v>#REF!</v>
      </c>
      <c r="AQ23" s="33" t="s">
        <v>153</v>
      </c>
      <c r="AR23" s="83" t="e">
        <f>'Исходные данные'!#REF!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86</v>
      </c>
      <c r="C24" s="29">
        <v>2.9803921568627452</v>
      </c>
      <c r="D24" s="132" t="s">
        <v>118</v>
      </c>
      <c r="E24" s="31" t="s">
        <v>203</v>
      </c>
      <c r="F24" s="28" t="s">
        <v>109</v>
      </c>
      <c r="G24" s="146">
        <v>116.23529411764707</v>
      </c>
      <c r="H24" s="81">
        <v>40378</v>
      </c>
      <c r="I24" s="81">
        <v>40380</v>
      </c>
      <c r="J24" s="83">
        <f>L24/N24</f>
        <v>8.9411764705882355</v>
      </c>
      <c r="K24" s="32">
        <v>13</v>
      </c>
      <c r="L24" s="33">
        <f t="shared" si="1"/>
        <v>8.9411764705882355</v>
      </c>
      <c r="M24" s="34">
        <v>3</v>
      </c>
      <c r="N24" s="34">
        <v>1</v>
      </c>
      <c r="O24" s="35">
        <f t="shared" si="2"/>
        <v>62.588235294117652</v>
      </c>
      <c r="P24" s="35">
        <f t="shared" si="3"/>
        <v>62.588235294117652</v>
      </c>
      <c r="Q24" s="34">
        <v>5</v>
      </c>
      <c r="R24" s="83">
        <f>'Исходные данные'!$G$26</f>
        <v>219.30404460212878</v>
      </c>
      <c r="S24" s="34">
        <v>4</v>
      </c>
      <c r="T24" s="83">
        <f ca="1">IF(AND(N24&gt;0,P24&gt;0),SUMIF('Исходные данные'!$C$14:$J$30,S24,'Исходные данные'!$C$34:$J$42),IF(N24=0,0,IF(S24=0,"РОТ")))</f>
        <v>123.48200709579322</v>
      </c>
      <c r="U24" s="130">
        <f>O24*R24*'Исходные данные'!$C$40%</f>
        <v>0</v>
      </c>
      <c r="V24" s="130">
        <f ca="1">P24*T24*'Исходные данные'!$C$41%</f>
        <v>2704.9823201454942</v>
      </c>
      <c r="W24" s="130">
        <f t="shared" si="4"/>
        <v>5490.3412578038842</v>
      </c>
      <c r="X24" s="131">
        <f t="shared" ca="1" si="5"/>
        <v>3091.4083658805648</v>
      </c>
      <c r="Y24" s="130">
        <f t="shared" si="6"/>
        <v>1921.6194402313595</v>
      </c>
      <c r="Z24" s="131">
        <f t="shared" ca="1" si="7"/>
        <v>676.24558003637367</v>
      </c>
      <c r="AA24" s="130">
        <f t="shared" si="8"/>
        <v>1372.5853144509711</v>
      </c>
      <c r="AB24" s="131">
        <f t="shared" ca="1" si="9"/>
        <v>1043.3503234846908</v>
      </c>
      <c r="AC24" s="129">
        <v>2.8</v>
      </c>
      <c r="AD24" s="130">
        <f t="shared" si="10"/>
        <v>63029.117639588585</v>
      </c>
      <c r="AE24" s="130">
        <f t="shared" ca="1" si="11"/>
        <v>42684.621011895899</v>
      </c>
      <c r="AF24" s="35">
        <f t="shared" ca="1" si="12"/>
        <v>9418.1440151109364</v>
      </c>
      <c r="AG24" s="73">
        <f t="shared" ca="1" si="12"/>
        <v>6378.1617603982368</v>
      </c>
      <c r="AH24" s="35">
        <f t="shared" ca="1" si="13"/>
        <v>72447.261654699527</v>
      </c>
      <c r="AI24" s="35">
        <f t="shared" ca="1" si="13"/>
        <v>49062.782772294137</v>
      </c>
      <c r="AJ24" s="35">
        <f t="shared" ca="1" si="14"/>
        <v>21734.178496409859</v>
      </c>
      <c r="AK24" s="73">
        <f t="shared" ca="1" si="14"/>
        <v>14718.83483168824</v>
      </c>
      <c r="AL24" s="35">
        <f t="shared" ca="1" si="15"/>
        <v>94181.440151109389</v>
      </c>
      <c r="AM24" s="73">
        <f ca="1">AK24+AI24</f>
        <v>63781.617603982377</v>
      </c>
      <c r="AN24" s="32"/>
      <c r="AO24" s="33" t="e">
        <f>Нормы!#REF!</f>
        <v>#REF!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157963.05775509175</v>
      </c>
      <c r="BJ24" s="36">
        <f t="shared" ca="1" si="22"/>
        <v>1579.6305775509175</v>
      </c>
      <c r="BK24" s="38">
        <f t="shared" si="23"/>
        <v>1.2517647058823531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87</v>
      </c>
      <c r="C25" s="29">
        <v>4.6849379245724992E-2</v>
      </c>
      <c r="D25" s="30" t="s">
        <v>105</v>
      </c>
      <c r="E25" s="31" t="s">
        <v>204</v>
      </c>
      <c r="F25" s="28" t="s">
        <v>106</v>
      </c>
      <c r="G25" s="146"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данные'!$C$14:H27,Q25,'Исходные данные'!$C$18:$H$18),IF(O25=0,0,IF(Q25=0,"РОТ")))</f>
        <v>128.66557526609228</v>
      </c>
      <c r="S25" s="34"/>
      <c r="T25" s="33"/>
      <c r="U25" s="130">
        <f ca="1">O25*R25*'Исходные данные'!$C$40%</f>
        <v>0</v>
      </c>
      <c r="V25" s="130">
        <f>P25*T25*'Исходные данные'!$C$41%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2.8</v>
      </c>
      <c r="AD25" s="130">
        <f t="shared" ca="1" si="10"/>
        <v>581.28267763222334</v>
      </c>
      <c r="AE25" s="130">
        <f t="shared" si="11"/>
        <v>0</v>
      </c>
      <c r="AF25" s="35">
        <f t="shared" ca="1" si="12"/>
        <v>86.858331140447163</v>
      </c>
      <c r="AG25" s="73"/>
      <c r="AH25" s="35">
        <f t="shared" ca="1" si="13"/>
        <v>668.14100877267049</v>
      </c>
      <c r="AI25" s="35">
        <f t="shared" si="13"/>
        <v>0</v>
      </c>
      <c r="AJ25" s="35">
        <f t="shared" ca="1" si="14"/>
        <v>200.44230263180114</v>
      </c>
      <c r="AK25" s="73"/>
      <c r="AL25" s="35">
        <f t="shared" ca="1" si="15"/>
        <v>868.5833114044716</v>
      </c>
      <c r="AM25" s="73">
        <f>AK25+AI25</f>
        <v>0</v>
      </c>
      <c r="AN25" s="32">
        <v>0.3</v>
      </c>
      <c r="AO25" s="33" t="e">
        <f>Нормы!#REF!</f>
        <v>#REF!</v>
      </c>
      <c r="AP25" s="79" t="e">
        <f>(G25*AN25)*AO25/100</f>
        <v>#REF!</v>
      </c>
      <c r="AQ25" s="33" t="s">
        <v>153</v>
      </c>
      <c r="AR25" s="83" t="e">
        <f>'Исходные данные'!#REF!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21</v>
      </c>
      <c r="C26" s="53"/>
      <c r="D26" s="53"/>
      <c r="E26" s="53"/>
      <c r="F26" s="55"/>
      <c r="G26" s="147"/>
      <c r="H26" s="64"/>
      <c r="I26" s="64"/>
      <c r="J26" s="57">
        <f>SUM(J20:J25)</f>
        <v>29.934899211500014</v>
      </c>
      <c r="K26" s="57"/>
      <c r="L26" s="57">
        <f>SUM(L20:L25)</f>
        <v>48.030137306738105</v>
      </c>
      <c r="M26" s="57">
        <f t="shared" ref="M26:BM26" si="25">SUM(M20:M25)</f>
        <v>18</v>
      </c>
      <c r="N26" s="57">
        <f t="shared" si="25"/>
        <v>2</v>
      </c>
      <c r="O26" s="57">
        <f t="shared" si="25"/>
        <v>336.21096114716681</v>
      </c>
      <c r="P26" s="57">
        <f t="shared" si="25"/>
        <v>159.81045751633988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6906.8006171551242</v>
      </c>
      <c r="W26" s="57">
        <f t="shared" ca="1" si="25"/>
        <v>24324.729271448385</v>
      </c>
      <c r="X26" s="57">
        <f t="shared" ca="1" si="25"/>
        <v>7893.4864196058579</v>
      </c>
      <c r="Y26" s="57">
        <f t="shared" ca="1" si="25"/>
        <v>8513.6552450069339</v>
      </c>
      <c r="Z26" s="57">
        <f t="shared" ca="1" si="25"/>
        <v>1726.7001542887815</v>
      </c>
      <c r="AA26" s="57">
        <f t="shared" ca="1" si="25"/>
        <v>6081.1823178620962</v>
      </c>
      <c r="AB26" s="57">
        <f t="shared" ca="1" si="25"/>
        <v>2664.0516666169769</v>
      </c>
      <c r="AC26" s="57"/>
      <c r="AD26" s="57">
        <f t="shared" ca="1" si="25"/>
        <v>279247.89203622745</v>
      </c>
      <c r="AE26" s="57">
        <f t="shared" ca="1" si="25"/>
        <v>108989.31373870788</v>
      </c>
      <c r="AF26" s="57">
        <f t="shared" ca="1" si="25"/>
        <v>41726.696511160415</v>
      </c>
      <c r="AG26" s="57">
        <f t="shared" ca="1" si="25"/>
        <v>16285.759524174737</v>
      </c>
      <c r="AH26" s="57">
        <f t="shared" ca="1" si="25"/>
        <v>320974.5885473878</v>
      </c>
      <c r="AI26" s="57">
        <f t="shared" ca="1" si="25"/>
        <v>125275.07326288262</v>
      </c>
      <c r="AJ26" s="57">
        <f t="shared" ca="1" si="25"/>
        <v>96292.376564216349</v>
      </c>
      <c r="AK26" s="57">
        <f t="shared" ca="1" si="25"/>
        <v>37582.521978864781</v>
      </c>
      <c r="AL26" s="57">
        <f t="shared" ca="1" si="25"/>
        <v>417266.96511160408</v>
      </c>
      <c r="AM26" s="57">
        <f t="shared" ca="1" si="25"/>
        <v>162857.59524174739</v>
      </c>
      <c r="AN26" s="57"/>
      <c r="AO26" s="57"/>
      <c r="AP26" s="57" t="e">
        <f t="shared" si="25"/>
        <v>#REF!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522" t="s">
        <v>98</v>
      </c>
      <c r="C27" s="522"/>
      <c r="D27" s="522"/>
      <c r="E27" s="522"/>
      <c r="F27" s="28"/>
      <c r="G27" s="146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76</v>
      </c>
      <c r="C28" s="29">
        <v>2.7777777777777781</v>
      </c>
      <c r="D28" s="30" t="s">
        <v>105</v>
      </c>
      <c r="E28" s="31" t="s">
        <v>199</v>
      </c>
      <c r="F28" s="28" t="s">
        <v>106</v>
      </c>
      <c r="G28" s="146">
        <v>100</v>
      </c>
      <c r="H28" s="81">
        <v>40374</v>
      </c>
      <c r="I28" s="81">
        <v>40379</v>
      </c>
      <c r="J28" s="83">
        <f t="shared" ref="J28:J33" si="26">L28/M28</f>
        <v>5.5555555555555562</v>
      </c>
      <c r="K28" s="32">
        <v>6</v>
      </c>
      <c r="L28" s="33">
        <f t="shared" ref="L28:L35" si="27">G28/K28</f>
        <v>16.666666666666668</v>
      </c>
      <c r="M28" s="34">
        <v>3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данные'!$C$14:H30,Q28,'Исходные данные'!$C$18:$H$18),IF(O28=0,0,IF(Q28=0,"РОТ")))</f>
        <v>156.08125696908263</v>
      </c>
      <c r="S28" s="34"/>
      <c r="T28" s="33"/>
      <c r="U28" s="130">
        <f ca="1">O28*R28*'Исходные данные'!$C$40%</f>
        <v>0</v>
      </c>
      <c r="V28" s="130">
        <f>P28*T28*'Исходные данные'!$C$41%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2.8</v>
      </c>
      <c r="AD28" s="130">
        <f t="shared" ref="AD28:AD35" ca="1" si="36">(O28*R28+U28+W28+Y28+AA28)*AC28</f>
        <v>83617.932066903202</v>
      </c>
      <c r="AE28" s="130">
        <f t="shared" ref="AE28:AE35" si="37">(P28*T28+V28+X28+Z28+AB28)*AC28</f>
        <v>0</v>
      </c>
      <c r="AF28" s="35">
        <f t="shared" ref="AF28:AF35" ca="1" si="38">AD28*$AF$15</f>
        <v>12494.633527238408</v>
      </c>
      <c r="AG28" s="73"/>
      <c r="AH28" s="35">
        <f t="shared" ref="AH28:AH35" ca="1" si="39">AD28+AF28</f>
        <v>96112.565594141604</v>
      </c>
      <c r="AI28" s="35"/>
      <c r="AJ28" s="35">
        <f t="shared" ref="AJ28:AJ35" ca="1" si="40">AH28*$AJ$15</f>
        <v>28833.769678242479</v>
      </c>
      <c r="AK28" s="73"/>
      <c r="AL28" s="35">
        <f t="shared" ref="AL28:AL35" ca="1" si="41">AH28+AJ28</f>
        <v>124946.33527238408</v>
      </c>
      <c r="AM28" s="73"/>
      <c r="AN28" s="32">
        <v>6.5</v>
      </c>
      <c r="AO28" s="33" t="e">
        <f>Нормы!#REF!</f>
        <v>#REF!</v>
      </c>
      <c r="AP28" s="79" t="e">
        <f t="shared" ref="AP28:AP35" si="42">(G28*AN28)*AO28/100</f>
        <v>#REF!</v>
      </c>
      <c r="AQ28" s="33" t="s">
        <v>153</v>
      </c>
      <c r="AR28" s="83" t="e">
        <f>'Исходные данные'!#REF!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84</v>
      </c>
      <c r="C29" s="29">
        <v>0.20833333333333334</v>
      </c>
      <c r="D29" s="30" t="s">
        <v>105</v>
      </c>
      <c r="E29" s="31" t="s">
        <v>200</v>
      </c>
      <c r="F29" s="28" t="s">
        <v>106</v>
      </c>
      <c r="G29" s="146"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данные'!$C$14:H30,Q29,'Исходные данные'!$C$18:$H$18),IF(O29=0,0,IF(Q29=0,"РОТ")))</f>
        <v>128.66557526609228</v>
      </c>
      <c r="S29" s="34"/>
      <c r="T29" s="33"/>
      <c r="U29" s="130">
        <f ca="1">O29*R29*'Исходные данные'!$C$40%</f>
        <v>0</v>
      </c>
      <c r="V29" s="130">
        <f>P29*T29*'Исходные данные'!$C$41%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2.8</v>
      </c>
      <c r="AD29" s="130">
        <f t="shared" ca="1" si="36"/>
        <v>5169.7828141915879</v>
      </c>
      <c r="AE29" s="130">
        <f t="shared" si="37"/>
        <v>0</v>
      </c>
      <c r="AF29" s="35">
        <f t="shared" ca="1" si="38"/>
        <v>772.49628258035216</v>
      </c>
      <c r="AG29" s="73"/>
      <c r="AH29" s="35">
        <f t="shared" ca="1" si="39"/>
        <v>5942.2790967719402</v>
      </c>
      <c r="AI29" s="35"/>
      <c r="AJ29" s="35">
        <f t="shared" ca="1" si="40"/>
        <v>1782.6837290315821</v>
      </c>
      <c r="AK29" s="73"/>
      <c r="AL29" s="35">
        <f t="shared" ca="1" si="41"/>
        <v>7724.9628258035227</v>
      </c>
      <c r="AM29" s="73"/>
      <c r="AN29" s="33">
        <v>1.8</v>
      </c>
      <c r="AO29" s="33" t="e">
        <f>Нормы!#REF!</f>
        <v>#REF!</v>
      </c>
      <c r="AP29" s="79" t="e">
        <f t="shared" si="42"/>
        <v>#REF!</v>
      </c>
      <c r="AQ29" s="33" t="s">
        <v>153</v>
      </c>
      <c r="AR29" s="83" t="e">
        <f>'Исходные данные'!#REF!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85</v>
      </c>
      <c r="C30" s="29">
        <v>1.0204081632653061</v>
      </c>
      <c r="D30" s="30" t="s">
        <v>105</v>
      </c>
      <c r="E30" s="31" t="s">
        <v>200</v>
      </c>
      <c r="F30" s="28" t="s">
        <v>106</v>
      </c>
      <c r="G30" s="146"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данные'!$C$14:H30,Q30,'Исходные данные'!$C$18:$H$18),IF(O30=0,0,IF(Q30=0,"РОТ")))</f>
        <v>128.66557526609228</v>
      </c>
      <c r="S30" s="34"/>
      <c r="T30" s="33"/>
      <c r="U30" s="130">
        <f ca="1">O30*R30*'Исходные данные'!$C$40%</f>
        <v>0</v>
      </c>
      <c r="V30" s="130">
        <f>P30*T30*'Исходные данные'!$C$41%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2.8</v>
      </c>
      <c r="AD30" s="130">
        <f t="shared" ca="1" si="36"/>
        <v>29541.616081094784</v>
      </c>
      <c r="AE30" s="130">
        <f t="shared" si="37"/>
        <v>0</v>
      </c>
      <c r="AF30" s="35">
        <f t="shared" ca="1" si="38"/>
        <v>4414.2644718877254</v>
      </c>
      <c r="AG30" s="73"/>
      <c r="AH30" s="35">
        <f t="shared" ca="1" si="39"/>
        <v>33955.880552982511</v>
      </c>
      <c r="AI30" s="35"/>
      <c r="AJ30" s="35">
        <f t="shared" ca="1" si="40"/>
        <v>10186.764165894752</v>
      </c>
      <c r="AK30" s="73"/>
      <c r="AL30" s="35">
        <f t="shared" ca="1" si="41"/>
        <v>44142.644718877265</v>
      </c>
      <c r="AM30" s="73"/>
      <c r="AN30" s="32">
        <v>2.8</v>
      </c>
      <c r="AO30" s="33" t="e">
        <f>Нормы!#REF!</f>
        <v>#REF!</v>
      </c>
      <c r="AP30" s="79" t="e">
        <f t="shared" si="42"/>
        <v>#REF!</v>
      </c>
      <c r="AQ30" s="33" t="s">
        <v>153</v>
      </c>
      <c r="AR30" s="83" t="e">
        <f>'Исходные данные'!#REF!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88</v>
      </c>
      <c r="C31" s="29">
        <v>1.25</v>
      </c>
      <c r="D31" s="30" t="s">
        <v>105</v>
      </c>
      <c r="E31" s="31" t="s">
        <v>205</v>
      </c>
      <c r="F31" s="28" t="s">
        <v>106</v>
      </c>
      <c r="G31" s="146"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данные'!$C$14:H31,Q31,'Исходные данные'!$C$18:$H$18),IF(O31=0,0,IF(Q31=0,"РОТ")))</f>
        <v>179.78980233147493</v>
      </c>
      <c r="S31" s="34"/>
      <c r="T31" s="33"/>
      <c r="U31" s="130">
        <f ca="1">O31*R31*'Исходные данные'!$C$40%</f>
        <v>0</v>
      </c>
      <c r="V31" s="130">
        <f>P31*T31*'Исходные данные'!$C$41%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2.8</v>
      </c>
      <c r="AD31" s="130">
        <f t="shared" ca="1" si="36"/>
        <v>36119.771288393313</v>
      </c>
      <c r="AE31" s="130">
        <f t="shared" si="37"/>
        <v>0</v>
      </c>
      <c r="AF31" s="35">
        <f t="shared" ca="1" si="38"/>
        <v>5397.2072040127932</v>
      </c>
      <c r="AG31" s="73"/>
      <c r="AH31" s="35">
        <f t="shared" ca="1" si="39"/>
        <v>41516.97849240611</v>
      </c>
      <c r="AI31" s="35"/>
      <c r="AJ31" s="35">
        <f t="shared" ca="1" si="40"/>
        <v>12455.093547721832</v>
      </c>
      <c r="AK31" s="73"/>
      <c r="AL31" s="35">
        <f t="shared" ca="1" si="41"/>
        <v>53972.07204012794</v>
      </c>
      <c r="AM31" s="73"/>
      <c r="AN31" s="32">
        <v>3.6</v>
      </c>
      <c r="AO31" s="33" t="e">
        <f>Нормы!#REF!</f>
        <v>#REF!</v>
      </c>
      <c r="AP31" s="79" t="e">
        <f t="shared" si="42"/>
        <v>#REF!</v>
      </c>
      <c r="AQ31" s="33" t="s">
        <v>153</v>
      </c>
      <c r="AR31" s="83" t="e">
        <f>'Исходные данные'!#REF!</f>
        <v>#REF!</v>
      </c>
      <c r="AS31" s="36" t="e">
        <f t="shared" si="43"/>
        <v>#REF!</v>
      </c>
      <c r="AT31" s="153">
        <f>(1000/215*120)/2000</f>
        <v>0.27906976744186052</v>
      </c>
      <c r="AU31" s="79">
        <f>AT31*G31*D8</f>
        <v>284.1586867305063</v>
      </c>
      <c r="AV31" s="36">
        <f>5*200</f>
        <v>1000</v>
      </c>
      <c r="AW31" s="36">
        <f>AU31*AV31</f>
        <v>284158.68673050631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89</v>
      </c>
      <c r="C32" s="29">
        <v>4.6849379245724992E-2</v>
      </c>
      <c r="D32" s="30" t="s">
        <v>105</v>
      </c>
      <c r="E32" s="31" t="s">
        <v>204</v>
      </c>
      <c r="F32" s="28" t="s">
        <v>106</v>
      </c>
      <c r="G32" s="146"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данные'!$C$14:H32,Q32,'Исходные данные'!$C$18:$H$18),IF(O32=0,0,IF(Q32=0,"РОТ")))</f>
        <v>128.66557526609228</v>
      </c>
      <c r="S32" s="34"/>
      <c r="T32" s="33"/>
      <c r="U32" s="130">
        <f ca="1">O32*R32*'Исходные данные'!$C$40%</f>
        <v>0</v>
      </c>
      <c r="V32" s="130">
        <f>P32*T32*'Исходные данные'!$C$41%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2.8</v>
      </c>
      <c r="AD32" s="130">
        <f t="shared" ca="1" si="36"/>
        <v>581.28267763222334</v>
      </c>
      <c r="AE32" s="130">
        <f t="shared" si="37"/>
        <v>0</v>
      </c>
      <c r="AF32" s="35">
        <f t="shared" ca="1" si="38"/>
        <v>86.858331140447163</v>
      </c>
      <c r="AG32" s="73"/>
      <c r="AH32" s="35">
        <f t="shared" ca="1" si="39"/>
        <v>668.14100877267049</v>
      </c>
      <c r="AI32" s="35"/>
      <c r="AJ32" s="35">
        <f t="shared" ca="1" si="40"/>
        <v>200.44230263180114</v>
      </c>
      <c r="AK32" s="73"/>
      <c r="AL32" s="35">
        <f t="shared" ca="1" si="41"/>
        <v>868.5833114044716</v>
      </c>
      <c r="AM32" s="73"/>
      <c r="AN32" s="32">
        <v>0.3</v>
      </c>
      <c r="AO32" s="33" t="e">
        <f>Нормы!#REF!</f>
        <v>#REF!</v>
      </c>
      <c r="AP32" s="79" t="e">
        <f t="shared" si="42"/>
        <v>#REF!</v>
      </c>
      <c r="AQ32" s="33" t="s">
        <v>153</v>
      </c>
      <c r="AR32" s="83" t="e">
        <f>'Исходные данные'!#REF!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90</v>
      </c>
      <c r="C33" s="29">
        <v>1.6508350251050572</v>
      </c>
      <c r="D33" s="30" t="s">
        <v>105</v>
      </c>
      <c r="E33" s="31" t="s">
        <v>206</v>
      </c>
      <c r="F33" s="28" t="s">
        <v>109</v>
      </c>
      <c r="G33" s="146">
        <v>116.23529411764707</v>
      </c>
      <c r="H33" s="81">
        <v>40387</v>
      </c>
      <c r="I33" s="81">
        <v>40389</v>
      </c>
      <c r="J33" s="83">
        <f t="shared" si="26"/>
        <v>2.4762525376575857</v>
      </c>
      <c r="K33" s="32">
        <v>23.47</v>
      </c>
      <c r="L33" s="33">
        <f t="shared" si="27"/>
        <v>4.9525050753151714</v>
      </c>
      <c r="M33" s="34">
        <v>2</v>
      </c>
      <c r="N33" s="34"/>
      <c r="O33" s="35">
        <f t="shared" si="28"/>
        <v>34.667535527206198</v>
      </c>
      <c r="P33" s="35">
        <f t="shared" si="29"/>
        <v>0</v>
      </c>
      <c r="Q33" s="140">
        <v>3</v>
      </c>
      <c r="R33" s="83">
        <f ca="1">IF(AND(O33&gt;0,Q33&gt;0),SUMIF('Исходные данные'!$C$14:H33,Q33,'Исходные данные'!$C$18:$H$18),IF(O33=0,0,IF(Q33=0,"РОТ")))</f>
        <v>138.29984794728838</v>
      </c>
      <c r="S33" s="34"/>
      <c r="T33" s="33"/>
      <c r="U33" s="130">
        <f ca="1">O33*R33*'Исходные данные'!$C$40%</f>
        <v>0</v>
      </c>
      <c r="V33" s="130">
        <f>P33*T33*'Исходные данные'!$C$41%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2.8</v>
      </c>
      <c r="AD33" s="130">
        <f t="shared" ca="1" si="36"/>
        <v>22016.412384614283</v>
      </c>
      <c r="AE33" s="130">
        <f t="shared" si="37"/>
        <v>0</v>
      </c>
      <c r="AF33" s="35">
        <f t="shared" ca="1" si="38"/>
        <v>3289.808747126272</v>
      </c>
      <c r="AG33" s="73"/>
      <c r="AH33" s="35">
        <f t="shared" ca="1" si="39"/>
        <v>25306.221131740556</v>
      </c>
      <c r="AI33" s="35"/>
      <c r="AJ33" s="35">
        <f t="shared" ca="1" si="40"/>
        <v>7591.8663395221665</v>
      </c>
      <c r="AK33" s="73"/>
      <c r="AL33" s="35">
        <f t="shared" ca="1" si="41"/>
        <v>32898.087471262726</v>
      </c>
      <c r="AM33" s="73"/>
      <c r="AN33" s="32">
        <v>1.4</v>
      </c>
      <c r="AO33" s="33" t="e">
        <f>Нормы!#REF!</f>
        <v>#REF!</v>
      </c>
      <c r="AP33" s="79" t="e">
        <f t="shared" si="42"/>
        <v>#REF!</v>
      </c>
      <c r="AQ33" s="33" t="s">
        <v>153</v>
      </c>
      <c r="AR33" s="83" t="e">
        <f>'Исходные данные'!#REF!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91</v>
      </c>
      <c r="C34" s="29">
        <v>0.96862745098039227</v>
      </c>
      <c r="D34" s="30" t="s">
        <v>105</v>
      </c>
      <c r="E34" s="31" t="s">
        <v>115</v>
      </c>
      <c r="F34" s="28" t="s">
        <v>109</v>
      </c>
      <c r="G34" s="146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данные'!$C$14:H34,Q34,'Исходные данные'!$C$18:$H$18),IF(O34=0,0,IF(Q34=0,"РОТ")))</f>
        <v>156.08125696908263</v>
      </c>
      <c r="S34" s="34">
        <v>4</v>
      </c>
      <c r="T34" s="83">
        <f ca="1">IF(AND(N34&gt;0,P34&gt;0),SUMIF('Исходные данные'!$C$14:$J$30,S34,'Исходные данные'!$C$34:$J$42),IF(N34=0,0,IF(S34=0,"РОТ")))</f>
        <v>123.48200709579322</v>
      </c>
      <c r="U34" s="130">
        <f ca="1">O34*R34*'Исходные данные'!$C$40%</f>
        <v>0</v>
      </c>
      <c r="V34" s="130">
        <f ca="1">P34*T34*'Исходные данные'!$C$41%</f>
        <v>1758.238508094571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439.5596270236428</v>
      </c>
      <c r="AA34" s="130">
        <f t="shared" ca="1" si="34"/>
        <v>634.97527835186804</v>
      </c>
      <c r="AB34" s="131">
        <f t="shared" ca="1" si="35"/>
        <v>678.17771026504897</v>
      </c>
      <c r="AC34" s="129">
        <v>2.8</v>
      </c>
      <c r="AD34" s="130">
        <f t="shared" ca="1" si="36"/>
        <v>29158.064781917783</v>
      </c>
      <c r="AE34" s="130">
        <f t="shared" ca="1" si="37"/>
        <v>27745.003657732326</v>
      </c>
      <c r="AF34" s="35">
        <f t="shared" ca="1" si="38"/>
        <v>4356.9522087923124</v>
      </c>
      <c r="AG34" s="73">
        <f ca="1">AE34*$AF$15</f>
        <v>4145.805144258853</v>
      </c>
      <c r="AH34" s="35">
        <f t="shared" ca="1" si="39"/>
        <v>33515.016990710094</v>
      </c>
      <c r="AI34" s="35">
        <f ca="1">AE34+AG34</f>
        <v>31890.808801991181</v>
      </c>
      <c r="AJ34" s="35">
        <f t="shared" ca="1" si="40"/>
        <v>10054.505097213028</v>
      </c>
      <c r="AK34" s="73">
        <f ca="1">AI34*$AJ$15</f>
        <v>9567.2426405973547</v>
      </c>
      <c r="AL34" s="35">
        <f t="shared" ca="1" si="41"/>
        <v>43569.52208792312</v>
      </c>
      <c r="AM34" s="73">
        <f ca="1">AK34+AI34</f>
        <v>41458.051442588534</v>
      </c>
      <c r="AN34" s="32">
        <v>0.8</v>
      </c>
      <c r="AO34" s="33" t="e">
        <f>Нормы!#REF!</f>
        <v>#REF!</v>
      </c>
      <c r="AP34" s="79" t="e">
        <f t="shared" si="42"/>
        <v>#REF!</v>
      </c>
      <c r="AQ34" s="33" t="s">
        <v>153</v>
      </c>
      <c r="AR34" s="83" t="e">
        <f>'Исходные данные'!#REF!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92</v>
      </c>
      <c r="C35" s="29">
        <v>0.98839535814325741</v>
      </c>
      <c r="D35" s="30" t="s">
        <v>105</v>
      </c>
      <c r="E35" s="31" t="s">
        <v>207</v>
      </c>
      <c r="F35" s="28" t="s">
        <v>109</v>
      </c>
      <c r="G35" s="146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данные'!$C$14:H34,Q35,'Исходные данные'!$C$18:$H$18),IF(O35=0,0,IF(Q35=0,"РОТ")))</f>
        <v>156.08125696908263</v>
      </c>
      <c r="S35" s="34">
        <v>4</v>
      </c>
      <c r="T35" s="83">
        <f ca="1">IF(AND(N35&gt;0,P35&gt;0),SUMIF('Исходные данные'!$C$14:$J$30,S35,'Исходные данные'!$C$34:$J$42),IF(N35=0,0,IF(S35=0,"РОТ")))</f>
        <v>123.48200709579322</v>
      </c>
      <c r="U35" s="130">
        <f ca="1">O35*R35*'Исходные данные'!$C$40%</f>
        <v>0</v>
      </c>
      <c r="V35" s="130">
        <f ca="1">P35*T35*'Исходные данные'!$C$41%</f>
        <v>1794.120926627113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448.53023165677826</v>
      </c>
      <c r="AA35" s="130">
        <f t="shared" ca="1" si="34"/>
        <v>647.93395750190621</v>
      </c>
      <c r="AB35" s="131">
        <f t="shared" ca="1" si="35"/>
        <v>692.01807169902941</v>
      </c>
      <c r="AC35" s="129">
        <v>2.8</v>
      </c>
      <c r="AD35" s="130">
        <f t="shared" ca="1" si="36"/>
        <v>29753.127328487528</v>
      </c>
      <c r="AE35" s="130">
        <f t="shared" ca="1" si="37"/>
        <v>28311.22822217584</v>
      </c>
      <c r="AF35" s="35">
        <f t="shared" ca="1" si="38"/>
        <v>4445.8696008084808</v>
      </c>
      <c r="AG35" s="73">
        <f ca="1">AE35*$AF$15</f>
        <v>4230.4134125090332</v>
      </c>
      <c r="AH35" s="35">
        <f t="shared" ca="1" si="39"/>
        <v>34198.996929296009</v>
      </c>
      <c r="AI35" s="35">
        <f ca="1">AE35+AG35</f>
        <v>32541.641634684871</v>
      </c>
      <c r="AJ35" s="35">
        <f t="shared" ca="1" si="40"/>
        <v>10259.699078788803</v>
      </c>
      <c r="AK35" s="73">
        <f ca="1">AI35*$AJ$15</f>
        <v>9762.4924904054606</v>
      </c>
      <c r="AL35" s="35">
        <f t="shared" ca="1" si="41"/>
        <v>44458.696008084808</v>
      </c>
      <c r="AM35" s="73">
        <f ca="1">AK35+AI35</f>
        <v>42304.134125090335</v>
      </c>
      <c r="AN35" s="32">
        <v>2.5</v>
      </c>
      <c r="AO35" s="33" t="e">
        <f>Нормы!#REF!</f>
        <v>#REF!</v>
      </c>
      <c r="AP35" s="79" t="e">
        <f t="shared" si="42"/>
        <v>#REF!</v>
      </c>
      <c r="AQ35" s="33" t="s">
        <v>153</v>
      </c>
      <c r="AR35" s="83" t="e">
        <f>'Исходные данные'!#REF!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21</v>
      </c>
      <c r="C36" s="53"/>
      <c r="D36" s="53"/>
      <c r="E36" s="53"/>
      <c r="F36" s="55"/>
      <c r="G36" s="148"/>
      <c r="H36" s="56"/>
      <c r="I36" s="56"/>
      <c r="J36" s="65">
        <f>SUM(J28:J35)</f>
        <v>34.55735022854936</v>
      </c>
      <c r="K36" s="65"/>
      <c r="L36" s="65">
        <f>SUM(L28:L35)</f>
        <v>48.144713877318054</v>
      </c>
      <c r="M36" s="65">
        <f t="shared" ref="M36:BM36" si="54">SUM(M28:M35)</f>
        <v>11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3552.359434721684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888.089858680421</v>
      </c>
      <c r="AA36" s="65">
        <f t="shared" ca="1" si="54"/>
        <v>5138.457957823055</v>
      </c>
      <c r="AB36" s="65">
        <f t="shared" ca="1" si="54"/>
        <v>1370.1957819640784</v>
      </c>
      <c r="AC36" s="65"/>
      <c r="AD36" s="65">
        <f t="shared" ca="1" si="54"/>
        <v>235957.98942323471</v>
      </c>
      <c r="AE36" s="65">
        <f t="shared" ca="1" si="54"/>
        <v>56056.23187990817</v>
      </c>
      <c r="AF36" s="65">
        <f t="shared" ca="1" si="54"/>
        <v>35258.090373586791</v>
      </c>
      <c r="AG36" s="65">
        <f t="shared" ca="1" si="54"/>
        <v>8376.2185567678862</v>
      </c>
      <c r="AH36" s="65">
        <f t="shared" ca="1" si="54"/>
        <v>271216.07979682146</v>
      </c>
      <c r="AI36" s="65">
        <f t="shared" ca="1" si="54"/>
        <v>64432.450436676052</v>
      </c>
      <c r="AJ36" s="65">
        <f t="shared" ca="1" si="54"/>
        <v>81364.823939046444</v>
      </c>
      <c r="AK36" s="65">
        <f t="shared" ca="1" si="54"/>
        <v>19329.735131002817</v>
      </c>
      <c r="AL36" s="65">
        <f t="shared" ca="1" si="54"/>
        <v>352580.90373586793</v>
      </c>
      <c r="AM36" s="65">
        <f t="shared" ca="1" si="54"/>
        <v>83762.185567678869</v>
      </c>
      <c r="AN36" s="65"/>
      <c r="AO36" s="65"/>
      <c r="AP36" s="65" t="e">
        <f t="shared" si="54"/>
        <v>#REF!</v>
      </c>
      <c r="AQ36" s="65"/>
      <c r="AR36" s="65"/>
      <c r="AS36" s="65" t="e">
        <f t="shared" si="54"/>
        <v>#REF!</v>
      </c>
      <c r="AT36" s="65"/>
      <c r="AU36" s="65">
        <f>SUM(AU28:AU35)</f>
        <v>284.1586867305063</v>
      </c>
      <c r="AV36" s="65"/>
      <c r="AW36" s="65">
        <f>SUM(AW28:AW35)</f>
        <v>284158.68673050631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x14ac:dyDescent="0.2">
      <c r="A37" s="21"/>
      <c r="B37" s="522" t="s">
        <v>97</v>
      </c>
      <c r="C37" s="522"/>
      <c r="D37" s="522"/>
      <c r="E37" s="522"/>
      <c r="F37" s="22"/>
      <c r="G37" s="149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76</v>
      </c>
      <c r="C38" s="29">
        <v>4.166666666666667</v>
      </c>
      <c r="D38" s="30" t="s">
        <v>105</v>
      </c>
      <c r="E38" s="31" t="s">
        <v>199</v>
      </c>
      <c r="F38" s="28" t="s">
        <v>106</v>
      </c>
      <c r="G38" s="146">
        <v>100</v>
      </c>
      <c r="H38" s="81">
        <v>40374</v>
      </c>
      <c r="I38" s="81">
        <v>40377</v>
      </c>
      <c r="J38" s="83">
        <v>4</v>
      </c>
      <c r="K38" s="32">
        <v>6</v>
      </c>
      <c r="L38" s="33">
        <f t="shared" ref="L38:L45" si="55">G38/K38</f>
        <v>16.666666666666668</v>
      </c>
      <c r="M38" s="30">
        <v>4</v>
      </c>
      <c r="N38" s="30"/>
      <c r="O38" s="35">
        <f>IF(M38=0,0,L38*$O$15)</f>
        <v>116.66666666666667</v>
      </c>
      <c r="P38" s="35">
        <f t="shared" ref="P38:P45" si="56">IF(N38=0,0,L38*$O$15)</f>
        <v>0</v>
      </c>
      <c r="Q38" s="85">
        <v>4</v>
      </c>
      <c r="R38" s="83">
        <f ca="1">IF(AND(O38&gt;0,Q38&gt;0),SUMIF('Исходные данные'!$C$14:H36,Q38,'Исходные данные'!$C$18:$H$18),IF(O38=0,0,IF(Q38=0,"РОТ")))</f>
        <v>156.08125696908263</v>
      </c>
      <c r="S38" s="85"/>
      <c r="T38" s="30"/>
      <c r="U38" s="130">
        <f ca="1">O38*R38*'Исходные данные'!$C$40%</f>
        <v>0</v>
      </c>
      <c r="V38" s="130">
        <f>P38*T38*'Исходные данные'!$C$41%</f>
        <v>0</v>
      </c>
      <c r="W38" s="130">
        <f t="shared" ref="W38:W45" ca="1" si="57">O38*R38*$W$15</f>
        <v>7283.7919918905236</v>
      </c>
      <c r="X38" s="131">
        <f t="shared" ref="X38:X45" si="58">P38*T38*$W$15</f>
        <v>0</v>
      </c>
      <c r="Y38" s="130">
        <f t="shared" ref="Y38:Y45" ca="1" si="59">(O38*R38+U38+W38)*$Y$15</f>
        <v>2549.3271971616832</v>
      </c>
      <c r="Z38" s="131">
        <f t="shared" ref="Z38:Z45" si="60">(P38*T38+V38+X38)*$Z$15</f>
        <v>0</v>
      </c>
      <c r="AA38" s="130">
        <f t="shared" ref="AA38:AA45" ca="1" si="61">(O38*R38+U38)*$AA$15</f>
        <v>1820.9479979726309</v>
      </c>
      <c r="AB38" s="131">
        <f t="shared" ref="AB38:AB45" si="62">(P38*T38+V38)*$AA$15</f>
        <v>0</v>
      </c>
      <c r="AC38" s="129">
        <v>2.8</v>
      </c>
      <c r="AD38" s="130">
        <f t="shared" ref="AD38:AD45" ca="1" si="63">(O38*R38+U38+W38+Y38+AA38)*AC38</f>
        <v>83617.932066903202</v>
      </c>
      <c r="AE38" s="130">
        <f t="shared" ref="AE38:AE45" si="64">(P38*T38+V38+X38+Z38+AB38)*AC38</f>
        <v>0</v>
      </c>
      <c r="AF38" s="35">
        <f t="shared" ref="AF38:AF45" ca="1" si="65">AD38*$AF$15</f>
        <v>12494.633527238408</v>
      </c>
      <c r="AG38" s="73">
        <f t="shared" ref="AG38:AG45" ca="1" si="66">AE38*$AF$15</f>
        <v>0</v>
      </c>
      <c r="AH38" s="35">
        <f t="shared" ref="AH38:AH45" ca="1" si="67">AD38+AF38</f>
        <v>96112.565594141604</v>
      </c>
      <c r="AI38" s="35">
        <f t="shared" ref="AI38:AI45" ca="1" si="68">AE38+AG38</f>
        <v>0</v>
      </c>
      <c r="AJ38" s="35">
        <f t="shared" ref="AJ38:AJ45" ca="1" si="69">AH38*$AJ$15</f>
        <v>28833.769678242479</v>
      </c>
      <c r="AK38" s="73">
        <f t="shared" ref="AK38:AK45" ca="1" si="70">AI38*$AJ$15</f>
        <v>0</v>
      </c>
      <c r="AL38" s="35">
        <f t="shared" ref="AL38:AL45" ca="1" si="71">AH38+AJ38</f>
        <v>124946.33527238408</v>
      </c>
      <c r="AM38" s="73">
        <f t="shared" ref="AM38:AM45" ca="1" si="72">AK38+AI38</f>
        <v>0</v>
      </c>
      <c r="AN38" s="32">
        <v>6.5</v>
      </c>
      <c r="AO38" s="33" t="e">
        <f>Нормы!#REF!</f>
        <v>#REF!</v>
      </c>
      <c r="AP38" s="79" t="e">
        <f>(G38*AN38)*AO38/100</f>
        <v>#REF!</v>
      </c>
      <c r="AQ38" s="33" t="s">
        <v>153</v>
      </c>
      <c r="AR38" s="83" t="e">
        <f>'Исходные данные'!#REF!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3">AL38+AM38+AS38+AY38+BA38+BC38+BE38+BG38+BH38+AW38</f>
        <v>#REF!</v>
      </c>
      <c r="BJ38" s="36" t="e">
        <f t="shared" ref="BJ38:BJ45" ca="1" si="74">BI38/$D$5</f>
        <v>#REF!</v>
      </c>
      <c r="BK38" s="38">
        <f t="shared" ref="BK38:BK45" si="75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84</v>
      </c>
      <c r="C39" s="29">
        <v>0.41666666666666669</v>
      </c>
      <c r="D39" s="30" t="s">
        <v>105</v>
      </c>
      <c r="E39" s="31" t="s">
        <v>200</v>
      </c>
      <c r="F39" s="28" t="s">
        <v>106</v>
      </c>
      <c r="G39" s="146">
        <v>20</v>
      </c>
      <c r="H39" s="81">
        <v>40376</v>
      </c>
      <c r="I39" s="81">
        <v>40378</v>
      </c>
      <c r="J39" s="83">
        <v>3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ref="O39:O45" si="76">IF(M39=0,0,L39*$O$15)</f>
        <v>8.75</v>
      </c>
      <c r="P39" s="35">
        <f t="shared" si="56"/>
        <v>0</v>
      </c>
      <c r="Q39" s="85">
        <v>2</v>
      </c>
      <c r="R39" s="83">
        <f ca="1">IF(AND(O39&gt;0,Q39&gt;0),SUMIF('Исходные данные'!$C$14:H37,Q39,'Исходные данные'!$C$18:$H$18),IF(O39=0,0,IF(Q39=0,"РОТ")))</f>
        <v>128.66557526609228</v>
      </c>
      <c r="S39" s="85"/>
      <c r="T39" s="30"/>
      <c r="U39" s="130">
        <f ca="1">O39*R39*'Исходные данные'!$C$40%</f>
        <v>0</v>
      </c>
      <c r="V39" s="130">
        <f>P39*T39*'Исходные данные'!$C$41%</f>
        <v>0</v>
      </c>
      <c r="W39" s="130">
        <f t="shared" ca="1" si="57"/>
        <v>450.32951343132299</v>
      </c>
      <c r="X39" s="131">
        <f t="shared" si="58"/>
        <v>0</v>
      </c>
      <c r="Y39" s="130">
        <f t="shared" ca="1" si="59"/>
        <v>157.61532970096306</v>
      </c>
      <c r="Z39" s="131">
        <f t="shared" si="60"/>
        <v>0</v>
      </c>
      <c r="AA39" s="130">
        <f t="shared" ca="1" si="61"/>
        <v>112.58237835783075</v>
      </c>
      <c r="AB39" s="131">
        <f t="shared" si="62"/>
        <v>0</v>
      </c>
      <c r="AC39" s="129">
        <v>2.8</v>
      </c>
      <c r="AD39" s="130">
        <f t="shared" ca="1" si="63"/>
        <v>5169.7828141915879</v>
      </c>
      <c r="AE39" s="130">
        <f t="shared" si="64"/>
        <v>0</v>
      </c>
      <c r="AF39" s="35">
        <f t="shared" ca="1" si="65"/>
        <v>772.49628258035216</v>
      </c>
      <c r="AG39" s="73">
        <f t="shared" ca="1" si="66"/>
        <v>0</v>
      </c>
      <c r="AH39" s="35">
        <f t="shared" ca="1" si="67"/>
        <v>5942.2790967719402</v>
      </c>
      <c r="AI39" s="35">
        <f t="shared" ca="1" si="68"/>
        <v>0</v>
      </c>
      <c r="AJ39" s="35">
        <f t="shared" ca="1" si="69"/>
        <v>1782.6837290315821</v>
      </c>
      <c r="AK39" s="73">
        <f t="shared" ca="1" si="70"/>
        <v>0</v>
      </c>
      <c r="AL39" s="35">
        <f t="shared" ca="1" si="71"/>
        <v>7724.9628258035227</v>
      </c>
      <c r="AM39" s="73">
        <f t="shared" ca="1" si="72"/>
        <v>0</v>
      </c>
      <c r="AN39" s="33">
        <v>1.8</v>
      </c>
      <c r="AO39" s="33" t="e">
        <f>Нормы!#REF!</f>
        <v>#REF!</v>
      </c>
      <c r="AP39" s="79" t="e">
        <f>(G39*AN39)*AO39/100</f>
        <v>#REF!</v>
      </c>
      <c r="AQ39" s="33" t="s">
        <v>153</v>
      </c>
      <c r="AR39" s="83" t="e">
        <f>'Исходные данные'!#REF!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3"/>
        <v>#REF!</v>
      </c>
      <c r="BJ39" s="36" t="e">
        <f t="shared" ca="1" si="74"/>
        <v>#REF!</v>
      </c>
      <c r="BK39" s="38">
        <f t="shared" si="75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85</v>
      </c>
      <c r="C40" s="29">
        <v>2.3809523809523809</v>
      </c>
      <c r="D40" s="30" t="s">
        <v>105</v>
      </c>
      <c r="E40" s="31" t="s">
        <v>200</v>
      </c>
      <c r="F40" s="28" t="s">
        <v>106</v>
      </c>
      <c r="G40" s="146">
        <v>100</v>
      </c>
      <c r="H40" s="81">
        <v>40377</v>
      </c>
      <c r="I40" s="81">
        <v>40379</v>
      </c>
      <c r="J40" s="83">
        <v>3</v>
      </c>
      <c r="K40" s="32">
        <v>14</v>
      </c>
      <c r="L40" s="33">
        <f t="shared" si="55"/>
        <v>7.1428571428571432</v>
      </c>
      <c r="M40" s="30">
        <v>3</v>
      </c>
      <c r="N40" s="30"/>
      <c r="O40" s="35">
        <f t="shared" si="76"/>
        <v>50</v>
      </c>
      <c r="P40" s="35">
        <f t="shared" si="56"/>
        <v>0</v>
      </c>
      <c r="Q40" s="85">
        <v>2</v>
      </c>
      <c r="R40" s="83">
        <f ca="1">IF(AND(O40&gt;0,Q40&gt;0),SUMIF('Исходные данные'!$C$14:H38,Q40,'Исходные данные'!$C$18:$H$18),IF(O40=0,0,IF(Q40=0,"РОТ")))</f>
        <v>128.66557526609228</v>
      </c>
      <c r="S40" s="85"/>
      <c r="T40" s="30"/>
      <c r="U40" s="130">
        <f ca="1">O40*R40*'Исходные данные'!$C$40%</f>
        <v>0</v>
      </c>
      <c r="V40" s="130">
        <f>P40*T40*'Исходные данные'!$C$41%</f>
        <v>0</v>
      </c>
      <c r="W40" s="130">
        <f t="shared" ca="1" si="57"/>
        <v>2573.3115053218457</v>
      </c>
      <c r="X40" s="131">
        <f t="shared" si="58"/>
        <v>0</v>
      </c>
      <c r="Y40" s="130">
        <f t="shared" ca="1" si="59"/>
        <v>900.65902686264599</v>
      </c>
      <c r="Z40" s="131">
        <f t="shared" si="60"/>
        <v>0</v>
      </c>
      <c r="AA40" s="130">
        <f t="shared" ca="1" si="61"/>
        <v>643.32787633046144</v>
      </c>
      <c r="AB40" s="131">
        <f t="shared" si="62"/>
        <v>0</v>
      </c>
      <c r="AC40" s="129">
        <v>2.8</v>
      </c>
      <c r="AD40" s="130">
        <f t="shared" ca="1" si="63"/>
        <v>29541.616081094784</v>
      </c>
      <c r="AE40" s="130">
        <f t="shared" si="64"/>
        <v>0</v>
      </c>
      <c r="AF40" s="35">
        <f t="shared" ca="1" si="65"/>
        <v>4414.2644718877254</v>
      </c>
      <c r="AG40" s="73">
        <f t="shared" ca="1" si="66"/>
        <v>0</v>
      </c>
      <c r="AH40" s="35">
        <f t="shared" ca="1" si="67"/>
        <v>33955.880552982511</v>
      </c>
      <c r="AI40" s="35">
        <f t="shared" ca="1" si="68"/>
        <v>0</v>
      </c>
      <c r="AJ40" s="35">
        <f t="shared" ca="1" si="69"/>
        <v>10186.764165894752</v>
      </c>
      <c r="AK40" s="73">
        <f t="shared" ca="1" si="70"/>
        <v>0</v>
      </c>
      <c r="AL40" s="35">
        <f t="shared" ca="1" si="71"/>
        <v>44142.644718877265</v>
      </c>
      <c r="AM40" s="73">
        <f t="shared" ca="1" si="72"/>
        <v>0</v>
      </c>
      <c r="AN40" s="32">
        <v>2.8</v>
      </c>
      <c r="AO40" s="33" t="e">
        <f>Нормы!#REF!</f>
        <v>#REF!</v>
      </c>
      <c r="AP40" s="79" t="e">
        <f>(G40*AN40)*AO40/100</f>
        <v>#REF!</v>
      </c>
      <c r="AQ40" s="33" t="s">
        <v>153</v>
      </c>
      <c r="AR40" s="83" t="e">
        <f>'Исходные данные'!#REF!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3"/>
        <v>#REF!</v>
      </c>
      <c r="BJ40" s="36" t="e">
        <f t="shared" ca="1" si="74"/>
        <v>#REF!</v>
      </c>
      <c r="BK40" s="38">
        <f t="shared" si="75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93</v>
      </c>
      <c r="C41" s="146">
        <v>5</v>
      </c>
      <c r="D41" s="30" t="s">
        <v>118</v>
      </c>
      <c r="E41" s="31" t="s">
        <v>203</v>
      </c>
      <c r="F41" s="28" t="s">
        <v>106</v>
      </c>
      <c r="G41" s="146"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76"/>
        <v>0</v>
      </c>
      <c r="P41" s="35">
        <f t="shared" si="56"/>
        <v>583.33333333333337</v>
      </c>
      <c r="Q41" s="85"/>
      <c r="R41" s="30"/>
      <c r="S41" s="85">
        <v>2</v>
      </c>
      <c r="T41" s="83">
        <f ca="1">IF(AND(N41&gt;0,P41&gt;0),SUMIF('Исходные данные'!$C$14:$J$30,S41,'Исходные данные'!$C$34:$J$42),IF(N41=0,0,IF(S41=0,"РОТ")))</f>
        <v>105.700598073999</v>
      </c>
      <c r="U41" s="130">
        <f>O41*R41*'Исходные данные'!$C$40%</f>
        <v>0</v>
      </c>
      <c r="V41" s="130">
        <f ca="1">P41*T41*'Исходные данные'!$C$41%</f>
        <v>21580.538773441462</v>
      </c>
      <c r="W41" s="130">
        <f t="shared" si="57"/>
        <v>0</v>
      </c>
      <c r="X41" s="131">
        <f t="shared" ca="1" si="58"/>
        <v>24663.472883933104</v>
      </c>
      <c r="Y41" s="130">
        <f t="shared" si="59"/>
        <v>0</v>
      </c>
      <c r="Z41" s="131">
        <f t="shared" ca="1" si="60"/>
        <v>5395.1346933603672</v>
      </c>
      <c r="AA41" s="130">
        <f t="shared" si="61"/>
        <v>0</v>
      </c>
      <c r="AB41" s="131">
        <f t="shared" ca="1" si="62"/>
        <v>8323.9220983274226</v>
      </c>
      <c r="AC41" s="129">
        <v>2.8</v>
      </c>
      <c r="AD41" s="130">
        <f t="shared" si="63"/>
        <v>0</v>
      </c>
      <c r="AE41" s="130">
        <f t="shared" ca="1" si="64"/>
        <v>340540.90184490633</v>
      </c>
      <c r="AF41" s="35">
        <f t="shared" ca="1" si="65"/>
        <v>0</v>
      </c>
      <c r="AG41" s="73">
        <f t="shared" ca="1" si="66"/>
        <v>50885.422114756111</v>
      </c>
      <c r="AH41" s="35">
        <f t="shared" ca="1" si="67"/>
        <v>0</v>
      </c>
      <c r="AI41" s="35">
        <f t="shared" ca="1" si="68"/>
        <v>391426.32395966246</v>
      </c>
      <c r="AJ41" s="35">
        <f t="shared" ca="1" si="69"/>
        <v>0</v>
      </c>
      <c r="AK41" s="73">
        <f t="shared" ca="1" si="70"/>
        <v>117427.89718789874</v>
      </c>
      <c r="AL41" s="35">
        <f t="shared" ca="1" si="71"/>
        <v>0</v>
      </c>
      <c r="AM41" s="73">
        <f t="shared" ca="1" si="72"/>
        <v>508854.22114756121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3"/>
        <v>508854.22114756121</v>
      </c>
      <c r="BJ41" s="36">
        <f t="shared" ca="1" si="74"/>
        <v>5088.542211475612</v>
      </c>
      <c r="BK41" s="38">
        <f t="shared" si="75"/>
        <v>5.8333333333333339</v>
      </c>
      <c r="BL41" s="36"/>
      <c r="BM41" s="36"/>
    </row>
    <row r="42" spans="1:65" x14ac:dyDescent="0.2">
      <c r="A42" s="19">
        <v>5</v>
      </c>
      <c r="B42" s="27" t="s">
        <v>94</v>
      </c>
      <c r="C42" s="146">
        <v>5</v>
      </c>
      <c r="D42" s="30" t="s">
        <v>118</v>
      </c>
      <c r="E42" s="31" t="s">
        <v>208</v>
      </c>
      <c r="F42" s="28" t="s">
        <v>106</v>
      </c>
      <c r="G42" s="146"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76"/>
        <v>0</v>
      </c>
      <c r="P42" s="35">
        <f t="shared" si="56"/>
        <v>56</v>
      </c>
      <c r="Q42" s="85"/>
      <c r="R42" s="30"/>
      <c r="S42" s="85">
        <v>2</v>
      </c>
      <c r="T42" s="83">
        <f ca="1">IF(AND(N42&gt;0,P42&gt;0),SUMIF('Исходные данные'!$C$14:$J$30,S42,'Исходные данные'!$C$34:$J$42),IF(N42=0,0,IF(S42=0,"РОТ")))</f>
        <v>105.700598073999</v>
      </c>
      <c r="U42" s="130">
        <f>O42*R42*'Исходные данные'!$C$40%</f>
        <v>0</v>
      </c>
      <c r="V42" s="130">
        <f ca="1">P42*T42*'Исходные данные'!$C$41%</f>
        <v>2071.7317222503802</v>
      </c>
      <c r="W42" s="130">
        <f t="shared" si="57"/>
        <v>0</v>
      </c>
      <c r="X42" s="131">
        <f t="shared" ca="1" si="58"/>
        <v>2367.6933968575777</v>
      </c>
      <c r="Y42" s="130">
        <f t="shared" si="59"/>
        <v>0</v>
      </c>
      <c r="Z42" s="131">
        <f t="shared" ca="1" si="60"/>
        <v>517.93293056259506</v>
      </c>
      <c r="AA42" s="130">
        <f t="shared" si="61"/>
        <v>0</v>
      </c>
      <c r="AB42" s="131">
        <f t="shared" ca="1" si="62"/>
        <v>799.09652143943242</v>
      </c>
      <c r="AC42" s="129">
        <v>2.8</v>
      </c>
      <c r="AD42" s="130">
        <f t="shared" si="63"/>
        <v>0</v>
      </c>
      <c r="AE42" s="130">
        <f t="shared" ca="1" si="64"/>
        <v>32691.926577110997</v>
      </c>
      <c r="AF42" s="35">
        <f t="shared" ca="1" si="65"/>
        <v>0</v>
      </c>
      <c r="AG42" s="73">
        <f t="shared" ca="1" si="66"/>
        <v>4885.0005230165852</v>
      </c>
      <c r="AH42" s="35">
        <f t="shared" ca="1" si="67"/>
        <v>0</v>
      </c>
      <c r="AI42" s="35">
        <f t="shared" ca="1" si="68"/>
        <v>37576.927100127585</v>
      </c>
      <c r="AJ42" s="35">
        <f t="shared" ca="1" si="69"/>
        <v>0</v>
      </c>
      <c r="AK42" s="73">
        <f t="shared" ca="1" si="70"/>
        <v>11273.078130038275</v>
      </c>
      <c r="AL42" s="35">
        <f t="shared" ca="1" si="71"/>
        <v>0</v>
      </c>
      <c r="AM42" s="73">
        <f t="shared" ca="1" si="72"/>
        <v>48850.005230165858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3"/>
        <v>48850.005230165858</v>
      </c>
      <c r="BJ42" s="36">
        <f t="shared" ca="1" si="74"/>
        <v>488.50005230165857</v>
      </c>
      <c r="BK42" s="38">
        <f t="shared" si="75"/>
        <v>0.56000000000000005</v>
      </c>
      <c r="BL42" s="36"/>
      <c r="BM42" s="36"/>
    </row>
    <row r="43" spans="1:65" x14ac:dyDescent="0.2">
      <c r="A43" s="19">
        <v>6</v>
      </c>
      <c r="B43" s="27" t="s">
        <v>95</v>
      </c>
      <c r="C43" s="146">
        <v>5</v>
      </c>
      <c r="D43" s="30" t="s">
        <v>118</v>
      </c>
      <c r="E43" s="31" t="s">
        <v>203</v>
      </c>
      <c r="F43" s="28" t="s">
        <v>109</v>
      </c>
      <c r="G43" s="146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76"/>
        <v>0</v>
      </c>
      <c r="P43" s="35">
        <f t="shared" si="56"/>
        <v>271.21568627450984</v>
      </c>
      <c r="Q43" s="85"/>
      <c r="R43" s="30"/>
      <c r="S43" s="85">
        <v>4</v>
      </c>
      <c r="T43" s="83">
        <f ca="1">IF(AND(N43&gt;0,P43&gt;0),SUMIF('Исходные данные'!$C$14:$J$30,S43,'Исходные данные'!$C$34:$J$42),IF(N43=0,0,IF(S43=0,"РОТ")))</f>
        <v>123.48200709579322</v>
      </c>
      <c r="U43" s="130">
        <f>O43*R43*'Исходные данные'!$C$40%</f>
        <v>0</v>
      </c>
      <c r="V43" s="130">
        <f ca="1">P43*T43*'Исходные данные'!$C$41%</f>
        <v>11721.590053963808</v>
      </c>
      <c r="W43" s="130">
        <f t="shared" si="57"/>
        <v>0</v>
      </c>
      <c r="X43" s="131">
        <f t="shared" ca="1" si="58"/>
        <v>13396.102918815783</v>
      </c>
      <c r="Y43" s="130">
        <f t="shared" si="59"/>
        <v>0</v>
      </c>
      <c r="Z43" s="131">
        <f t="shared" ca="1" si="60"/>
        <v>2930.3975134909524</v>
      </c>
      <c r="AA43" s="130">
        <f t="shared" si="61"/>
        <v>0</v>
      </c>
      <c r="AB43" s="131">
        <f t="shared" ca="1" si="62"/>
        <v>4521.1847351003262</v>
      </c>
      <c r="AC43" s="129">
        <v>2.8</v>
      </c>
      <c r="AD43" s="130">
        <f t="shared" si="63"/>
        <v>0</v>
      </c>
      <c r="AE43" s="130">
        <f t="shared" ca="1" si="64"/>
        <v>184966.6910515489</v>
      </c>
      <c r="AF43" s="35">
        <f t="shared" ca="1" si="65"/>
        <v>0</v>
      </c>
      <c r="AG43" s="73">
        <f t="shared" ca="1" si="66"/>
        <v>27638.700961725695</v>
      </c>
      <c r="AH43" s="35">
        <f t="shared" ca="1" si="67"/>
        <v>0</v>
      </c>
      <c r="AI43" s="35">
        <f t="shared" ca="1" si="68"/>
        <v>212605.3920132746</v>
      </c>
      <c r="AJ43" s="35">
        <f t="shared" ca="1" si="69"/>
        <v>0</v>
      </c>
      <c r="AK43" s="73">
        <f t="shared" ca="1" si="70"/>
        <v>63781.617603982377</v>
      </c>
      <c r="AL43" s="35">
        <f t="shared" ca="1" si="71"/>
        <v>0</v>
      </c>
      <c r="AM43" s="73">
        <f t="shared" ca="1" si="72"/>
        <v>276387.00961725699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3"/>
        <v>276387.00961725699</v>
      </c>
      <c r="BJ43" s="36">
        <f t="shared" ca="1" si="74"/>
        <v>2763.8700961725699</v>
      </c>
      <c r="BK43" s="38">
        <f t="shared" si="75"/>
        <v>2.7121568627450983</v>
      </c>
      <c r="BL43" s="36"/>
      <c r="BM43" s="36"/>
    </row>
    <row r="44" spans="1:65" x14ac:dyDescent="0.2">
      <c r="A44" s="19">
        <v>7</v>
      </c>
      <c r="B44" s="27" t="s">
        <v>94</v>
      </c>
      <c r="C44" s="146">
        <v>5</v>
      </c>
      <c r="D44" s="30" t="s">
        <v>118</v>
      </c>
      <c r="E44" s="31" t="s">
        <v>208</v>
      </c>
      <c r="F44" s="28" t="s">
        <v>106</v>
      </c>
      <c r="G44" s="146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76"/>
        <v>0</v>
      </c>
      <c r="P44" s="35">
        <f t="shared" si="56"/>
        <v>56</v>
      </c>
      <c r="Q44" s="85"/>
      <c r="R44" s="30"/>
      <c r="S44" s="85">
        <v>2</v>
      </c>
      <c r="T44" s="83">
        <f ca="1">IF(AND(N44&gt;0,P44&gt;0),SUMIF('Исходные данные'!$C$14:$J$30,S44,'Исходные данные'!$C$34:$J$42),IF(N44=0,0,IF(S44=0,"РОТ")))</f>
        <v>105.700598073999</v>
      </c>
      <c r="U44" s="130">
        <f>O44*R44*'Исходные данные'!$C$40%</f>
        <v>0</v>
      </c>
      <c r="V44" s="130">
        <f ca="1">P44*T44*'Исходные данные'!$C$41%</f>
        <v>2071.7317222503802</v>
      </c>
      <c r="W44" s="130">
        <f t="shared" si="57"/>
        <v>0</v>
      </c>
      <c r="X44" s="131">
        <f t="shared" ca="1" si="58"/>
        <v>2367.6933968575777</v>
      </c>
      <c r="Y44" s="130">
        <f t="shared" si="59"/>
        <v>0</v>
      </c>
      <c r="Z44" s="131">
        <f t="shared" ca="1" si="60"/>
        <v>517.93293056259506</v>
      </c>
      <c r="AA44" s="130">
        <f t="shared" si="61"/>
        <v>0</v>
      </c>
      <c r="AB44" s="131">
        <f t="shared" ca="1" si="62"/>
        <v>799.09652143943242</v>
      </c>
      <c r="AC44" s="129">
        <v>2.8</v>
      </c>
      <c r="AD44" s="130">
        <f t="shared" si="63"/>
        <v>0</v>
      </c>
      <c r="AE44" s="130">
        <f t="shared" ca="1" si="64"/>
        <v>32691.926577110997</v>
      </c>
      <c r="AF44" s="35">
        <f t="shared" ca="1" si="65"/>
        <v>0</v>
      </c>
      <c r="AG44" s="73">
        <f t="shared" ca="1" si="66"/>
        <v>4885.0005230165852</v>
      </c>
      <c r="AH44" s="35">
        <f t="shared" ca="1" si="67"/>
        <v>0</v>
      </c>
      <c r="AI44" s="35">
        <f t="shared" ca="1" si="68"/>
        <v>37576.927100127585</v>
      </c>
      <c r="AJ44" s="35">
        <f t="shared" ca="1" si="69"/>
        <v>0</v>
      </c>
      <c r="AK44" s="73">
        <f t="shared" ca="1" si="70"/>
        <v>11273.078130038275</v>
      </c>
      <c r="AL44" s="35">
        <f t="shared" ca="1" si="71"/>
        <v>0</v>
      </c>
      <c r="AM44" s="73">
        <f t="shared" ca="1" si="72"/>
        <v>48850.005230165858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3"/>
        <v>48850.005230165858</v>
      </c>
      <c r="BJ44" s="36">
        <f t="shared" ca="1" si="74"/>
        <v>488.50005230165857</v>
      </c>
      <c r="BK44" s="38">
        <f t="shared" si="75"/>
        <v>0.56000000000000005</v>
      </c>
      <c r="BL44" s="36"/>
      <c r="BM44" s="36"/>
    </row>
    <row r="45" spans="1:65" x14ac:dyDescent="0.2">
      <c r="A45" s="19">
        <v>8</v>
      </c>
      <c r="B45" s="27" t="s">
        <v>96</v>
      </c>
      <c r="C45" s="146">
        <v>5</v>
      </c>
      <c r="D45" s="30" t="s">
        <v>118</v>
      </c>
      <c r="E45" s="31" t="s">
        <v>203</v>
      </c>
      <c r="F45" s="28" t="s">
        <v>109</v>
      </c>
      <c r="G45" s="146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76"/>
        <v>0</v>
      </c>
      <c r="P45" s="35">
        <f t="shared" si="56"/>
        <v>135.60784313725492</v>
      </c>
      <c r="Q45" s="85"/>
      <c r="R45" s="30"/>
      <c r="S45" s="85">
        <v>2</v>
      </c>
      <c r="T45" s="83">
        <f ca="1">IF(AND(N45&gt;0,P45&gt;0),SUMIF('Исходные данные'!$C$14:$J$30,S45,'Исходные данные'!$C$34:$J$42),IF(N45=0,0,IF(S45=0,"РОТ")))</f>
        <v>105.700598073999</v>
      </c>
      <c r="U45" s="130">
        <f>O45*R45*'Исходные данные'!$C$40%</f>
        <v>0</v>
      </c>
      <c r="V45" s="130">
        <f ca="1">P45*T45*'Исходные данные'!$C$41%</f>
        <v>5016.8405430965095</v>
      </c>
      <c r="W45" s="130">
        <f t="shared" si="57"/>
        <v>0</v>
      </c>
      <c r="X45" s="131">
        <f t="shared" ca="1" si="58"/>
        <v>5733.5320492531546</v>
      </c>
      <c r="Y45" s="130">
        <f t="shared" si="59"/>
        <v>0</v>
      </c>
      <c r="Z45" s="131">
        <f t="shared" ca="1" si="60"/>
        <v>1254.2101357741276</v>
      </c>
      <c r="AA45" s="130">
        <f t="shared" si="61"/>
        <v>0</v>
      </c>
      <c r="AB45" s="131">
        <f t="shared" ca="1" si="62"/>
        <v>1935.0670666229396</v>
      </c>
      <c r="AC45" s="129">
        <v>2.8</v>
      </c>
      <c r="AD45" s="130">
        <f t="shared" si="63"/>
        <v>0</v>
      </c>
      <c r="AE45" s="130">
        <f t="shared" ca="1" si="64"/>
        <v>79165.743770062909</v>
      </c>
      <c r="AF45" s="35">
        <f t="shared" ca="1" si="65"/>
        <v>0</v>
      </c>
      <c r="AG45" s="73">
        <f t="shared" ca="1" si="66"/>
        <v>11829.364011618594</v>
      </c>
      <c r="AH45" s="35">
        <f t="shared" ca="1" si="67"/>
        <v>0</v>
      </c>
      <c r="AI45" s="35">
        <f t="shared" ca="1" si="68"/>
        <v>90995.107781681509</v>
      </c>
      <c r="AJ45" s="35">
        <f t="shared" ca="1" si="69"/>
        <v>0</v>
      </c>
      <c r="AK45" s="73">
        <f t="shared" ca="1" si="70"/>
        <v>27298.532334504453</v>
      </c>
      <c r="AL45" s="35">
        <f t="shared" ca="1" si="71"/>
        <v>0</v>
      </c>
      <c r="AM45" s="73">
        <f t="shared" ca="1" si="72"/>
        <v>118293.64011618597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3"/>
        <v>118293.64011618597</v>
      </c>
      <c r="BJ45" s="36">
        <f t="shared" ca="1" si="74"/>
        <v>1182.9364011618597</v>
      </c>
      <c r="BK45" s="38">
        <f t="shared" si="75"/>
        <v>1.3560784313725491</v>
      </c>
      <c r="BL45" s="36"/>
      <c r="BM45" s="36"/>
    </row>
    <row r="46" spans="1:65" s="54" customFormat="1" x14ac:dyDescent="0.2">
      <c r="A46" s="52"/>
      <c r="B46" s="53" t="s">
        <v>21</v>
      </c>
      <c r="C46" s="53"/>
      <c r="D46" s="53"/>
      <c r="E46" s="53"/>
      <c r="F46" s="55"/>
      <c r="G46" s="148"/>
      <c r="H46" s="56"/>
      <c r="I46" s="56"/>
      <c r="J46" s="65">
        <f>SUM(J38:J45)</f>
        <v>167.45098039215688</v>
      </c>
      <c r="K46" s="65"/>
      <c r="L46" s="65">
        <f>SUM(L38:L45)</f>
        <v>182.5105042016807</v>
      </c>
      <c r="M46" s="65">
        <f t="shared" ref="M46:BM46" si="77">SUM(M38:M45)</f>
        <v>8</v>
      </c>
      <c r="N46" s="65">
        <f t="shared" si="77"/>
        <v>5</v>
      </c>
      <c r="O46" s="65">
        <f t="shared" si="77"/>
        <v>175.41666666666669</v>
      </c>
      <c r="P46" s="65">
        <f t="shared" si="77"/>
        <v>1102.1568627450981</v>
      </c>
      <c r="Q46" s="65"/>
      <c r="R46" s="65"/>
      <c r="S46" s="65"/>
      <c r="T46" s="65"/>
      <c r="U46" s="65">
        <f t="shared" ca="1" si="77"/>
        <v>0</v>
      </c>
      <c r="V46" s="65">
        <f t="shared" ca="1" si="77"/>
        <v>42462.432815002532</v>
      </c>
      <c r="W46" s="65">
        <f t="shared" ca="1" si="77"/>
        <v>10307.433010643692</v>
      </c>
      <c r="X46" s="65">
        <f t="shared" ca="1" si="77"/>
        <v>48528.494645717197</v>
      </c>
      <c r="Y46" s="65">
        <f t="shared" ca="1" si="77"/>
        <v>3607.6015537252924</v>
      </c>
      <c r="Z46" s="65">
        <f t="shared" ca="1" si="77"/>
        <v>10615.608203750635</v>
      </c>
      <c r="AA46" s="65">
        <f t="shared" ca="1" si="77"/>
        <v>2576.858252660923</v>
      </c>
      <c r="AB46" s="65">
        <f t="shared" ca="1" si="77"/>
        <v>16378.366942929555</v>
      </c>
      <c r="AC46" s="65"/>
      <c r="AD46" s="65">
        <f t="shared" ca="1" si="77"/>
        <v>118329.33096218956</v>
      </c>
      <c r="AE46" s="65">
        <f t="shared" ca="1" si="77"/>
        <v>670057.18982074014</v>
      </c>
      <c r="AF46" s="65">
        <f t="shared" ca="1" si="77"/>
        <v>17681.394281706485</v>
      </c>
      <c r="AG46" s="65">
        <f t="shared" ca="1" si="77"/>
        <v>100123.48813413357</v>
      </c>
      <c r="AH46" s="65">
        <f t="shared" ca="1" si="77"/>
        <v>136010.72524389604</v>
      </c>
      <c r="AI46" s="65">
        <f t="shared" ca="1" si="77"/>
        <v>770180.67795487365</v>
      </c>
      <c r="AJ46" s="65">
        <f t="shared" ca="1" si="77"/>
        <v>40803.217573168811</v>
      </c>
      <c r="AK46" s="65">
        <f t="shared" ca="1" si="77"/>
        <v>231054.20338646212</v>
      </c>
      <c r="AL46" s="65">
        <f t="shared" ca="1" si="77"/>
        <v>176813.94281706488</v>
      </c>
      <c r="AM46" s="65">
        <f t="shared" ca="1" si="77"/>
        <v>1001234.8813413361</v>
      </c>
      <c r="AN46" s="65"/>
      <c r="AO46" s="65"/>
      <c r="AP46" s="65" t="e">
        <f t="shared" si="77"/>
        <v>#REF!</v>
      </c>
      <c r="AQ46" s="65"/>
      <c r="AR46" s="65"/>
      <c r="AS46" s="65" t="e">
        <f t="shared" si="77"/>
        <v>#REF!</v>
      </c>
      <c r="AT46" s="65"/>
      <c r="AU46" s="65"/>
      <c r="AV46" s="65"/>
      <c r="AW46" s="65"/>
      <c r="AX46" s="65"/>
      <c r="AY46" s="65">
        <f t="shared" si="77"/>
        <v>4558.6563747007185</v>
      </c>
      <c r="AZ46" s="65"/>
      <c r="BA46" s="65">
        <f t="shared" si="77"/>
        <v>1933.3633809523808</v>
      </c>
      <c r="BB46" s="65"/>
      <c r="BC46" s="65">
        <f t="shared" si="77"/>
        <v>10531.014285714287</v>
      </c>
      <c r="BD46" s="65"/>
      <c r="BE46" s="65">
        <f t="shared" si="77"/>
        <v>1776.4696428571428</v>
      </c>
      <c r="BF46" s="65"/>
      <c r="BG46" s="65">
        <f t="shared" si="77"/>
        <v>675.68010085714286</v>
      </c>
      <c r="BH46" s="65">
        <f t="shared" si="77"/>
        <v>85203.933133333339</v>
      </c>
      <c r="BI46" s="65" t="e">
        <f t="shared" ca="1" si="77"/>
        <v>#REF!</v>
      </c>
      <c r="BJ46" s="65"/>
      <c r="BK46" s="65"/>
      <c r="BL46" s="65"/>
      <c r="BM46" s="65">
        <f t="shared" si="77"/>
        <v>127.80357142857143</v>
      </c>
    </row>
    <row r="47" spans="1:65" s="7" customFormat="1" ht="11.25" customHeight="1" x14ac:dyDescent="0.2">
      <c r="A47" s="21"/>
      <c r="B47" s="522" t="s">
        <v>478</v>
      </c>
      <c r="C47" s="522"/>
      <c r="D47" s="522"/>
      <c r="E47" s="522"/>
      <c r="F47" s="22"/>
      <c r="G47" s="149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76</v>
      </c>
      <c r="C48" s="29">
        <v>10.288065843621398</v>
      </c>
      <c r="D48" s="30" t="s">
        <v>185</v>
      </c>
      <c r="E48" s="31" t="s">
        <v>479</v>
      </c>
      <c r="F48" s="28" t="s">
        <v>106</v>
      </c>
      <c r="G48" s="146">
        <v>100</v>
      </c>
      <c r="H48" s="81">
        <v>40374</v>
      </c>
      <c r="I48" s="81">
        <v>40377</v>
      </c>
      <c r="J48" s="83">
        <f>L48/M48</f>
        <v>30.864197530864196</v>
      </c>
      <c r="K48" s="32">
        <v>3.24</v>
      </c>
      <c r="L48" s="33">
        <f t="shared" ref="L48:L55" si="78">G48/K48</f>
        <v>30.864197530864196</v>
      </c>
      <c r="M48" s="34">
        <v>1</v>
      </c>
      <c r="N48" s="34"/>
      <c r="O48" s="35">
        <f t="shared" ref="O48:O55" si="79">IF(M48=0,0,L48*$O$15)</f>
        <v>216.04938271604937</v>
      </c>
      <c r="P48" s="35">
        <f t="shared" ref="P48:P55" si="80">IF(N48=0,0,L48*$O$15)</f>
        <v>0</v>
      </c>
      <c r="Q48" s="34">
        <v>4</v>
      </c>
      <c r="R48" s="83">
        <f ca="1">IF(AND(O48&gt;0,Q48&gt;0),SUMIF('Исходные данные'!$C$14:H46,Q48,'Исходные данные'!$C$18:$H$18),IF(O48=0,0,IF(Q48=0,"РОТ")))</f>
        <v>156.08125696908263</v>
      </c>
      <c r="S48" s="34"/>
      <c r="T48" s="83">
        <f>IF(AND(N48&gt;0,P48&gt;0),SUMIF('Исходные данные'!$C$14:$J$30,S48,'Исходные данные'!$C$34:$J$42),IF(N48=0,0,IF(S48=0,"РОТ")))</f>
        <v>0</v>
      </c>
      <c r="U48" s="130">
        <f ca="1">O48*R48*'Исходные данные'!$C$40%</f>
        <v>0</v>
      </c>
      <c r="V48" s="130">
        <f>P48*T48*'Исходные данные'!$C$41%</f>
        <v>0</v>
      </c>
      <c r="W48" s="130">
        <f t="shared" ref="W48:W55" ca="1" si="81">O48*R48*$W$15</f>
        <v>13488.503688686153</v>
      </c>
      <c r="X48" s="131">
        <f t="shared" ref="X48:X55" si="82">P48*T48*$W$15</f>
        <v>0</v>
      </c>
      <c r="Y48" s="130">
        <f t="shared" ref="Y48:Y55" ca="1" si="83">(O48*R48+U48+W48)*$Y$15</f>
        <v>4720.9762910401541</v>
      </c>
      <c r="Z48" s="131">
        <f t="shared" ref="Z48:Z55" si="84">(P48*T48+V48+X48)*$Z$15</f>
        <v>0</v>
      </c>
      <c r="AA48" s="130">
        <f t="shared" ref="AA48:AA55" ca="1" si="85">(O48*R48+U48)*$AA$15</f>
        <v>3372.1259221715381</v>
      </c>
      <c r="AB48" s="131">
        <f t="shared" ref="AB48:AB55" si="86">(P48*T48+V48)*$AA$15</f>
        <v>0</v>
      </c>
      <c r="AC48" s="129">
        <v>2.8</v>
      </c>
      <c r="AD48" s="130">
        <f t="shared" ref="AD48:AD55" ca="1" si="87">(O48*R48+U48+W48+Y48+AA48)*AC48</f>
        <v>154848.02234611704</v>
      </c>
      <c r="AE48" s="130">
        <f t="shared" ref="AE48:AE55" si="88">(P48*T48+V48+X48+Z48+AB48)*AC48</f>
        <v>0</v>
      </c>
      <c r="AF48" s="35">
        <f t="shared" ref="AF48:AF55" ca="1" si="89">AD48*$AF$15</f>
        <v>23138.210235626681</v>
      </c>
      <c r="AG48" s="73">
        <f t="shared" ref="AG48:AG55" ca="1" si="90">AE48*$AF$15</f>
        <v>0</v>
      </c>
      <c r="AH48" s="35">
        <f t="shared" ref="AH48:AH55" ca="1" si="91">AD48+AF48</f>
        <v>177986.23258174371</v>
      </c>
      <c r="AI48" s="35">
        <f t="shared" ref="AI48:AI55" ca="1" si="92">AE48+AG48</f>
        <v>0</v>
      </c>
      <c r="AJ48" s="35">
        <f t="shared" ref="AJ48:AJ55" ca="1" si="93">AH48*$AJ$15</f>
        <v>53395.869774523111</v>
      </c>
      <c r="AK48" s="73">
        <f t="shared" ref="AK48:AK55" ca="1" si="94">AI48*$AJ$15</f>
        <v>0</v>
      </c>
      <c r="AL48" s="35">
        <f t="shared" ref="AL48:AL55" ca="1" si="95">AH48+AJ48</f>
        <v>231382.10235626681</v>
      </c>
      <c r="AM48" s="73">
        <f t="shared" ref="AM48:AM55" ca="1" si="96">AK48+AI48</f>
        <v>0</v>
      </c>
      <c r="AN48" s="32">
        <v>2.0329999999999999</v>
      </c>
      <c r="AO48" s="33" t="e">
        <f>Нормы!#REF!</f>
        <v>#REF!</v>
      </c>
      <c r="AP48" s="79" t="e">
        <f>(G48*AN48)*AO48/100</f>
        <v>#REF!</v>
      </c>
      <c r="AQ48" s="33" t="s">
        <v>153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7">AL48+AM48+AS48+AY48+BA48+BC48+BE48+BG48+BH48+AW48</f>
        <v>#REF!</v>
      </c>
      <c r="BJ48" s="36" t="e">
        <f t="shared" ref="BJ48:BJ55" ca="1" si="98">BI48/$D$5</f>
        <v>#REF!</v>
      </c>
      <c r="BK48" s="38">
        <f t="shared" ref="BK48:BK55" si="99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84</v>
      </c>
      <c r="C49" s="29">
        <v>8.8183421516754841</v>
      </c>
      <c r="D49" s="30" t="s">
        <v>185</v>
      </c>
      <c r="E49" s="31" t="s">
        <v>480</v>
      </c>
      <c r="F49" s="28" t="s">
        <v>106</v>
      </c>
      <c r="G49" s="146">
        <v>100</v>
      </c>
      <c r="H49" s="81">
        <v>40376</v>
      </c>
      <c r="I49" s="81">
        <v>40378</v>
      </c>
      <c r="J49" s="83">
        <f>L49/M49</f>
        <v>26.455026455026452</v>
      </c>
      <c r="K49" s="32">
        <v>3.7800000000000002</v>
      </c>
      <c r="L49" s="33">
        <f t="shared" si="78"/>
        <v>26.455026455026452</v>
      </c>
      <c r="M49" s="34">
        <v>1</v>
      </c>
      <c r="N49" s="34"/>
      <c r="O49" s="35">
        <f t="shared" si="79"/>
        <v>185.18518518518516</v>
      </c>
      <c r="P49" s="35">
        <f t="shared" si="80"/>
        <v>0</v>
      </c>
      <c r="Q49" s="34">
        <v>1</v>
      </c>
      <c r="R49" s="83">
        <f ca="1">IF(AND(O49&gt;0,Q49&gt;0),SUMIF('Исходные данные'!$C$14:H47,Q49,'Исходные данные'!$C$18:$H$18),IF(O49=0,0,IF(Q49=0,"РОТ")))</f>
        <v>116.56701469842878</v>
      </c>
      <c r="S49" s="34"/>
      <c r="T49" s="83">
        <f>IF(AND(N49&gt;0,P49&gt;0),SUMIF('Исходные данные'!$C$14:$J$30,S49,'Исходные данные'!$C$34:$J$42),IF(N49=0,0,IF(S49=0,"РОТ")))</f>
        <v>0</v>
      </c>
      <c r="U49" s="130">
        <f ca="1">O49*R49*'Исходные данные'!$C$40%</f>
        <v>0</v>
      </c>
      <c r="V49" s="130">
        <f>P49*T49*'Исходные данные'!$C$41%</f>
        <v>0</v>
      </c>
      <c r="W49" s="130">
        <f t="shared" ca="1" si="81"/>
        <v>8634.5936813650933</v>
      </c>
      <c r="X49" s="131">
        <f t="shared" si="82"/>
        <v>0</v>
      </c>
      <c r="Y49" s="130">
        <f t="shared" ca="1" si="83"/>
        <v>3022.1077884777828</v>
      </c>
      <c r="Z49" s="131">
        <f t="shared" si="84"/>
        <v>0</v>
      </c>
      <c r="AA49" s="130">
        <f t="shared" ca="1" si="85"/>
        <v>2158.6484203412733</v>
      </c>
      <c r="AB49" s="131">
        <f t="shared" si="86"/>
        <v>0</v>
      </c>
      <c r="AC49" s="129">
        <v>2.8</v>
      </c>
      <c r="AD49" s="130">
        <f t="shared" ca="1" si="87"/>
        <v>99125.135462071281</v>
      </c>
      <c r="AE49" s="130">
        <f t="shared" si="88"/>
        <v>0</v>
      </c>
      <c r="AF49" s="35">
        <f t="shared" ca="1" si="89"/>
        <v>14811.801850654329</v>
      </c>
      <c r="AG49" s="73">
        <f t="shared" ca="1" si="90"/>
        <v>0</v>
      </c>
      <c r="AH49" s="35">
        <f t="shared" ca="1" si="91"/>
        <v>113936.93731272561</v>
      </c>
      <c r="AI49" s="35">
        <f t="shared" ca="1" si="92"/>
        <v>0</v>
      </c>
      <c r="AJ49" s="35">
        <f t="shared" ca="1" si="93"/>
        <v>34181.081193817685</v>
      </c>
      <c r="AK49" s="73">
        <f t="shared" ca="1" si="94"/>
        <v>0</v>
      </c>
      <c r="AL49" s="35">
        <f t="shared" ca="1" si="95"/>
        <v>148118.0185065433</v>
      </c>
      <c r="AM49" s="73">
        <f t="shared" ca="1" si="96"/>
        <v>0</v>
      </c>
      <c r="AN49" s="33">
        <v>2.3719999999999999</v>
      </c>
      <c r="AO49" s="33" t="e">
        <f>Нормы!#REF!</f>
        <v>#REF!</v>
      </c>
      <c r="AP49" s="79" t="e">
        <f>(G49*AN49)*AO49/100</f>
        <v>#REF!</v>
      </c>
      <c r="AQ49" s="33" t="s">
        <v>153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7"/>
        <v>#REF!</v>
      </c>
      <c r="BJ49" s="36" t="e">
        <f t="shared" ca="1" si="98"/>
        <v>#REF!</v>
      </c>
      <c r="BK49" s="38">
        <f t="shared" si="99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100</v>
      </c>
      <c r="C50" s="29">
        <v>8.8183421516754841</v>
      </c>
      <c r="D50" s="30" t="s">
        <v>185</v>
      </c>
      <c r="E50" s="31" t="s">
        <v>481</v>
      </c>
      <c r="F50" s="28" t="s">
        <v>106</v>
      </c>
      <c r="G50" s="146">
        <v>100</v>
      </c>
      <c r="H50" s="81">
        <v>40377</v>
      </c>
      <c r="I50" s="81">
        <v>40379</v>
      </c>
      <c r="J50" s="83">
        <f>L50/M50</f>
        <v>26.455026455026452</v>
      </c>
      <c r="K50" s="32">
        <v>3.7800000000000002</v>
      </c>
      <c r="L50" s="33">
        <f t="shared" si="78"/>
        <v>26.455026455026452</v>
      </c>
      <c r="M50" s="34">
        <v>1</v>
      </c>
      <c r="N50" s="34"/>
      <c r="O50" s="35">
        <f t="shared" si="79"/>
        <v>185.18518518518516</v>
      </c>
      <c r="P50" s="35">
        <f t="shared" si="80"/>
        <v>0</v>
      </c>
      <c r="Q50" s="34">
        <v>2</v>
      </c>
      <c r="R50" s="83">
        <f ca="1">IF(AND(O50&gt;0,Q50&gt;0),SUMIF('Исходные данные'!$C$14:H48,Q50,'Исходные данные'!$C$18:$H$18),IF(O50=0,0,IF(Q50=0,"РОТ")))</f>
        <v>128.66557526609228</v>
      </c>
      <c r="S50" s="34"/>
      <c r="T50" s="83">
        <f>IF(AND(N50&gt;0,P50&gt;0),SUMIF('Исходные данные'!$C$14:$J$30,S50,'Исходные данные'!$C$34:$J$42),IF(N50=0,0,IF(S50=0,"РОТ")))</f>
        <v>0</v>
      </c>
      <c r="U50" s="130">
        <f ca="1">O50*R50*'Исходные данные'!$C$40%</f>
        <v>0</v>
      </c>
      <c r="V50" s="130">
        <f>P50*T50*'Исходные данные'!$C$41%</f>
        <v>0</v>
      </c>
      <c r="W50" s="130">
        <f t="shared" ca="1" si="81"/>
        <v>9530.7833530438711</v>
      </c>
      <c r="X50" s="131">
        <f t="shared" si="82"/>
        <v>0</v>
      </c>
      <c r="Y50" s="130">
        <f t="shared" ca="1" si="83"/>
        <v>3335.7741735653553</v>
      </c>
      <c r="Z50" s="131">
        <f t="shared" si="84"/>
        <v>0</v>
      </c>
      <c r="AA50" s="130">
        <f t="shared" ca="1" si="85"/>
        <v>2382.6958382609678</v>
      </c>
      <c r="AB50" s="131">
        <f t="shared" si="86"/>
        <v>0</v>
      </c>
      <c r="AC50" s="129">
        <v>2.8</v>
      </c>
      <c r="AD50" s="130">
        <f t="shared" ca="1" si="87"/>
        <v>109413.39289294364</v>
      </c>
      <c r="AE50" s="130">
        <f t="shared" si="88"/>
        <v>0</v>
      </c>
      <c r="AF50" s="35">
        <f t="shared" ca="1" si="89"/>
        <v>16349.127673658242</v>
      </c>
      <c r="AG50" s="73">
        <f t="shared" ca="1" si="90"/>
        <v>0</v>
      </c>
      <c r="AH50" s="35">
        <f t="shared" ca="1" si="91"/>
        <v>125762.52056660187</v>
      </c>
      <c r="AI50" s="35">
        <f t="shared" ca="1" si="92"/>
        <v>0</v>
      </c>
      <c r="AJ50" s="35">
        <f t="shared" ca="1" si="93"/>
        <v>37728.756169980559</v>
      </c>
      <c r="AK50" s="73">
        <f t="shared" ca="1" si="94"/>
        <v>0</v>
      </c>
      <c r="AL50" s="35">
        <f t="shared" ca="1" si="95"/>
        <v>163491.27673658243</v>
      </c>
      <c r="AM50" s="73">
        <f t="shared" ca="1" si="96"/>
        <v>0</v>
      </c>
      <c r="AN50" s="33">
        <v>2.3719999999999999</v>
      </c>
      <c r="AO50" s="33" t="e">
        <f>Нормы!#REF!</f>
        <v>#REF!</v>
      </c>
      <c r="AP50" s="79" t="e">
        <f>(G50*AN50)*AO50/100</f>
        <v>#REF!</v>
      </c>
      <c r="AQ50" s="33" t="s">
        <v>153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7"/>
        <v>#REF!</v>
      </c>
      <c r="BJ50" s="36" t="e">
        <f t="shared" ca="1" si="98"/>
        <v>#REF!</v>
      </c>
      <c r="BK50" s="38">
        <f t="shared" si="99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93</v>
      </c>
      <c r="C51" s="29">
        <v>10</v>
      </c>
      <c r="D51" s="30" t="s">
        <v>118</v>
      </c>
      <c r="E51" s="31" t="s">
        <v>203</v>
      </c>
      <c r="F51" s="28" t="s">
        <v>106</v>
      </c>
      <c r="G51" s="146">
        <v>100</v>
      </c>
      <c r="H51" s="81">
        <v>40378</v>
      </c>
      <c r="I51" s="81">
        <v>40388</v>
      </c>
      <c r="J51" s="83">
        <f>L51/N51</f>
        <v>83.333333333333343</v>
      </c>
      <c r="K51" s="32">
        <v>1.2</v>
      </c>
      <c r="L51" s="33">
        <f t="shared" si="78"/>
        <v>83.333333333333343</v>
      </c>
      <c r="M51" s="34"/>
      <c r="N51" s="34">
        <v>1</v>
      </c>
      <c r="O51" s="35">
        <f t="shared" si="79"/>
        <v>0</v>
      </c>
      <c r="P51" s="35">
        <f t="shared" si="80"/>
        <v>583.33333333333337</v>
      </c>
      <c r="Q51" s="34"/>
      <c r="R51" s="33"/>
      <c r="S51" s="34">
        <v>2</v>
      </c>
      <c r="T51" s="83">
        <f ca="1">IF(AND(N51&gt;0,P51&gt;0),SUMIF('Исходные данные'!$C$14:$J$30,S51,'Исходные данные'!$C$34:$J$42),IF(N51=0,0,IF(S51=0,"РОТ")))</f>
        <v>105.700598073999</v>
      </c>
      <c r="U51" s="130">
        <f>O51*R51*'Исходные данные'!$C$40%</f>
        <v>0</v>
      </c>
      <c r="V51" s="130">
        <f ca="1">P51*T51*'Исходные данные'!$C$41%</f>
        <v>21580.538773441462</v>
      </c>
      <c r="W51" s="130">
        <f t="shared" si="81"/>
        <v>0</v>
      </c>
      <c r="X51" s="131">
        <f t="shared" ca="1" si="82"/>
        <v>24663.472883933104</v>
      </c>
      <c r="Y51" s="130">
        <f t="shared" si="83"/>
        <v>0</v>
      </c>
      <c r="Z51" s="131">
        <f t="shared" ca="1" si="84"/>
        <v>5395.1346933603672</v>
      </c>
      <c r="AA51" s="130">
        <f t="shared" si="85"/>
        <v>0</v>
      </c>
      <c r="AB51" s="131">
        <f t="shared" ca="1" si="86"/>
        <v>8323.9220983274226</v>
      </c>
      <c r="AC51" s="129">
        <v>2.8</v>
      </c>
      <c r="AD51" s="130">
        <f t="shared" si="87"/>
        <v>0</v>
      </c>
      <c r="AE51" s="130">
        <f t="shared" ca="1" si="88"/>
        <v>340540.90184490633</v>
      </c>
      <c r="AF51" s="35">
        <f t="shared" ca="1" si="89"/>
        <v>0</v>
      </c>
      <c r="AG51" s="73">
        <f t="shared" ca="1" si="90"/>
        <v>50885.422114756111</v>
      </c>
      <c r="AH51" s="35">
        <f t="shared" ca="1" si="91"/>
        <v>0</v>
      </c>
      <c r="AI51" s="35">
        <f t="shared" ca="1" si="92"/>
        <v>391426.32395966246</v>
      </c>
      <c r="AJ51" s="35">
        <f t="shared" ca="1" si="93"/>
        <v>0</v>
      </c>
      <c r="AK51" s="73">
        <f t="shared" ca="1" si="94"/>
        <v>117427.89718789874</v>
      </c>
      <c r="AL51" s="35">
        <f t="shared" ca="1" si="95"/>
        <v>0</v>
      </c>
      <c r="AM51" s="73">
        <f t="shared" ca="1" si="96"/>
        <v>508854.22114756121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7"/>
        <v>508854.22114756121</v>
      </c>
      <c r="BJ51" s="36">
        <f t="shared" ca="1" si="98"/>
        <v>5088.542211475612</v>
      </c>
      <c r="BK51" s="38">
        <f t="shared" si="99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94</v>
      </c>
      <c r="C52" s="29">
        <v>10</v>
      </c>
      <c r="D52" s="30" t="s">
        <v>118</v>
      </c>
      <c r="E52" s="31" t="s">
        <v>208</v>
      </c>
      <c r="F52" s="28" t="s">
        <v>106</v>
      </c>
      <c r="G52" s="146">
        <v>100</v>
      </c>
      <c r="H52" s="81">
        <v>40378</v>
      </c>
      <c r="I52" s="81">
        <v>40388</v>
      </c>
      <c r="J52" s="83">
        <f>L52/N52</f>
        <v>40</v>
      </c>
      <c r="K52" s="32">
        <v>2.5</v>
      </c>
      <c r="L52" s="33">
        <f t="shared" si="78"/>
        <v>40</v>
      </c>
      <c r="M52" s="34"/>
      <c r="N52" s="34">
        <v>1</v>
      </c>
      <c r="O52" s="35">
        <f t="shared" si="79"/>
        <v>0</v>
      </c>
      <c r="P52" s="35">
        <f t="shared" si="80"/>
        <v>280</v>
      </c>
      <c r="Q52" s="34"/>
      <c r="R52" s="33"/>
      <c r="S52" s="34">
        <v>2</v>
      </c>
      <c r="T52" s="83">
        <f ca="1">IF(AND(N52&gt;0,P52&gt;0),SUMIF('Исходные данные'!$C$14:$J$30,S52,'Исходные данные'!$C$34:$J$42),IF(N52=0,0,IF(S52=0,"РОТ")))</f>
        <v>105.700598073999</v>
      </c>
      <c r="U52" s="130">
        <f>O52*R52*'Исходные данные'!$C$40%</f>
        <v>0</v>
      </c>
      <c r="V52" s="130">
        <f ca="1">P52*T52*'Исходные данные'!$C$41%</f>
        <v>10358.658611251902</v>
      </c>
      <c r="W52" s="130">
        <f t="shared" si="81"/>
        <v>0</v>
      </c>
      <c r="X52" s="131">
        <f t="shared" ca="1" si="82"/>
        <v>11838.466984287888</v>
      </c>
      <c r="Y52" s="130">
        <f t="shared" si="83"/>
        <v>0</v>
      </c>
      <c r="Z52" s="131">
        <f t="shared" ca="1" si="84"/>
        <v>2589.6646528129754</v>
      </c>
      <c r="AA52" s="130">
        <f t="shared" si="85"/>
        <v>0</v>
      </c>
      <c r="AB52" s="131">
        <f t="shared" ca="1" si="86"/>
        <v>3995.482607197162</v>
      </c>
      <c r="AC52" s="129">
        <v>2.8</v>
      </c>
      <c r="AD52" s="130">
        <f t="shared" si="87"/>
        <v>0</v>
      </c>
      <c r="AE52" s="130">
        <f t="shared" ca="1" si="88"/>
        <v>163459.63288555501</v>
      </c>
      <c r="AF52" s="35">
        <f t="shared" ca="1" si="89"/>
        <v>0</v>
      </c>
      <c r="AG52" s="73">
        <f t="shared" ca="1" si="90"/>
        <v>24425.002615082929</v>
      </c>
      <c r="AH52" s="35">
        <f t="shared" ca="1" si="91"/>
        <v>0</v>
      </c>
      <c r="AI52" s="35">
        <f t="shared" ca="1" si="92"/>
        <v>187884.63550063793</v>
      </c>
      <c r="AJ52" s="35">
        <f t="shared" ca="1" si="93"/>
        <v>0</v>
      </c>
      <c r="AK52" s="73">
        <f t="shared" ca="1" si="94"/>
        <v>56365.390650191381</v>
      </c>
      <c r="AL52" s="35">
        <f t="shared" ca="1" si="95"/>
        <v>0</v>
      </c>
      <c r="AM52" s="73">
        <f t="shared" ca="1" si="96"/>
        <v>244250.0261508293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7"/>
        <v>244250.0261508293</v>
      </c>
      <c r="BJ52" s="36">
        <f t="shared" ca="1" si="98"/>
        <v>2442.5002615082931</v>
      </c>
      <c r="BK52" s="38">
        <f t="shared" si="99"/>
        <v>2.8</v>
      </c>
      <c r="BL52" s="38"/>
      <c r="BM52" s="39"/>
    </row>
    <row r="53" spans="1:65" x14ac:dyDescent="0.2">
      <c r="A53" s="20">
        <v>6</v>
      </c>
      <c r="B53" s="27" t="s">
        <v>101</v>
      </c>
      <c r="C53" s="29">
        <v>10</v>
      </c>
      <c r="D53" s="30" t="s">
        <v>118</v>
      </c>
      <c r="E53" s="31" t="s">
        <v>212</v>
      </c>
      <c r="F53" s="28" t="s">
        <v>109</v>
      </c>
      <c r="G53" s="146">
        <v>11.528532312613063</v>
      </c>
      <c r="H53" s="81">
        <v>40389</v>
      </c>
      <c r="I53" s="81">
        <v>40397</v>
      </c>
      <c r="J53" s="83">
        <f>L53/N53</f>
        <v>1.9214220521021772</v>
      </c>
      <c r="K53" s="32">
        <v>3</v>
      </c>
      <c r="L53" s="33">
        <f>G53/K53</f>
        <v>3.8428441042043544</v>
      </c>
      <c r="M53" s="34"/>
      <c r="N53" s="34">
        <v>2</v>
      </c>
      <c r="O53" s="35">
        <f t="shared" si="79"/>
        <v>0</v>
      </c>
      <c r="P53" s="35">
        <f t="shared" si="80"/>
        <v>26.899908729430482</v>
      </c>
      <c r="Q53" s="34"/>
      <c r="R53" s="33"/>
      <c r="S53" s="34">
        <v>3</v>
      </c>
      <c r="T53" s="83">
        <f ca="1">IF(AND(N53&gt;0,P53&gt;0),SUMIF('Исходные данные'!$C$14:$J$30,S53,'Исходные данные'!$C$34:$J$42),IF(N53=0,0,IF(S53=0,"РОТ")))</f>
        <v>113.60344652812975</v>
      </c>
      <c r="U53" s="130">
        <f>O53*R53*'Исходные данные'!$C$40%</f>
        <v>0</v>
      </c>
      <c r="V53" s="130">
        <f ca="1">P53*T53*'Исходные данные'!$C$41%</f>
        <v>1069.5728200343992</v>
      </c>
      <c r="W53" s="130">
        <f t="shared" si="81"/>
        <v>0</v>
      </c>
      <c r="X53" s="131">
        <f t="shared" ca="1" si="82"/>
        <v>1222.3689371821706</v>
      </c>
      <c r="Y53" s="130">
        <f t="shared" si="83"/>
        <v>0</v>
      </c>
      <c r="Z53" s="131">
        <f t="shared" ca="1" si="84"/>
        <v>267.39320500859986</v>
      </c>
      <c r="AA53" s="130">
        <f t="shared" si="85"/>
        <v>0</v>
      </c>
      <c r="AB53" s="131">
        <f t="shared" ca="1" si="86"/>
        <v>412.54951629898261</v>
      </c>
      <c r="AC53" s="129">
        <v>2.8</v>
      </c>
      <c r="AD53" s="130">
        <f t="shared" si="87"/>
        <v>0</v>
      </c>
      <c r="AE53" s="130">
        <f t="shared" ca="1" si="88"/>
        <v>16877.859100142821</v>
      </c>
      <c r="AF53" s="35">
        <f t="shared" ca="1" si="89"/>
        <v>0</v>
      </c>
      <c r="AG53" s="73">
        <f t="shared" ca="1" si="90"/>
        <v>2521.9789459983522</v>
      </c>
      <c r="AH53" s="35">
        <f t="shared" ca="1" si="91"/>
        <v>0</v>
      </c>
      <c r="AI53" s="35">
        <f t="shared" ca="1" si="92"/>
        <v>19399.838046141173</v>
      </c>
      <c r="AJ53" s="35">
        <f t="shared" ca="1" si="93"/>
        <v>0</v>
      </c>
      <c r="AK53" s="73">
        <f t="shared" ca="1" si="94"/>
        <v>5819.9514138423519</v>
      </c>
      <c r="AL53" s="35">
        <f t="shared" ca="1" si="95"/>
        <v>0</v>
      </c>
      <c r="AM53" s="73">
        <f t="shared" ca="1" si="96"/>
        <v>25219.789459983524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7"/>
        <v>25219.789459983524</v>
      </c>
      <c r="BJ53" s="36">
        <f t="shared" ca="1" si="98"/>
        <v>252.19789459983522</v>
      </c>
      <c r="BK53" s="38">
        <f t="shared" si="99"/>
        <v>0.26899908729430483</v>
      </c>
      <c r="BL53" s="38"/>
      <c r="BM53" s="39"/>
    </row>
    <row r="54" spans="1:65" x14ac:dyDescent="0.2">
      <c r="A54" s="20">
        <v>7</v>
      </c>
      <c r="B54" s="27" t="s">
        <v>95</v>
      </c>
      <c r="C54" s="29">
        <v>10</v>
      </c>
      <c r="D54" s="30" t="s">
        <v>118</v>
      </c>
      <c r="E54" s="31" t="s">
        <v>203</v>
      </c>
      <c r="F54" s="28" t="s">
        <v>109</v>
      </c>
      <c r="G54" s="146">
        <v>11.528532312613063</v>
      </c>
      <c r="H54" s="81">
        <v>40397</v>
      </c>
      <c r="I54" s="81">
        <v>40405</v>
      </c>
      <c r="J54" s="83">
        <f>L54/N54</f>
        <v>3.8428441042043544</v>
      </c>
      <c r="K54" s="32">
        <v>3</v>
      </c>
      <c r="L54" s="33">
        <f t="shared" si="78"/>
        <v>3.8428441042043544</v>
      </c>
      <c r="M54" s="34"/>
      <c r="N54" s="34">
        <v>1</v>
      </c>
      <c r="O54" s="35">
        <f t="shared" si="79"/>
        <v>0</v>
      </c>
      <c r="P54" s="35">
        <f t="shared" si="80"/>
        <v>26.899908729430482</v>
      </c>
      <c r="Q54" s="34"/>
      <c r="R54" s="33"/>
      <c r="S54" s="34">
        <v>4</v>
      </c>
      <c r="T54" s="83">
        <f ca="1">IF(AND(N54&gt;0,P54&gt;0),SUMIF('Исходные данные'!$C$14:$J$30,S54,'Исходные данные'!$C$34:$J$42),IF(N54=0,0,IF(S54=0,"РОТ")))</f>
        <v>123.48200709579322</v>
      </c>
      <c r="U54" s="130">
        <f>O54*R54*'Исходные данные'!$C$40%</f>
        <v>0</v>
      </c>
      <c r="V54" s="130">
        <f ca="1">P54*T54*'Исходные данные'!$C$41%</f>
        <v>1162.5791522113036</v>
      </c>
      <c r="W54" s="130">
        <f t="shared" si="81"/>
        <v>0</v>
      </c>
      <c r="X54" s="131">
        <f t="shared" ca="1" si="82"/>
        <v>1328.66188824149</v>
      </c>
      <c r="Y54" s="130">
        <f t="shared" si="83"/>
        <v>0</v>
      </c>
      <c r="Z54" s="131">
        <f t="shared" ca="1" si="84"/>
        <v>290.6447880528259</v>
      </c>
      <c r="AA54" s="130">
        <f t="shared" si="85"/>
        <v>0</v>
      </c>
      <c r="AB54" s="131">
        <f t="shared" ca="1" si="86"/>
        <v>448.42338728150281</v>
      </c>
      <c r="AC54" s="129">
        <v>2.8</v>
      </c>
      <c r="AD54" s="130">
        <f t="shared" si="87"/>
        <v>0</v>
      </c>
      <c r="AE54" s="130">
        <f t="shared" ca="1" si="88"/>
        <v>18345.499021894368</v>
      </c>
      <c r="AF54" s="35">
        <f t="shared" ca="1" si="89"/>
        <v>0</v>
      </c>
      <c r="AG54" s="73">
        <f t="shared" ca="1" si="90"/>
        <v>2741.2814630416869</v>
      </c>
      <c r="AH54" s="35">
        <f t="shared" ca="1" si="91"/>
        <v>0</v>
      </c>
      <c r="AI54" s="35">
        <f t="shared" ca="1" si="92"/>
        <v>21086.780484936055</v>
      </c>
      <c r="AJ54" s="35">
        <f t="shared" ca="1" si="93"/>
        <v>0</v>
      </c>
      <c r="AK54" s="73">
        <f t="shared" ca="1" si="94"/>
        <v>6326.0341454808158</v>
      </c>
      <c r="AL54" s="35">
        <f t="shared" ca="1" si="95"/>
        <v>0</v>
      </c>
      <c r="AM54" s="73">
        <f t="shared" ca="1" si="96"/>
        <v>27412.814630416869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7"/>
        <v>27412.814630416869</v>
      </c>
      <c r="BJ54" s="36">
        <f t="shared" ca="1" si="98"/>
        <v>274.12814630416869</v>
      </c>
      <c r="BK54" s="38">
        <f t="shared" si="99"/>
        <v>0.26899908729430483</v>
      </c>
      <c r="BL54" s="38"/>
      <c r="BM54" s="39"/>
    </row>
    <row r="55" spans="1:65" x14ac:dyDescent="0.2">
      <c r="A55" s="20">
        <v>8</v>
      </c>
      <c r="B55" s="27" t="s">
        <v>96</v>
      </c>
      <c r="C55" s="29">
        <v>10</v>
      </c>
      <c r="D55" s="30" t="s">
        <v>118</v>
      </c>
      <c r="E55" s="31" t="s">
        <v>203</v>
      </c>
      <c r="F55" s="28" t="s">
        <v>109</v>
      </c>
      <c r="G55" s="146">
        <v>11.528532312613063</v>
      </c>
      <c r="H55" s="81">
        <v>40397</v>
      </c>
      <c r="I55" s="81">
        <v>40410</v>
      </c>
      <c r="J55" s="83">
        <f>L55/N55</f>
        <v>1.9214220521021772</v>
      </c>
      <c r="K55" s="32">
        <v>6</v>
      </c>
      <c r="L55" s="33">
        <f t="shared" si="78"/>
        <v>1.9214220521021772</v>
      </c>
      <c r="M55" s="34"/>
      <c r="N55" s="34">
        <v>1</v>
      </c>
      <c r="O55" s="35">
        <f t="shared" si="79"/>
        <v>0</v>
      </c>
      <c r="P55" s="35">
        <f t="shared" si="80"/>
        <v>13.449954364715241</v>
      </c>
      <c r="Q55" s="34"/>
      <c r="R55" s="33"/>
      <c r="S55" s="34">
        <v>2</v>
      </c>
      <c r="T55" s="83">
        <f ca="1">IF(AND(N55&gt;0,P55&gt;0),SUMIF('Исходные данные'!$C$14:$J$30,S55,'Исходные данные'!$C$34:$J$42),IF(N55=0,0,IF(S55=0,"РОТ")))</f>
        <v>105.700598073999</v>
      </c>
      <c r="U55" s="130">
        <f>O55*R55*'Исходные данные'!$C$40%</f>
        <v>0</v>
      </c>
      <c r="V55" s="130">
        <f ca="1">P55*T55*'Исходные данные'!$C$41%</f>
        <v>497.583877146438</v>
      </c>
      <c r="W55" s="130">
        <f t="shared" si="81"/>
        <v>0</v>
      </c>
      <c r="X55" s="131">
        <f t="shared" ca="1" si="82"/>
        <v>568.66728816735781</v>
      </c>
      <c r="Y55" s="130">
        <f t="shared" si="83"/>
        <v>0</v>
      </c>
      <c r="Z55" s="131">
        <f t="shared" ca="1" si="84"/>
        <v>124.39596928660951</v>
      </c>
      <c r="AA55" s="130">
        <f t="shared" si="85"/>
        <v>0</v>
      </c>
      <c r="AB55" s="131">
        <f t="shared" ca="1" si="86"/>
        <v>191.92520975648324</v>
      </c>
      <c r="AC55" s="129">
        <v>2.8</v>
      </c>
      <c r="AD55" s="130">
        <f t="shared" si="87"/>
        <v>0</v>
      </c>
      <c r="AE55" s="130">
        <f t="shared" ca="1" si="88"/>
        <v>7851.8735813707917</v>
      </c>
      <c r="AF55" s="35">
        <f t="shared" ca="1" si="89"/>
        <v>0</v>
      </c>
      <c r="AG55" s="73">
        <f t="shared" ca="1" si="90"/>
        <v>1173.2684661818423</v>
      </c>
      <c r="AH55" s="35">
        <f t="shared" ca="1" si="91"/>
        <v>0</v>
      </c>
      <c r="AI55" s="35">
        <f t="shared" ca="1" si="92"/>
        <v>9025.1420475526338</v>
      </c>
      <c r="AJ55" s="35">
        <f t="shared" ca="1" si="93"/>
        <v>0</v>
      </c>
      <c r="AK55" s="73">
        <f t="shared" ca="1" si="94"/>
        <v>2707.5426142657902</v>
      </c>
      <c r="AL55" s="35">
        <f t="shared" ca="1" si="95"/>
        <v>0</v>
      </c>
      <c r="AM55" s="73">
        <f t="shared" ca="1" si="96"/>
        <v>11732.684661818425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7"/>
        <v>11732.684661818425</v>
      </c>
      <c r="BJ55" s="36">
        <f t="shared" ca="1" si="98"/>
        <v>117.32684661818425</v>
      </c>
      <c r="BK55" s="38">
        <f t="shared" si="99"/>
        <v>0.13449954364715241</v>
      </c>
      <c r="BL55" s="38"/>
      <c r="BM55" s="39"/>
    </row>
    <row r="56" spans="1:65" s="62" customFormat="1" x14ac:dyDescent="0.2">
      <c r="A56" s="59"/>
      <c r="B56" s="53" t="s">
        <v>21</v>
      </c>
      <c r="C56" s="53"/>
      <c r="D56" s="53"/>
      <c r="E56" s="53"/>
      <c r="F56" s="60"/>
      <c r="G56" s="150"/>
      <c r="H56" s="61"/>
      <c r="I56" s="61"/>
      <c r="J56" s="57">
        <f>SUM(J48:J55)</f>
        <v>214.79327198265912</v>
      </c>
      <c r="K56" s="57"/>
      <c r="L56" s="57">
        <f>SUM(L48:L55)</f>
        <v>216.71469403476129</v>
      </c>
      <c r="M56" s="57">
        <f t="shared" ref="M56:BM56" si="100">SUM(M48:M55)</f>
        <v>3</v>
      </c>
      <c r="N56" s="57">
        <f t="shared" si="100"/>
        <v>6</v>
      </c>
      <c r="O56" s="57">
        <f t="shared" si="100"/>
        <v>586.41975308641963</v>
      </c>
      <c r="P56" s="57">
        <f t="shared" si="100"/>
        <v>930.58310515690971</v>
      </c>
      <c r="Q56" s="57"/>
      <c r="R56" s="57"/>
      <c r="S56" s="57"/>
      <c r="T56" s="57"/>
      <c r="U56" s="57">
        <f t="shared" ca="1" si="100"/>
        <v>0</v>
      </c>
      <c r="V56" s="57">
        <f t="shared" ca="1" si="100"/>
        <v>34668.933234085511</v>
      </c>
      <c r="W56" s="57">
        <f t="shared" ca="1" si="100"/>
        <v>31653.880723095121</v>
      </c>
      <c r="X56" s="57">
        <f t="shared" ca="1" si="100"/>
        <v>39621.637981812011</v>
      </c>
      <c r="Y56" s="57">
        <f t="shared" ca="1" si="100"/>
        <v>11078.858253083294</v>
      </c>
      <c r="Z56" s="57">
        <f t="shared" ca="1" si="100"/>
        <v>8667.2333085213795</v>
      </c>
      <c r="AA56" s="57">
        <f t="shared" ca="1" si="100"/>
        <v>7913.4701807737802</v>
      </c>
      <c r="AB56" s="57">
        <f t="shared" ca="1" si="100"/>
        <v>13372.302818861554</v>
      </c>
      <c r="AC56" s="57"/>
      <c r="AD56" s="57">
        <f t="shared" ca="1" si="100"/>
        <v>363386.55070113193</v>
      </c>
      <c r="AE56" s="57">
        <f t="shared" ca="1" si="100"/>
        <v>547075.76643386937</v>
      </c>
      <c r="AF56" s="57">
        <f t="shared" ca="1" si="100"/>
        <v>54299.139759939251</v>
      </c>
      <c r="AG56" s="57">
        <f t="shared" ca="1" si="100"/>
        <v>81746.953605060931</v>
      </c>
      <c r="AH56" s="57">
        <f t="shared" ca="1" si="100"/>
        <v>417685.69046107121</v>
      </c>
      <c r="AI56" s="57">
        <f t="shared" ca="1" si="100"/>
        <v>628822.7200389303</v>
      </c>
      <c r="AJ56" s="57">
        <f t="shared" ca="1" si="100"/>
        <v>125305.70713832136</v>
      </c>
      <c r="AK56" s="57">
        <f t="shared" ca="1" si="100"/>
        <v>188646.81601167907</v>
      </c>
      <c r="AL56" s="57">
        <f t="shared" ca="1" si="100"/>
        <v>542991.39759939257</v>
      </c>
      <c r="AM56" s="57">
        <f t="shared" ca="1" si="100"/>
        <v>817469.53605060931</v>
      </c>
      <c r="AN56" s="57"/>
      <c r="AO56" s="57"/>
      <c r="AP56" s="57" t="e">
        <f t="shared" si="100"/>
        <v>#REF!</v>
      </c>
      <c r="AQ56" s="57"/>
      <c r="AR56" s="57"/>
      <c r="AS56" s="57" t="e">
        <f t="shared" si="100"/>
        <v>#REF!</v>
      </c>
      <c r="AT56" s="57"/>
      <c r="AU56" s="57"/>
      <c r="AV56" s="57"/>
      <c r="AW56" s="57"/>
      <c r="AX56" s="57"/>
      <c r="AY56" s="57">
        <f t="shared" si="100"/>
        <v>0</v>
      </c>
      <c r="AZ56" s="57"/>
      <c r="BA56" s="57">
        <f t="shared" si="100"/>
        <v>5231.0429361103879</v>
      </c>
      <c r="BB56" s="57"/>
      <c r="BC56" s="57">
        <f t="shared" si="100"/>
        <v>0</v>
      </c>
      <c r="BD56" s="57"/>
      <c r="BE56" s="57">
        <f t="shared" si="100"/>
        <v>0</v>
      </c>
      <c r="BF56" s="57"/>
      <c r="BG56" s="57">
        <f t="shared" si="100"/>
        <v>0</v>
      </c>
      <c r="BH56" s="57">
        <f t="shared" si="100"/>
        <v>212443.85185185182</v>
      </c>
      <c r="BI56" s="57" t="e">
        <f t="shared" ca="1" si="100"/>
        <v>#REF!</v>
      </c>
      <c r="BJ56" s="57"/>
      <c r="BK56" s="57"/>
      <c r="BL56" s="57"/>
      <c r="BM56" s="57">
        <f t="shared" si="100"/>
        <v>0</v>
      </c>
    </row>
    <row r="57" spans="1:65" ht="11.25" customHeight="1" x14ac:dyDescent="0.2">
      <c r="A57" s="20"/>
      <c r="B57" s="522" t="s">
        <v>102</v>
      </c>
      <c r="C57" s="522"/>
      <c r="D57" s="522"/>
      <c r="E57" s="522"/>
      <c r="F57" s="28"/>
      <c r="G57" s="146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76</v>
      </c>
      <c r="C58" s="29">
        <v>10</v>
      </c>
      <c r="D58" s="30" t="s">
        <v>118</v>
      </c>
      <c r="E58" s="31" t="s">
        <v>213</v>
      </c>
      <c r="F58" s="28" t="s">
        <v>106</v>
      </c>
      <c r="G58" s="146">
        <v>100</v>
      </c>
      <c r="H58" s="81">
        <v>40374</v>
      </c>
      <c r="I58" s="81">
        <v>40384</v>
      </c>
      <c r="J58" s="83">
        <f>L58/N58</f>
        <v>166.66666666666669</v>
      </c>
      <c r="K58" s="32">
        <v>0.6</v>
      </c>
      <c r="L58" s="33">
        <f>G58/K58</f>
        <v>166.66666666666669</v>
      </c>
      <c r="M58" s="34"/>
      <c r="N58" s="34">
        <v>1</v>
      </c>
      <c r="O58" s="35">
        <f t="shared" ref="O58:O64" si="101">IF(M58=0,0,L58*$O$15)</f>
        <v>0</v>
      </c>
      <c r="P58" s="35">
        <f t="shared" ref="P58:P64" si="102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данные'!$C$14:$J$30,S58,'Исходные данные'!$C$34:$J$42),IF(N58=0,0,IF(S58=0,"РОТ")))</f>
        <v>123.48200709579322</v>
      </c>
      <c r="U58" s="130">
        <f>O58*R58*'Исходные данные'!$C$40%</f>
        <v>0</v>
      </c>
      <c r="V58" s="130">
        <f ca="1">P58*T58*'Исходные данные'!$C$41%</f>
        <v>50421.819564115569</v>
      </c>
      <c r="W58" s="130">
        <f t="shared" ref="W58:W64" si="103">O58*R58*$W$15</f>
        <v>0</v>
      </c>
      <c r="X58" s="131">
        <f t="shared" ref="X58:X64" ca="1" si="104">P58*T58*$W$15</f>
        <v>57624.936644703514</v>
      </c>
      <c r="Y58" s="130">
        <f t="shared" ref="Y58:Y64" si="105">(O58*R58+U58+W58)*$Y$15</f>
        <v>0</v>
      </c>
      <c r="Z58" s="131"/>
      <c r="AA58" s="130">
        <f t="shared" ref="AA58:AA64" si="106">(O58*R58+U58)*$AA$15</f>
        <v>0</v>
      </c>
      <c r="AB58" s="131"/>
      <c r="AC58" s="129">
        <v>2.8</v>
      </c>
      <c r="AD58" s="130">
        <f t="shared" ref="AD58:AD64" si="107">(O58*R58+U58+W58+Y58+AA58)*AC58</f>
        <v>0</v>
      </c>
      <c r="AE58" s="130">
        <f t="shared" ref="AE58:AE64" ca="1" si="108">(P58*T58+V58+X58+Z58+AB58)*AC58</f>
        <v>705905.47389761789</v>
      </c>
      <c r="AF58" s="35">
        <f t="shared" ref="AF58:AF64" ca="1" si="109">AD58*$AF$15</f>
        <v>0</v>
      </c>
      <c r="AG58" s="73">
        <f t="shared" ref="AG58:AG64" ca="1" si="110">AE58*$AF$15</f>
        <v>105480.12828355208</v>
      </c>
      <c r="AH58" s="35">
        <f t="shared" ref="AH58:AH64" ca="1" si="111">AD58+AF58</f>
        <v>0</v>
      </c>
      <c r="AI58" s="35">
        <f t="shared" ref="AI58:AI64" ca="1" si="112">AE58+AG58</f>
        <v>811385.60218117002</v>
      </c>
      <c r="AJ58" s="35">
        <f t="shared" ref="AJ58:AJ64" ca="1" si="113">AH58*$AJ$15</f>
        <v>0</v>
      </c>
      <c r="AK58" s="73">
        <f t="shared" ref="AK58:AK64" ca="1" si="114">AI58*$AJ$15</f>
        <v>243415.68065435099</v>
      </c>
      <c r="AL58" s="35">
        <f t="shared" ref="AL58:AL64" ca="1" si="115">AH58+AJ58</f>
        <v>0</v>
      </c>
      <c r="AM58" s="73">
        <f t="shared" ref="AM58:AM64" ca="1" si="116">AK58+AI58</f>
        <v>1054801.282835521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7">AL58+AM58+AS58+AY58+BA58+BC58+BE58+BG58+BH58+AW58</f>
        <v>1054801.282835521</v>
      </c>
      <c r="BJ58" s="36">
        <f t="shared" ref="BJ58:BJ64" ca="1" si="118">BI58/$D$5</f>
        <v>10548.012828355211</v>
      </c>
      <c r="BK58" s="38">
        <f t="shared" ref="BK58:BK64" si="119">(O58+P58)/$D$5</f>
        <v>11.666666666666668</v>
      </c>
      <c r="BL58" s="38"/>
      <c r="BM58" s="39"/>
    </row>
    <row r="59" spans="1:65" x14ac:dyDescent="0.2">
      <c r="A59" s="20">
        <v>2</v>
      </c>
      <c r="B59" s="27" t="s">
        <v>84</v>
      </c>
      <c r="C59" s="29">
        <v>10</v>
      </c>
      <c r="D59" s="30" t="s">
        <v>118</v>
      </c>
      <c r="E59" s="31" t="s">
        <v>208</v>
      </c>
      <c r="F59" s="28" t="s">
        <v>106</v>
      </c>
      <c r="G59" s="146">
        <v>20</v>
      </c>
      <c r="H59" s="81">
        <v>40376</v>
      </c>
      <c r="I59" s="81">
        <v>40386</v>
      </c>
      <c r="J59" s="83">
        <f t="shared" ref="J59:J64" si="120">L59/N59</f>
        <v>12.5</v>
      </c>
      <c r="K59" s="32">
        <v>1.6</v>
      </c>
      <c r="L59" s="33">
        <f t="shared" ref="L59:L64" si="121">G59/K59</f>
        <v>12.5</v>
      </c>
      <c r="M59" s="34"/>
      <c r="N59" s="34">
        <v>1</v>
      </c>
      <c r="O59" s="35">
        <f t="shared" si="101"/>
        <v>0</v>
      </c>
      <c r="P59" s="35">
        <f t="shared" si="102"/>
        <v>87.5</v>
      </c>
      <c r="Q59" s="34"/>
      <c r="R59" s="33"/>
      <c r="S59" s="34">
        <v>1</v>
      </c>
      <c r="T59" s="83">
        <f ca="1">IF(AND(N59&gt;0,P59&gt;0),SUMIF('Исходные данные'!$C$14:$J$30,S59,'Исходные данные'!$C$34:$J$42),IF(N59=0,0,IF(S59=0,"РОТ")))</f>
        <v>98.785605676634574</v>
      </c>
      <c r="U59" s="130">
        <f>O59*R59*'Исходные данные'!$C$40%</f>
        <v>0</v>
      </c>
      <c r="V59" s="130">
        <f ca="1">P59*T59*'Исходные данные'!$C$41%</f>
        <v>3025.3091738469334</v>
      </c>
      <c r="W59" s="130">
        <f t="shared" si="103"/>
        <v>0</v>
      </c>
      <c r="X59" s="131">
        <f t="shared" ca="1" si="104"/>
        <v>3457.49619868221</v>
      </c>
      <c r="Y59" s="130">
        <f t="shared" si="105"/>
        <v>0</v>
      </c>
      <c r="Z59" s="131"/>
      <c r="AA59" s="130">
        <f t="shared" si="106"/>
        <v>0</v>
      </c>
      <c r="AB59" s="131"/>
      <c r="AC59" s="129">
        <v>2.8</v>
      </c>
      <c r="AD59" s="130">
        <f t="shared" si="107"/>
        <v>0</v>
      </c>
      <c r="AE59" s="130">
        <f t="shared" ca="1" si="108"/>
        <v>42354.328433857074</v>
      </c>
      <c r="AF59" s="35">
        <f t="shared" ca="1" si="109"/>
        <v>0</v>
      </c>
      <c r="AG59" s="73">
        <f t="shared" ca="1" si="110"/>
        <v>6328.8076970131251</v>
      </c>
      <c r="AH59" s="35">
        <f t="shared" ca="1" si="111"/>
        <v>0</v>
      </c>
      <c r="AI59" s="35">
        <f t="shared" ca="1" si="112"/>
        <v>48683.136130870196</v>
      </c>
      <c r="AJ59" s="35">
        <f t="shared" ca="1" si="113"/>
        <v>0</v>
      </c>
      <c r="AK59" s="73">
        <f t="shared" ca="1" si="114"/>
        <v>14604.940839261058</v>
      </c>
      <c r="AL59" s="35">
        <f t="shared" ca="1" si="115"/>
        <v>0</v>
      </c>
      <c r="AM59" s="73">
        <f t="shared" ca="1" si="116"/>
        <v>63288.076970131253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7"/>
        <v>63288.076970131253</v>
      </c>
      <c r="BJ59" s="36">
        <f t="shared" ca="1" si="118"/>
        <v>632.88076970131249</v>
      </c>
      <c r="BK59" s="38">
        <f t="shared" si="119"/>
        <v>0.875</v>
      </c>
      <c r="BL59" s="38"/>
      <c r="BM59" s="39"/>
    </row>
    <row r="60" spans="1:65" x14ac:dyDescent="0.2">
      <c r="A60" s="20">
        <v>3</v>
      </c>
      <c r="B60" s="27" t="s">
        <v>100</v>
      </c>
      <c r="C60" s="29">
        <v>10</v>
      </c>
      <c r="D60" s="30" t="s">
        <v>118</v>
      </c>
      <c r="E60" s="31" t="s">
        <v>208</v>
      </c>
      <c r="F60" s="28" t="s">
        <v>106</v>
      </c>
      <c r="G60" s="146">
        <v>100</v>
      </c>
      <c r="H60" s="81">
        <v>40377</v>
      </c>
      <c r="I60" s="81">
        <v>40387</v>
      </c>
      <c r="J60" s="83">
        <f t="shared" si="120"/>
        <v>125</v>
      </c>
      <c r="K60" s="32">
        <v>0.8</v>
      </c>
      <c r="L60" s="33">
        <f t="shared" si="121"/>
        <v>125</v>
      </c>
      <c r="M60" s="34"/>
      <c r="N60" s="34">
        <v>1</v>
      </c>
      <c r="O60" s="35">
        <f t="shared" si="101"/>
        <v>0</v>
      </c>
      <c r="P60" s="35">
        <f t="shared" si="102"/>
        <v>875</v>
      </c>
      <c r="Q60" s="34"/>
      <c r="R60" s="33"/>
      <c r="S60" s="34">
        <v>2</v>
      </c>
      <c r="T60" s="83">
        <f ca="1">IF(AND(N60&gt;0,P60&gt;0),SUMIF('Исходные данные'!$C$14:$J$30,S60,'Исходные данные'!$C$34:$J$42),IF(N60=0,0,IF(S60=0,"РОТ")))</f>
        <v>105.700598073999</v>
      </c>
      <c r="U60" s="130">
        <f>O60*R60*'Исходные данные'!$C$40%</f>
        <v>0</v>
      </c>
      <c r="V60" s="130">
        <f ca="1">P60*T60*'Исходные данные'!$C$41%</f>
        <v>32370.808160162193</v>
      </c>
      <c r="W60" s="130">
        <f t="shared" si="103"/>
        <v>0</v>
      </c>
      <c r="X60" s="131">
        <f t="shared" ca="1" si="104"/>
        <v>36995.209325899654</v>
      </c>
      <c r="Y60" s="130">
        <f t="shared" si="105"/>
        <v>0</v>
      </c>
      <c r="Z60" s="131"/>
      <c r="AA60" s="130">
        <f t="shared" si="106"/>
        <v>0</v>
      </c>
      <c r="AB60" s="131"/>
      <c r="AC60" s="129">
        <v>2.8</v>
      </c>
      <c r="AD60" s="130">
        <f t="shared" si="107"/>
        <v>0</v>
      </c>
      <c r="AE60" s="130">
        <f t="shared" ca="1" si="108"/>
        <v>453191.31424227066</v>
      </c>
      <c r="AF60" s="35">
        <f t="shared" ca="1" si="109"/>
        <v>0</v>
      </c>
      <c r="AG60" s="73">
        <f t="shared" ca="1" si="110"/>
        <v>67718.242358040443</v>
      </c>
      <c r="AH60" s="35">
        <f t="shared" ca="1" si="111"/>
        <v>0</v>
      </c>
      <c r="AI60" s="35">
        <f t="shared" ca="1" si="112"/>
        <v>520909.55660031107</v>
      </c>
      <c r="AJ60" s="35">
        <f t="shared" ca="1" si="113"/>
        <v>0</v>
      </c>
      <c r="AK60" s="73">
        <f t="shared" ca="1" si="114"/>
        <v>156272.86698009333</v>
      </c>
      <c r="AL60" s="35">
        <f t="shared" ca="1" si="115"/>
        <v>0</v>
      </c>
      <c r="AM60" s="73">
        <f t="shared" ca="1" si="116"/>
        <v>677182.42358040437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7"/>
        <v>677182.42358040437</v>
      </c>
      <c r="BJ60" s="36">
        <f t="shared" ca="1" si="118"/>
        <v>6771.8242358040434</v>
      </c>
      <c r="BK60" s="38">
        <f t="shared" si="119"/>
        <v>8.75</v>
      </c>
      <c r="BL60" s="38"/>
      <c r="BM60" s="39"/>
    </row>
    <row r="61" spans="1:65" x14ac:dyDescent="0.2">
      <c r="A61" s="20">
        <v>4</v>
      </c>
      <c r="B61" s="27" t="s">
        <v>93</v>
      </c>
      <c r="C61" s="29">
        <v>10</v>
      </c>
      <c r="D61" s="30" t="s">
        <v>118</v>
      </c>
      <c r="E61" s="31" t="s">
        <v>203</v>
      </c>
      <c r="F61" s="28" t="s">
        <v>106</v>
      </c>
      <c r="G61" s="146">
        <v>100</v>
      </c>
      <c r="H61" s="81">
        <v>40378</v>
      </c>
      <c r="I61" s="81">
        <v>40388</v>
      </c>
      <c r="J61" s="83">
        <f t="shared" si="120"/>
        <v>28.571428571428573</v>
      </c>
      <c r="K61" s="32">
        <v>3.5</v>
      </c>
      <c r="L61" s="33">
        <f t="shared" si="121"/>
        <v>28.571428571428573</v>
      </c>
      <c r="M61" s="34"/>
      <c r="N61" s="34">
        <v>1</v>
      </c>
      <c r="O61" s="35">
        <f t="shared" si="101"/>
        <v>0</v>
      </c>
      <c r="P61" s="35">
        <f t="shared" si="102"/>
        <v>200</v>
      </c>
      <c r="Q61" s="34"/>
      <c r="R61" s="33"/>
      <c r="S61" s="34">
        <v>2</v>
      </c>
      <c r="T61" s="83">
        <f ca="1">IF(AND(N61&gt;0,P61&gt;0),SUMIF('Исходные данные'!$C$14:$J$30,S61,'Исходные данные'!$C$34:$J$42),IF(N61=0,0,IF(S61=0,"РОТ")))</f>
        <v>105.700598073999</v>
      </c>
      <c r="U61" s="130">
        <f>O61*R61*'Исходные данные'!$C$40%</f>
        <v>0</v>
      </c>
      <c r="V61" s="130">
        <f ca="1">P61*T61*'Исходные данные'!$C$41%</f>
        <v>7399.04186517993</v>
      </c>
      <c r="W61" s="130">
        <f t="shared" si="103"/>
        <v>0</v>
      </c>
      <c r="X61" s="131">
        <f t="shared" ca="1" si="104"/>
        <v>8456.0478459199203</v>
      </c>
      <c r="Y61" s="130">
        <f t="shared" si="105"/>
        <v>0</v>
      </c>
      <c r="Z61" s="131"/>
      <c r="AA61" s="130">
        <f t="shared" si="106"/>
        <v>0</v>
      </c>
      <c r="AB61" s="131"/>
      <c r="AC61" s="129">
        <v>2.8</v>
      </c>
      <c r="AD61" s="130">
        <f t="shared" si="107"/>
        <v>0</v>
      </c>
      <c r="AE61" s="130">
        <f t="shared" ca="1" si="108"/>
        <v>103586.58611251903</v>
      </c>
      <c r="AF61" s="35">
        <f t="shared" ca="1" si="109"/>
        <v>0</v>
      </c>
      <c r="AG61" s="73">
        <f t="shared" ca="1" si="110"/>
        <v>15478.455396123531</v>
      </c>
      <c r="AH61" s="35">
        <f t="shared" ca="1" si="111"/>
        <v>0</v>
      </c>
      <c r="AI61" s="35">
        <f t="shared" ca="1" si="112"/>
        <v>119065.04150864256</v>
      </c>
      <c r="AJ61" s="35">
        <f t="shared" ca="1" si="113"/>
        <v>0</v>
      </c>
      <c r="AK61" s="73">
        <f t="shared" ca="1" si="114"/>
        <v>35719.512452592768</v>
      </c>
      <c r="AL61" s="35">
        <f t="shared" ca="1" si="115"/>
        <v>0</v>
      </c>
      <c r="AM61" s="73">
        <f t="shared" ca="1" si="116"/>
        <v>154784.55396123533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7"/>
        <v>154784.55396123533</v>
      </c>
      <c r="BJ61" s="36">
        <f t="shared" ca="1" si="118"/>
        <v>1547.8455396123534</v>
      </c>
      <c r="BK61" s="38">
        <f t="shared" si="119"/>
        <v>2</v>
      </c>
      <c r="BL61" s="38"/>
      <c r="BM61" s="39"/>
    </row>
    <row r="62" spans="1:65" x14ac:dyDescent="0.2">
      <c r="A62" s="20">
        <v>5</v>
      </c>
      <c r="B62" s="27" t="s">
        <v>101</v>
      </c>
      <c r="C62" s="29">
        <v>10</v>
      </c>
      <c r="D62" s="30" t="s">
        <v>118</v>
      </c>
      <c r="E62" s="31" t="s">
        <v>212</v>
      </c>
      <c r="F62" s="28" t="s">
        <v>109</v>
      </c>
      <c r="G62" s="146">
        <v>139.48235294117649</v>
      </c>
      <c r="H62" s="81">
        <v>40389</v>
      </c>
      <c r="I62" s="81">
        <v>40397</v>
      </c>
      <c r="J62" s="83">
        <f t="shared" si="120"/>
        <v>19.926050420168071</v>
      </c>
      <c r="K62" s="32">
        <v>3.5</v>
      </c>
      <c r="L62" s="33">
        <f t="shared" si="121"/>
        <v>39.852100840336142</v>
      </c>
      <c r="M62" s="34"/>
      <c r="N62" s="34">
        <v>2</v>
      </c>
      <c r="O62" s="35">
        <f t="shared" si="101"/>
        <v>0</v>
      </c>
      <c r="P62" s="35">
        <f t="shared" si="102"/>
        <v>278.96470588235297</v>
      </c>
      <c r="Q62" s="34"/>
      <c r="R62" s="33"/>
      <c r="S62" s="34">
        <v>3</v>
      </c>
      <c r="T62" s="83">
        <f ca="1">IF(AND(N62&gt;0,P62&gt;0),SUMIF('Исходные данные'!$C$14:$J$30,S62,'Исходные данные'!$C$34:$J$42),IF(N62=0,0,IF(S62=0,"РОТ")))</f>
        <v>113.60344652812975</v>
      </c>
      <c r="U62" s="130">
        <f>O62*R62*'Исходные данные'!$C$40%</f>
        <v>0</v>
      </c>
      <c r="V62" s="130">
        <f ca="1">P62*T62*'Исходные данные'!$C$41%</f>
        <v>11091.973216779465</v>
      </c>
      <c r="W62" s="130">
        <f t="shared" si="103"/>
        <v>0</v>
      </c>
      <c r="X62" s="131">
        <f t="shared" ca="1" si="104"/>
        <v>12676.540819176531</v>
      </c>
      <c r="Y62" s="130">
        <f t="shared" si="105"/>
        <v>0</v>
      </c>
      <c r="Z62" s="131"/>
      <c r="AA62" s="130">
        <f t="shared" si="106"/>
        <v>0</v>
      </c>
      <c r="AB62" s="131"/>
      <c r="AC62" s="129">
        <v>2.8</v>
      </c>
      <c r="AD62" s="130">
        <f t="shared" si="107"/>
        <v>0</v>
      </c>
      <c r="AE62" s="130">
        <f t="shared" ca="1" si="108"/>
        <v>155287.62503491249</v>
      </c>
      <c r="AF62" s="35">
        <f t="shared" ca="1" si="109"/>
        <v>0</v>
      </c>
      <c r="AG62" s="73">
        <f t="shared" ca="1" si="110"/>
        <v>23203.897993722552</v>
      </c>
      <c r="AH62" s="35">
        <f t="shared" ca="1" si="111"/>
        <v>0</v>
      </c>
      <c r="AI62" s="35">
        <f t="shared" ca="1" si="112"/>
        <v>178491.52302863504</v>
      </c>
      <c r="AJ62" s="35">
        <f t="shared" ca="1" si="113"/>
        <v>0</v>
      </c>
      <c r="AK62" s="73">
        <f t="shared" ca="1" si="114"/>
        <v>53547.45690859051</v>
      </c>
      <c r="AL62" s="35">
        <f t="shared" ca="1" si="115"/>
        <v>0</v>
      </c>
      <c r="AM62" s="73">
        <f t="shared" ca="1" si="116"/>
        <v>232038.97993722555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7"/>
        <v>232038.97993722555</v>
      </c>
      <c r="BJ62" s="36">
        <f t="shared" ca="1" si="118"/>
        <v>2320.3897993722553</v>
      </c>
      <c r="BK62" s="38">
        <f t="shared" si="119"/>
        <v>2.7896470588235296</v>
      </c>
      <c r="BL62" s="38"/>
      <c r="BM62" s="39"/>
    </row>
    <row r="63" spans="1:65" x14ac:dyDescent="0.2">
      <c r="A63" s="20">
        <v>6</v>
      </c>
      <c r="B63" s="27" t="s">
        <v>95</v>
      </c>
      <c r="C63" s="29">
        <v>10</v>
      </c>
      <c r="D63" s="30" t="s">
        <v>118</v>
      </c>
      <c r="E63" s="31" t="s">
        <v>203</v>
      </c>
      <c r="F63" s="28" t="s">
        <v>109</v>
      </c>
      <c r="G63" s="146">
        <v>139.48235294117649</v>
      </c>
      <c r="H63" s="81">
        <v>40397</v>
      </c>
      <c r="I63" s="81">
        <v>40405</v>
      </c>
      <c r="J63" s="83">
        <f t="shared" si="120"/>
        <v>19.926050420168071</v>
      </c>
      <c r="K63" s="32">
        <v>7</v>
      </c>
      <c r="L63" s="33">
        <f t="shared" si="121"/>
        <v>19.926050420168071</v>
      </c>
      <c r="M63" s="34"/>
      <c r="N63" s="34">
        <v>1</v>
      </c>
      <c r="O63" s="35">
        <f t="shared" si="101"/>
        <v>0</v>
      </c>
      <c r="P63" s="35">
        <f t="shared" si="102"/>
        <v>139.48235294117649</v>
      </c>
      <c r="Q63" s="34"/>
      <c r="R63" s="33"/>
      <c r="S63" s="34">
        <v>3</v>
      </c>
      <c r="T63" s="83">
        <f ca="1">IF(AND(N63&gt;0,P63&gt;0),SUMIF('Исходные данные'!$C$14:$J$30,S63,'Исходные данные'!$C$34:$J$42),IF(N63=0,0,IF(S63=0,"РОТ")))</f>
        <v>113.60344652812975</v>
      </c>
      <c r="U63" s="130">
        <f>O63*R63*'Исходные данные'!$C$40%</f>
        <v>0</v>
      </c>
      <c r="V63" s="130">
        <f ca="1">P63*T63*'Исходные данные'!$C$41%</f>
        <v>5545.9866083897323</v>
      </c>
      <c r="W63" s="130">
        <f t="shared" si="103"/>
        <v>0</v>
      </c>
      <c r="X63" s="131">
        <f t="shared" ca="1" si="104"/>
        <v>6338.2704095882655</v>
      </c>
      <c r="Y63" s="130">
        <f t="shared" si="105"/>
        <v>0</v>
      </c>
      <c r="Z63" s="131"/>
      <c r="AA63" s="130">
        <f t="shared" si="106"/>
        <v>0</v>
      </c>
      <c r="AB63" s="131"/>
      <c r="AC63" s="129">
        <v>2.8</v>
      </c>
      <c r="AD63" s="130">
        <f t="shared" si="107"/>
        <v>0</v>
      </c>
      <c r="AE63" s="130">
        <f t="shared" ca="1" si="108"/>
        <v>77643.812517456245</v>
      </c>
      <c r="AF63" s="35">
        <f t="shared" ca="1" si="109"/>
        <v>0</v>
      </c>
      <c r="AG63" s="73">
        <f t="shared" ca="1" si="110"/>
        <v>11601.948996861276</v>
      </c>
      <c r="AH63" s="35">
        <f t="shared" ca="1" si="111"/>
        <v>0</v>
      </c>
      <c r="AI63" s="35">
        <f t="shared" ca="1" si="112"/>
        <v>89245.761514317521</v>
      </c>
      <c r="AJ63" s="35">
        <f t="shared" ca="1" si="113"/>
        <v>0</v>
      </c>
      <c r="AK63" s="73">
        <f t="shared" ca="1" si="114"/>
        <v>26773.728454295255</v>
      </c>
      <c r="AL63" s="35">
        <f t="shared" ca="1" si="115"/>
        <v>0</v>
      </c>
      <c r="AM63" s="73">
        <f t="shared" ca="1" si="116"/>
        <v>116019.48996861278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7"/>
        <v>116019.48996861278</v>
      </c>
      <c r="BJ63" s="36">
        <f t="shared" ca="1" si="118"/>
        <v>1160.1948996861277</v>
      </c>
      <c r="BK63" s="38">
        <f t="shared" si="119"/>
        <v>1.3948235294117648</v>
      </c>
      <c r="BL63" s="38"/>
      <c r="BM63" s="39"/>
    </row>
    <row r="64" spans="1:65" x14ac:dyDescent="0.2">
      <c r="A64" s="20">
        <v>7</v>
      </c>
      <c r="B64" s="27" t="s">
        <v>96</v>
      </c>
      <c r="C64" s="29">
        <v>10</v>
      </c>
      <c r="D64" s="30" t="s">
        <v>118</v>
      </c>
      <c r="E64" s="31" t="s">
        <v>203</v>
      </c>
      <c r="F64" s="28" t="s">
        <v>109</v>
      </c>
      <c r="G64" s="146">
        <v>139.48235294117649</v>
      </c>
      <c r="H64" s="81">
        <v>40397</v>
      </c>
      <c r="I64" s="81">
        <v>40410</v>
      </c>
      <c r="J64" s="83">
        <f t="shared" si="120"/>
        <v>12.680213903743317</v>
      </c>
      <c r="K64" s="32">
        <v>11</v>
      </c>
      <c r="L64" s="33">
        <f t="shared" si="121"/>
        <v>12.680213903743317</v>
      </c>
      <c r="M64" s="34"/>
      <c r="N64" s="34">
        <v>1</v>
      </c>
      <c r="O64" s="35">
        <f t="shared" si="101"/>
        <v>0</v>
      </c>
      <c r="P64" s="35">
        <f t="shared" si="102"/>
        <v>88.761497326203212</v>
      </c>
      <c r="Q64" s="34"/>
      <c r="R64" s="33"/>
      <c r="S64" s="34">
        <v>2</v>
      </c>
      <c r="T64" s="83">
        <f ca="1">IF(AND(N64&gt;0,P64&gt;0),SUMIF('Исходные данные'!$C$14:$J$30,S64,'Исходные данные'!$C$34:$J$42),IF(N64=0,0,IF(S64=0,"РОТ")))</f>
        <v>105.700598073999</v>
      </c>
      <c r="U64" s="130">
        <f>O64*R64*'Исходные данные'!$C$40%</f>
        <v>0</v>
      </c>
      <c r="V64" s="130">
        <f ca="1">P64*T64*'Исходные данные'!$C$41%</f>
        <v>3283.7501736631698</v>
      </c>
      <c r="W64" s="130">
        <f t="shared" si="103"/>
        <v>0</v>
      </c>
      <c r="X64" s="131">
        <f t="shared" ca="1" si="104"/>
        <v>3752.8573413293375</v>
      </c>
      <c r="Y64" s="130">
        <f t="shared" si="105"/>
        <v>0</v>
      </c>
      <c r="Z64" s="131"/>
      <c r="AA64" s="130">
        <f t="shared" si="106"/>
        <v>0</v>
      </c>
      <c r="AB64" s="131"/>
      <c r="AC64" s="129">
        <v>2.8</v>
      </c>
      <c r="AD64" s="130">
        <f t="shared" si="107"/>
        <v>0</v>
      </c>
      <c r="AE64" s="130">
        <f t="shared" ca="1" si="108"/>
        <v>45972.502431284374</v>
      </c>
      <c r="AF64" s="35">
        <f t="shared" ca="1" si="109"/>
        <v>0</v>
      </c>
      <c r="AG64" s="73">
        <f t="shared" ca="1" si="110"/>
        <v>6869.4543862838709</v>
      </c>
      <c r="AH64" s="35">
        <f t="shared" ca="1" si="111"/>
        <v>0</v>
      </c>
      <c r="AI64" s="35">
        <f t="shared" ca="1" si="112"/>
        <v>52841.956817568243</v>
      </c>
      <c r="AJ64" s="35">
        <f t="shared" ca="1" si="113"/>
        <v>0</v>
      </c>
      <c r="AK64" s="73">
        <f t="shared" ca="1" si="114"/>
        <v>15852.587045270473</v>
      </c>
      <c r="AL64" s="35">
        <f t="shared" ca="1" si="115"/>
        <v>0</v>
      </c>
      <c r="AM64" s="73">
        <f t="shared" ca="1" si="116"/>
        <v>68694.54386283872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7"/>
        <v>68694.54386283872</v>
      </c>
      <c r="BJ64" s="36">
        <f t="shared" ca="1" si="118"/>
        <v>686.94543862838725</v>
      </c>
      <c r="BK64" s="38">
        <f t="shared" si="119"/>
        <v>0.88761497326203209</v>
      </c>
      <c r="BL64" s="38"/>
      <c r="BM64" s="39"/>
    </row>
    <row r="65" spans="1:65" s="62" customFormat="1" x14ac:dyDescent="0.2">
      <c r="A65" s="59"/>
      <c r="B65" s="53" t="s">
        <v>21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22">SUM(L58:L64)</f>
        <v>405.19646040234278</v>
      </c>
      <c r="M65" s="57">
        <f t="shared" si="122"/>
        <v>0</v>
      </c>
      <c r="N65" s="57">
        <f t="shared" si="122"/>
        <v>8</v>
      </c>
      <c r="O65" s="57">
        <f t="shared" si="122"/>
        <v>0</v>
      </c>
      <c r="P65" s="57">
        <f t="shared" si="122"/>
        <v>2836.3752228163999</v>
      </c>
      <c r="Q65" s="57"/>
      <c r="R65" s="57"/>
      <c r="S65" s="57"/>
      <c r="T65" s="57"/>
      <c r="U65" s="57">
        <f t="shared" si="122"/>
        <v>0</v>
      </c>
      <c r="V65" s="57">
        <f t="shared" ca="1" si="122"/>
        <v>113138.688762137</v>
      </c>
      <c r="W65" s="57">
        <f t="shared" si="122"/>
        <v>0</v>
      </c>
      <c r="X65" s="57">
        <f t="shared" ca="1" si="122"/>
        <v>129301.35858529943</v>
      </c>
      <c r="Y65" s="57">
        <f t="shared" si="122"/>
        <v>0</v>
      </c>
      <c r="Z65" s="57">
        <f t="shared" si="122"/>
        <v>0</v>
      </c>
      <c r="AA65" s="57">
        <f t="shared" si="122"/>
        <v>0</v>
      </c>
      <c r="AB65" s="57">
        <f t="shared" si="122"/>
        <v>0</v>
      </c>
      <c r="AC65" s="57"/>
      <c r="AD65" s="57">
        <f t="shared" si="122"/>
        <v>0</v>
      </c>
      <c r="AE65" s="57">
        <f t="shared" ca="1" si="122"/>
        <v>1583941.6426699178</v>
      </c>
      <c r="AF65" s="57">
        <f t="shared" ca="1" si="122"/>
        <v>0</v>
      </c>
      <c r="AG65" s="57">
        <f t="shared" ca="1" si="122"/>
        <v>236680.93511159689</v>
      </c>
      <c r="AH65" s="57">
        <f t="shared" ca="1" si="122"/>
        <v>0</v>
      </c>
      <c r="AI65" s="57">
        <f t="shared" ca="1" si="122"/>
        <v>1820622.5777815145</v>
      </c>
      <c r="AJ65" s="57">
        <f t="shared" ca="1" si="122"/>
        <v>0</v>
      </c>
      <c r="AK65" s="57">
        <f t="shared" ca="1" si="122"/>
        <v>546186.7733344544</v>
      </c>
      <c r="AL65" s="57">
        <f t="shared" ca="1" si="122"/>
        <v>0</v>
      </c>
      <c r="AM65" s="57">
        <f t="shared" ca="1" si="122"/>
        <v>2366809.351115969</v>
      </c>
      <c r="AN65" s="57"/>
      <c r="AO65" s="57"/>
      <c r="AP65" s="57">
        <f t="shared" si="122"/>
        <v>0</v>
      </c>
      <c r="AQ65" s="57"/>
      <c r="AR65" s="57"/>
      <c r="AS65" s="57">
        <f t="shared" si="122"/>
        <v>0</v>
      </c>
      <c r="AT65" s="57"/>
      <c r="AU65" s="57"/>
      <c r="AV65" s="57"/>
      <c r="AW65" s="57"/>
      <c r="AX65" s="57"/>
      <c r="AY65" s="57">
        <f t="shared" si="122"/>
        <v>0</v>
      </c>
      <c r="AZ65" s="57"/>
      <c r="BA65" s="57">
        <f t="shared" si="122"/>
        <v>0</v>
      </c>
      <c r="BB65" s="57"/>
      <c r="BC65" s="57">
        <f t="shared" si="122"/>
        <v>0</v>
      </c>
      <c r="BD65" s="57"/>
      <c r="BE65" s="57">
        <f t="shared" si="122"/>
        <v>0</v>
      </c>
      <c r="BF65" s="57"/>
      <c r="BG65" s="57">
        <f t="shared" si="122"/>
        <v>0</v>
      </c>
      <c r="BH65" s="57">
        <f t="shared" si="122"/>
        <v>0</v>
      </c>
      <c r="BI65" s="57">
        <f t="shared" ca="1" si="122"/>
        <v>2366809.351115969</v>
      </c>
      <c r="BJ65" s="57"/>
      <c r="BK65" s="57"/>
      <c r="BL65" s="57"/>
      <c r="BM65" s="57">
        <f t="shared" si="122"/>
        <v>0</v>
      </c>
    </row>
    <row r="66" spans="1:65" s="51" customFormat="1" x14ac:dyDescent="0.2">
      <c r="A66" s="48"/>
      <c r="B66" s="58" t="s">
        <v>29</v>
      </c>
      <c r="C66" s="58"/>
      <c r="D66" s="58"/>
      <c r="E66" s="58"/>
      <c r="F66" s="49"/>
      <c r="G66" s="50"/>
      <c r="H66" s="50"/>
      <c r="I66" s="50"/>
      <c r="J66" s="78">
        <f>J26+J36+J46+J56+J65</f>
        <v>832.00691179704006</v>
      </c>
      <c r="K66" s="78"/>
      <c r="L66" s="78">
        <f t="shared" ref="L66:BM66" si="123">L26+L36+L46+L56+L65</f>
        <v>900.59650982284097</v>
      </c>
      <c r="M66" s="78">
        <f t="shared" si="123"/>
        <v>40</v>
      </c>
      <c r="N66" s="78">
        <f t="shared" si="123"/>
        <v>23</v>
      </c>
      <c r="O66" s="78">
        <f t="shared" si="123"/>
        <v>1435.0603780414795</v>
      </c>
      <c r="P66" s="78">
        <f t="shared" si="123"/>
        <v>5111.1206062179408</v>
      </c>
      <c r="Q66" s="78"/>
      <c r="R66" s="78"/>
      <c r="S66" s="78"/>
      <c r="T66" s="78"/>
      <c r="U66" s="78">
        <f t="shared" ca="1" si="123"/>
        <v>0</v>
      </c>
      <c r="V66" s="78">
        <f t="shared" ca="1" si="123"/>
        <v>200729.21486310184</v>
      </c>
      <c r="W66" s="78">
        <f t="shared" ca="1" si="123"/>
        <v>86839.874836479416</v>
      </c>
      <c r="X66" s="78">
        <f t="shared" ca="1" si="123"/>
        <v>229404.81698640215</v>
      </c>
      <c r="Y66" s="78">
        <f t="shared" ca="1" si="123"/>
        <v>30393.956192767801</v>
      </c>
      <c r="Z66" s="78">
        <f t="shared" ca="1" si="123"/>
        <v>21897.631525241217</v>
      </c>
      <c r="AA66" s="78">
        <f t="shared" ca="1" si="123"/>
        <v>21709.968709119854</v>
      </c>
      <c r="AB66" s="78">
        <f t="shared" ca="1" si="123"/>
        <v>33784.917210372165</v>
      </c>
      <c r="AC66" s="78"/>
      <c r="AD66" s="78">
        <f t="shared" ca="1" si="123"/>
        <v>996921.76312278362</v>
      </c>
      <c r="AE66" s="78">
        <f t="shared" ca="1" si="123"/>
        <v>2966120.144543143</v>
      </c>
      <c r="AF66" s="78">
        <f t="shared" ca="1" si="123"/>
        <v>148965.32092639295</v>
      </c>
      <c r="AG66" s="78">
        <f t="shared" ca="1" si="123"/>
        <v>443213.35493173404</v>
      </c>
      <c r="AH66" s="78">
        <f t="shared" ca="1" si="123"/>
        <v>1145887.0840491764</v>
      </c>
      <c r="AI66" s="78">
        <f t="shared" ca="1" si="123"/>
        <v>3409333.4994748775</v>
      </c>
      <c r="AJ66" s="78">
        <f t="shared" ca="1" si="123"/>
        <v>343766.12521475297</v>
      </c>
      <c r="AK66" s="78">
        <f t="shared" ca="1" si="123"/>
        <v>1022800.0498424631</v>
      </c>
      <c r="AL66" s="78">
        <f t="shared" ca="1" si="123"/>
        <v>1489653.2092639294</v>
      </c>
      <c r="AM66" s="78">
        <f t="shared" ca="1" si="123"/>
        <v>4432133.5493173404</v>
      </c>
      <c r="AN66" s="78"/>
      <c r="AO66" s="78"/>
      <c r="AP66" s="78" t="e">
        <f t="shared" si="123"/>
        <v>#REF!</v>
      </c>
      <c r="AQ66" s="78"/>
      <c r="AR66" s="78"/>
      <c r="AS66" s="78" t="e">
        <f t="shared" si="123"/>
        <v>#REF!</v>
      </c>
      <c r="AT66" s="78"/>
      <c r="AU66" s="78">
        <f>AU26+AU36+AU46+AU56+AU65</f>
        <v>284.1586867305063</v>
      </c>
      <c r="AV66" s="78"/>
      <c r="AW66" s="78">
        <f>AW26+AW36+AW46+AW56+AW65</f>
        <v>284158.68673050631</v>
      </c>
      <c r="AX66" s="78"/>
      <c r="AY66" s="78">
        <f t="shared" si="123"/>
        <v>20427.607051648003</v>
      </c>
      <c r="AZ66" s="78"/>
      <c r="BA66" s="78">
        <f t="shared" si="123"/>
        <v>12968.777514488955</v>
      </c>
      <c r="BB66" s="78"/>
      <c r="BC66" s="78">
        <f t="shared" si="123"/>
        <v>47190.093747302053</v>
      </c>
      <c r="BD66" s="78"/>
      <c r="BE66" s="78">
        <f t="shared" si="123"/>
        <v>7960.4648432948852</v>
      </c>
      <c r="BF66" s="78"/>
      <c r="BG66" s="78">
        <f t="shared" si="123"/>
        <v>3027.7622304518964</v>
      </c>
      <c r="BH66" s="78">
        <f t="shared" si="123"/>
        <v>895072.51928146183</v>
      </c>
      <c r="BI66" s="78" t="e">
        <f t="shared" ca="1" si="123"/>
        <v>#REF!</v>
      </c>
      <c r="BJ66" s="78"/>
      <c r="BK66" s="78"/>
      <c r="BL66" s="78"/>
      <c r="BM66" s="78">
        <f t="shared" si="123"/>
        <v>572.69531246725785</v>
      </c>
    </row>
  </sheetData>
  <mergeCells count="104">
    <mergeCell ref="A13:A17"/>
    <mergeCell ref="B13:E14"/>
    <mergeCell ref="F13:F17"/>
    <mergeCell ref="G13:G17"/>
    <mergeCell ref="B15:B17"/>
    <mergeCell ref="C15:E15"/>
    <mergeCell ref="C16:C17"/>
    <mergeCell ref="D16:D17"/>
    <mergeCell ref="E16:E17"/>
    <mergeCell ref="BI13:BJ14"/>
    <mergeCell ref="BH15:BH17"/>
    <mergeCell ref="BI15:BI17"/>
    <mergeCell ref="BJ15:BJ17"/>
    <mergeCell ref="BK13:BK17"/>
    <mergeCell ref="BL13:BM14"/>
    <mergeCell ref="BL15:BL17"/>
    <mergeCell ref="BM15:BM17"/>
    <mergeCell ref="H13:I14"/>
    <mergeCell ref="J13:J17"/>
    <mergeCell ref="K13:K17"/>
    <mergeCell ref="L13:L17"/>
    <mergeCell ref="H15:H17"/>
    <mergeCell ref="I15:I17"/>
    <mergeCell ref="AT13:AW14"/>
    <mergeCell ref="AT15:AT17"/>
    <mergeCell ref="AU15:AU17"/>
    <mergeCell ref="AV15:AV17"/>
    <mergeCell ref="AW15:AW17"/>
    <mergeCell ref="AN13:AS14"/>
    <mergeCell ref="M13:N14"/>
    <mergeCell ref="O13:P14"/>
    <mergeCell ref="Q13:T14"/>
    <mergeCell ref="U15:U17"/>
    <mergeCell ref="Q15:R15"/>
    <mergeCell ref="S15:T15"/>
    <mergeCell ref="AX16:AX17"/>
    <mergeCell ref="AY16:AY17"/>
    <mergeCell ref="AZ16:AZ17"/>
    <mergeCell ref="AP15:AP17"/>
    <mergeCell ref="AQ15:AQ17"/>
    <mergeCell ref="AR15:AR17"/>
    <mergeCell ref="AS15:AS17"/>
    <mergeCell ref="AH13:AI14"/>
    <mergeCell ref="AF16:AF17"/>
    <mergeCell ref="AG16:AG17"/>
    <mergeCell ref="AI15:AI17"/>
    <mergeCell ref="AH15:AH17"/>
    <mergeCell ref="AC13:AE14"/>
    <mergeCell ref="T16:T17"/>
    <mergeCell ref="AJ13:AK14"/>
    <mergeCell ref="V15:V17"/>
    <mergeCell ref="W15:X15"/>
    <mergeCell ref="W16:W17"/>
    <mergeCell ref="X16:X17"/>
    <mergeCell ref="W13:X14"/>
    <mergeCell ref="Y13:Z14"/>
    <mergeCell ref="AA13:AB14"/>
    <mergeCell ref="AF13:AG14"/>
    <mergeCell ref="U13:V14"/>
    <mergeCell ref="Y16:Y17"/>
    <mergeCell ref="Z16:Z17"/>
    <mergeCell ref="AA16:AA17"/>
    <mergeCell ref="AE15:AE17"/>
    <mergeCell ref="AJ16:AJ17"/>
    <mergeCell ref="B57:E57"/>
    <mergeCell ref="B47:E47"/>
    <mergeCell ref="B27:E27"/>
    <mergeCell ref="B18:E18"/>
    <mergeCell ref="B19:E19"/>
    <mergeCell ref="B37:E37"/>
    <mergeCell ref="AN15:AN17"/>
    <mergeCell ref="AA15:AB15"/>
    <mergeCell ref="AJ15:AK15"/>
    <mergeCell ref="AF15:AG15"/>
    <mergeCell ref="AB16:AB17"/>
    <mergeCell ref="M15:M17"/>
    <mergeCell ref="N15:N17"/>
    <mergeCell ref="O15:P15"/>
    <mergeCell ref="AK16:AK17"/>
    <mergeCell ref="AL15:AL17"/>
    <mergeCell ref="AM15:AM17"/>
    <mergeCell ref="AD15:AD17"/>
    <mergeCell ref="O16:O17"/>
    <mergeCell ref="P16:P17"/>
    <mergeCell ref="Q16:Q17"/>
    <mergeCell ref="R16:R17"/>
    <mergeCell ref="AC15:AC17"/>
    <mergeCell ref="S16:S17"/>
    <mergeCell ref="AL13:AM14"/>
    <mergeCell ref="BE16:BE17"/>
    <mergeCell ref="BF16:BF17"/>
    <mergeCell ref="BG16:BG17"/>
    <mergeCell ref="BD16:BD17"/>
    <mergeCell ref="AX13:BA14"/>
    <mergeCell ref="BB13:BH14"/>
    <mergeCell ref="AX15:AY15"/>
    <mergeCell ref="AZ15:BA15"/>
    <mergeCell ref="BB15:BC15"/>
    <mergeCell ref="BD15:BE15"/>
    <mergeCell ref="BF15:BG15"/>
    <mergeCell ref="BB16:BB17"/>
    <mergeCell ref="BC16:BC17"/>
    <mergeCell ref="AO15:AO17"/>
    <mergeCell ref="BA16:BA17"/>
  </mergeCells>
  <phoneticPr fontId="4" type="noConversion"/>
  <conditionalFormatting sqref="AP20:AP25 AS38:AW40 AS28:AW35 AP28:AP35 AP38:AP40 AX37:AX40 AN57:BM64 AR41:AX45 AN41:AP45 AQ44:AQ45 S48:S50 U20:AM25 AY19:BM25 H19:I66 AX27:BM36 AS20:AX25 J65:BM66 K27 K19 K37 K47 G65:G66 G19 G26:G27 G36:G37 G46:G47 G56:G57 R37 R27 R19 J19:J64 T27:T33 T19:T22 T37:T40 U27:AW27 T57:AM57 K36:T36 U19:AX19 K57 U36:AW37 K56:BM56 T25 S19:S25 K26:BM26 S27:S35 O19:P19 R41:R45 S37:S45 O27:P27 K46:BM46 O37:P37 O57:P57 L19:N25 Q19:Q25 L27:N35 Q27:Q35 L37:N45 Q37:Q45 L47:N55 O47:AM47 L57:N64 Q57:S64 AY37:BM45 U28:AM35 U38:AM45 U48:AM55 U58:AM64 Q51:S55 Q48:Q50 AO47 AO51:AO55 AP47:AP55 AS47:BM55 AQ47:AR47 AQ51:AR55 AN47:AN55">
    <cfRule type="cellIs" dxfId="19" priority="5" stopIfTrue="1" operator="greaterThan">
      <formula>0</formula>
    </cfRule>
  </conditionalFormatting>
  <conditionalFormatting sqref="AN20:AN25 AN28:AN35 AN38:AN40 K20:K25 K28:K35 K38:K45 K48:K55 K58:K64">
    <cfRule type="cellIs" dxfId="18" priority="6" stopIfTrue="1" operator="greaterThan">
      <formula>0</formula>
    </cfRule>
  </conditionalFormatting>
  <conditionalFormatting sqref="E48:E55 E28:E35 E58:E64 E38:E45 E20:E25">
    <cfRule type="cellIs" dxfId="17" priority="7" stopIfTrue="1" operator="equal">
      <formula>0</formula>
    </cfRule>
  </conditionalFormatting>
  <conditionalFormatting sqref="O20:P25 O28:P35 O38:P45 O48:P55 O58:P64">
    <cfRule type="cellIs" dxfId="16" priority="8" stopIfTrue="1" operator="greaterThan">
      <formula>0</formula>
    </cfRule>
  </conditionalFormatting>
  <conditionalFormatting sqref="G19 G26:G27 G36:G37 G46:G47 G56:G57">
    <cfRule type="cellIs" dxfId="15" priority="4" stopIfTrue="1" operator="greaterThan">
      <formula>0</formula>
    </cfRule>
  </conditionalFormatting>
  <conditionalFormatting sqref="E48:E55 E28:E35 E58:E64 E38:E45 E20:E25">
    <cfRule type="cellIs" dxfId="14" priority="3" stopIfTrue="1" operator="equal">
      <formula>0</formula>
    </cfRule>
  </conditionalFormatting>
  <conditionalFormatting sqref="AT31:AW31">
    <cfRule type="cellIs" dxfId="13" priority="2" stopIfTrue="1" operator="greaterThan">
      <formula>0</formula>
    </cfRule>
  </conditionalFormatting>
  <conditionalFormatting sqref="AN48:AN50">
    <cfRule type="cellIs" dxfId="12" priority="1" stopIfTrue="1" operator="greaterThan">
      <formula>0</formula>
    </cfRule>
  </conditionalFormatting>
  <dataValidations count="2">
    <dataValidation type="list" allowBlank="1" showInputMessage="1" showErrorMessage="1" sqref="AQ27:AR27 AQ57:AR64 AQ51:AR55">
      <formula1>#REF!</formula1>
    </dataValidation>
    <dataValidation type="list" allowBlank="1" showInputMessage="1" showErrorMessage="1" sqref="AQ41:AQ43">
      <formula1>$B$107:$B$110</formula1>
    </dataValidation>
  </dataValidations>
  <pageMargins left="0.18" right="0.18" top="0.18" bottom="0.18" header="0.23622047244094491" footer="0.15748031496062992"/>
  <pageSetup paperSize="9" scale="55" fitToWidth="5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66"/>
  <sheetViews>
    <sheetView workbookViewId="0">
      <selection activeCell="J13" sqref="J13:J17"/>
    </sheetView>
  </sheetViews>
  <sheetFormatPr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9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6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6.71093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7.85546875" style="13" customWidth="1"/>
    <col min="36" max="36" width="6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54</v>
      </c>
      <c r="E1" s="8"/>
      <c r="G1" s="6"/>
      <c r="H1" s="115" t="s">
        <v>429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57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83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376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358</v>
      </c>
      <c r="E6" s="2"/>
      <c r="F6" s="45" t="s">
        <v>357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218</v>
      </c>
      <c r="D7" s="171">
        <v>10.8</v>
      </c>
      <c r="E7" s="14"/>
      <c r="F7" s="45"/>
      <c r="G7" s="45" t="s">
        <v>218</v>
      </c>
      <c r="H7" s="13">
        <f>$D$5*D7</f>
        <v>1080</v>
      </c>
      <c r="J7" s="124"/>
      <c r="L7" s="45"/>
      <c r="Q7" s="15"/>
      <c r="AQ7" s="16"/>
      <c r="AR7" s="16"/>
    </row>
    <row r="8" spans="1:65" ht="12.75" customHeight="1" x14ac:dyDescent="0.2">
      <c r="B8" s="45" t="s">
        <v>219</v>
      </c>
      <c r="D8" s="171">
        <v>10.8</v>
      </c>
      <c r="E8" s="14"/>
      <c r="F8" s="45"/>
      <c r="G8" s="45" t="s">
        <v>219</v>
      </c>
      <c r="H8" s="13">
        <f>$D$5*D8</f>
        <v>1080</v>
      </c>
      <c r="J8" s="124"/>
      <c r="L8" s="45"/>
      <c r="Q8" s="15"/>
      <c r="AQ8" s="16"/>
      <c r="AR8" s="16"/>
    </row>
    <row r="9" spans="1:65" ht="12.75" customHeight="1" x14ac:dyDescent="0.2">
      <c r="B9" s="45" t="s">
        <v>220</v>
      </c>
      <c r="D9" s="171">
        <v>10.8</v>
      </c>
      <c r="E9" s="14"/>
      <c r="F9" s="45"/>
      <c r="G9" s="45" t="s">
        <v>220</v>
      </c>
      <c r="H9" s="13">
        <f>$D$5*D9</f>
        <v>1080</v>
      </c>
      <c r="J9" s="124"/>
      <c r="L9" s="45"/>
      <c r="Q9" s="15"/>
      <c r="AQ9" s="16"/>
      <c r="AR9" s="16"/>
    </row>
    <row r="10" spans="1:65" ht="12.75" customHeight="1" x14ac:dyDescent="0.2">
      <c r="B10" s="45" t="s">
        <v>221</v>
      </c>
      <c r="D10" s="171">
        <v>10.8</v>
      </c>
      <c r="E10" s="14"/>
      <c r="F10" s="45"/>
      <c r="G10" s="45" t="s">
        <v>221</v>
      </c>
      <c r="H10" s="13">
        <f>$D$5*D10</f>
        <v>1080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222</v>
      </c>
      <c r="D11" s="171">
        <v>12.96</v>
      </c>
      <c r="E11" s="14"/>
      <c r="F11" s="45"/>
      <c r="G11" s="45" t="s">
        <v>222</v>
      </c>
      <c r="H11" s="13">
        <f>$D$5*D11</f>
        <v>1296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518" t="s">
        <v>55</v>
      </c>
      <c r="B13" s="522" t="s">
        <v>51</v>
      </c>
      <c r="C13" s="522"/>
      <c r="D13" s="522"/>
      <c r="E13" s="522"/>
      <c r="F13" s="518" t="s">
        <v>15</v>
      </c>
      <c r="G13" s="518" t="s">
        <v>34</v>
      </c>
      <c r="H13" s="522" t="s">
        <v>30</v>
      </c>
      <c r="I13" s="522"/>
      <c r="J13" s="518" t="s">
        <v>33</v>
      </c>
      <c r="K13" s="518" t="s">
        <v>39</v>
      </c>
      <c r="L13" s="518" t="s">
        <v>38</v>
      </c>
      <c r="M13" s="522" t="s">
        <v>35</v>
      </c>
      <c r="N13" s="522"/>
      <c r="O13" s="522" t="s">
        <v>316</v>
      </c>
      <c r="P13" s="522"/>
      <c r="Q13" s="522" t="s">
        <v>315</v>
      </c>
      <c r="R13" s="522"/>
      <c r="S13" s="522"/>
      <c r="T13" s="522"/>
      <c r="U13" s="522" t="s">
        <v>317</v>
      </c>
      <c r="V13" s="522"/>
      <c r="W13" s="522" t="s">
        <v>318</v>
      </c>
      <c r="X13" s="522"/>
      <c r="Y13" s="522" t="s">
        <v>319</v>
      </c>
      <c r="Z13" s="522"/>
      <c r="AA13" s="522" t="s">
        <v>320</v>
      </c>
      <c r="AB13" s="522"/>
      <c r="AC13" s="529" t="s">
        <v>426</v>
      </c>
      <c r="AD13" s="530"/>
      <c r="AE13" s="531"/>
      <c r="AF13" s="522" t="s">
        <v>164</v>
      </c>
      <c r="AG13" s="522"/>
      <c r="AH13" s="522" t="s">
        <v>321</v>
      </c>
      <c r="AI13" s="522"/>
      <c r="AJ13" s="522" t="s">
        <v>322</v>
      </c>
      <c r="AK13" s="522"/>
      <c r="AL13" s="522" t="s">
        <v>323</v>
      </c>
      <c r="AM13" s="522"/>
      <c r="AN13" s="522" t="s">
        <v>13</v>
      </c>
      <c r="AO13" s="522"/>
      <c r="AP13" s="522"/>
      <c r="AQ13" s="522"/>
      <c r="AR13" s="522"/>
      <c r="AS13" s="522"/>
      <c r="AT13" s="529" t="s">
        <v>395</v>
      </c>
      <c r="AU13" s="530"/>
      <c r="AV13" s="530"/>
      <c r="AW13" s="531"/>
      <c r="AX13" s="522" t="s">
        <v>44</v>
      </c>
      <c r="AY13" s="522"/>
      <c r="AZ13" s="522"/>
      <c r="BA13" s="522"/>
      <c r="BB13" s="522" t="s">
        <v>313</v>
      </c>
      <c r="BC13" s="522"/>
      <c r="BD13" s="522"/>
      <c r="BE13" s="522"/>
      <c r="BF13" s="522"/>
      <c r="BG13" s="522"/>
      <c r="BH13" s="522"/>
      <c r="BI13" s="522" t="s">
        <v>48</v>
      </c>
      <c r="BJ13" s="522"/>
      <c r="BK13" s="522" t="s">
        <v>327</v>
      </c>
      <c r="BL13" s="521" t="s">
        <v>58</v>
      </c>
      <c r="BM13" s="521"/>
    </row>
    <row r="14" spans="1:65" s="6" customFormat="1" ht="40.5" customHeight="1" x14ac:dyDescent="0.2">
      <c r="A14" s="518"/>
      <c r="B14" s="522"/>
      <c r="C14" s="522"/>
      <c r="D14" s="522"/>
      <c r="E14" s="522"/>
      <c r="F14" s="518"/>
      <c r="G14" s="518"/>
      <c r="H14" s="522"/>
      <c r="I14" s="522"/>
      <c r="J14" s="518"/>
      <c r="K14" s="518"/>
      <c r="L14" s="518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32"/>
      <c r="AD14" s="533"/>
      <c r="AE14" s="534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32"/>
      <c r="AU14" s="533"/>
      <c r="AV14" s="533"/>
      <c r="AW14" s="534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1"/>
      <c r="BM14" s="521"/>
    </row>
    <row r="15" spans="1:65" s="6" customFormat="1" ht="38.25" customHeight="1" x14ac:dyDescent="0.2">
      <c r="A15" s="518"/>
      <c r="B15" s="522" t="s">
        <v>12</v>
      </c>
      <c r="C15" s="522" t="s">
        <v>40</v>
      </c>
      <c r="D15" s="522"/>
      <c r="E15" s="522"/>
      <c r="F15" s="518"/>
      <c r="G15" s="518"/>
      <c r="H15" s="518" t="s">
        <v>31</v>
      </c>
      <c r="I15" s="518" t="s">
        <v>32</v>
      </c>
      <c r="J15" s="518"/>
      <c r="K15" s="518"/>
      <c r="L15" s="518"/>
      <c r="M15" s="518" t="s">
        <v>36</v>
      </c>
      <c r="N15" s="518" t="s">
        <v>37</v>
      </c>
      <c r="O15" s="483">
        <v>7</v>
      </c>
      <c r="P15" s="483"/>
      <c r="Q15" s="522" t="s">
        <v>36</v>
      </c>
      <c r="R15" s="522"/>
      <c r="S15" s="522" t="s">
        <v>37</v>
      </c>
      <c r="T15" s="522"/>
      <c r="U15" s="518" t="s">
        <v>16</v>
      </c>
      <c r="V15" s="518" t="s">
        <v>17</v>
      </c>
      <c r="W15" s="519">
        <v>0.4</v>
      </c>
      <c r="X15" s="519"/>
      <c r="Y15" s="74">
        <v>0.1</v>
      </c>
      <c r="Z15" s="74">
        <v>0.05</v>
      </c>
      <c r="AA15" s="517">
        <v>0.1</v>
      </c>
      <c r="AB15" s="517"/>
      <c r="AC15" s="514" t="s">
        <v>18</v>
      </c>
      <c r="AD15" s="514" t="s">
        <v>16</v>
      </c>
      <c r="AE15" s="514" t="s">
        <v>17</v>
      </c>
      <c r="AF15" s="517">
        <f ca="1">(((((AD66/O66)*167)/29*(52/12)))/((AD66/O66)*167))</f>
        <v>0.14942528735632182</v>
      </c>
      <c r="AG15" s="517"/>
      <c r="AH15" s="518" t="s">
        <v>16</v>
      </c>
      <c r="AI15" s="518" t="s">
        <v>17</v>
      </c>
      <c r="AJ15" s="517">
        <v>0.3</v>
      </c>
      <c r="AK15" s="517"/>
      <c r="AL15" s="518" t="s">
        <v>16</v>
      </c>
      <c r="AM15" s="518" t="s">
        <v>17</v>
      </c>
      <c r="AN15" s="518" t="s">
        <v>329</v>
      </c>
      <c r="AO15" s="518" t="s">
        <v>42</v>
      </c>
      <c r="AP15" s="513" t="s">
        <v>49</v>
      </c>
      <c r="AQ15" s="513" t="s">
        <v>43</v>
      </c>
      <c r="AR15" s="513" t="s">
        <v>324</v>
      </c>
      <c r="AS15" s="513" t="s">
        <v>325</v>
      </c>
      <c r="AT15" s="518" t="s">
        <v>408</v>
      </c>
      <c r="AU15" s="513" t="s">
        <v>409</v>
      </c>
      <c r="AV15" s="513" t="s">
        <v>410</v>
      </c>
      <c r="AW15" s="513" t="s">
        <v>325</v>
      </c>
      <c r="AX15" s="521" t="s">
        <v>45</v>
      </c>
      <c r="AY15" s="521"/>
      <c r="AZ15" s="521" t="s">
        <v>46</v>
      </c>
      <c r="BA15" s="521"/>
      <c r="BB15" s="521" t="s">
        <v>308</v>
      </c>
      <c r="BC15" s="521"/>
      <c r="BD15" s="521" t="s">
        <v>309</v>
      </c>
      <c r="BE15" s="521"/>
      <c r="BF15" s="521" t="s">
        <v>310</v>
      </c>
      <c r="BG15" s="521"/>
      <c r="BH15" s="518" t="s">
        <v>311</v>
      </c>
      <c r="BI15" s="513" t="s">
        <v>312</v>
      </c>
      <c r="BJ15" s="513" t="s">
        <v>328</v>
      </c>
      <c r="BK15" s="522"/>
      <c r="BL15" s="513" t="s">
        <v>50</v>
      </c>
      <c r="BM15" s="513" t="s">
        <v>14</v>
      </c>
    </row>
    <row r="16" spans="1:65" s="6" customFormat="1" ht="48" customHeight="1" x14ac:dyDescent="0.2">
      <c r="A16" s="518"/>
      <c r="B16" s="522"/>
      <c r="C16" s="518" t="s">
        <v>41</v>
      </c>
      <c r="D16" s="518" t="s">
        <v>53</v>
      </c>
      <c r="E16" s="518" t="s">
        <v>52</v>
      </c>
      <c r="F16" s="518"/>
      <c r="G16" s="518"/>
      <c r="H16" s="518"/>
      <c r="I16" s="518"/>
      <c r="J16" s="518"/>
      <c r="K16" s="518"/>
      <c r="L16" s="518"/>
      <c r="M16" s="518"/>
      <c r="N16" s="518"/>
      <c r="O16" s="518" t="s">
        <v>36</v>
      </c>
      <c r="P16" s="518" t="s">
        <v>37</v>
      </c>
      <c r="Q16" s="535" t="s">
        <v>19</v>
      </c>
      <c r="R16" s="518" t="s">
        <v>20</v>
      </c>
      <c r="S16" s="535" t="s">
        <v>19</v>
      </c>
      <c r="T16" s="518" t="s">
        <v>20</v>
      </c>
      <c r="U16" s="518"/>
      <c r="V16" s="518"/>
      <c r="W16" s="518" t="s">
        <v>16</v>
      </c>
      <c r="X16" s="518" t="s">
        <v>17</v>
      </c>
      <c r="Y16" s="518" t="s">
        <v>173</v>
      </c>
      <c r="Z16" s="518" t="s">
        <v>174</v>
      </c>
      <c r="AA16" s="518" t="s">
        <v>16</v>
      </c>
      <c r="AB16" s="518" t="s">
        <v>17</v>
      </c>
      <c r="AC16" s="515"/>
      <c r="AD16" s="515"/>
      <c r="AE16" s="515"/>
      <c r="AF16" s="518" t="s">
        <v>16</v>
      </c>
      <c r="AG16" s="518" t="s">
        <v>17</v>
      </c>
      <c r="AH16" s="518"/>
      <c r="AI16" s="518"/>
      <c r="AJ16" s="518" t="s">
        <v>16</v>
      </c>
      <c r="AK16" s="518" t="s">
        <v>17</v>
      </c>
      <c r="AL16" s="518"/>
      <c r="AM16" s="518"/>
      <c r="AN16" s="518"/>
      <c r="AO16" s="518"/>
      <c r="AP16" s="513"/>
      <c r="AQ16" s="513"/>
      <c r="AR16" s="513"/>
      <c r="AS16" s="513"/>
      <c r="AT16" s="518"/>
      <c r="AU16" s="513"/>
      <c r="AV16" s="513"/>
      <c r="AW16" s="513"/>
      <c r="AX16" s="513" t="s">
        <v>47</v>
      </c>
      <c r="AY16" s="513" t="s">
        <v>314</v>
      </c>
      <c r="AZ16" s="513" t="s">
        <v>47</v>
      </c>
      <c r="BA16" s="513" t="s">
        <v>314</v>
      </c>
      <c r="BB16" s="513" t="s">
        <v>307</v>
      </c>
      <c r="BC16" s="513" t="s">
        <v>314</v>
      </c>
      <c r="BD16" s="513" t="s">
        <v>307</v>
      </c>
      <c r="BE16" s="513" t="s">
        <v>314</v>
      </c>
      <c r="BF16" s="513" t="s">
        <v>307</v>
      </c>
      <c r="BG16" s="513" t="s">
        <v>314</v>
      </c>
      <c r="BH16" s="518"/>
      <c r="BI16" s="513"/>
      <c r="BJ16" s="513"/>
      <c r="BK16" s="522"/>
      <c r="BL16" s="513"/>
      <c r="BM16" s="513"/>
    </row>
    <row r="17" spans="1:65" s="6" customFormat="1" ht="76.5" customHeight="1" x14ac:dyDescent="0.2">
      <c r="A17" s="518"/>
      <c r="B17" s="522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35"/>
      <c r="R17" s="518"/>
      <c r="S17" s="535"/>
      <c r="T17" s="518"/>
      <c r="U17" s="518"/>
      <c r="V17" s="518"/>
      <c r="W17" s="518"/>
      <c r="X17" s="518"/>
      <c r="Y17" s="518"/>
      <c r="Z17" s="518"/>
      <c r="AA17" s="518"/>
      <c r="AB17" s="518"/>
      <c r="AC17" s="516"/>
      <c r="AD17" s="516"/>
      <c r="AE17" s="516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3"/>
      <c r="AQ17" s="513"/>
      <c r="AR17" s="513"/>
      <c r="AS17" s="513"/>
      <c r="AT17" s="518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8"/>
      <c r="BI17" s="513"/>
      <c r="BJ17" s="513"/>
      <c r="BK17" s="522"/>
      <c r="BL17" s="513"/>
      <c r="BM17" s="513"/>
    </row>
    <row r="18" spans="1:65" x14ac:dyDescent="0.2">
      <c r="A18" s="20">
        <f>COLUMN(A18)</f>
        <v>1</v>
      </c>
      <c r="B18" s="512">
        <f>COLUMN(B18)</f>
        <v>2</v>
      </c>
      <c r="C18" s="512"/>
      <c r="D18" s="512"/>
      <c r="E18" s="512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539" t="s">
        <v>99</v>
      </c>
      <c r="C19" s="540"/>
      <c r="D19" s="540"/>
      <c r="E19" s="541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76</v>
      </c>
      <c r="C20" s="29">
        <v>2</v>
      </c>
      <c r="D20" s="30" t="s">
        <v>105</v>
      </c>
      <c r="E20" s="31" t="s">
        <v>199</v>
      </c>
      <c r="F20" s="28" t="s">
        <v>106</v>
      </c>
      <c r="G20" s="146">
        <f>D5</f>
        <v>100</v>
      </c>
      <c r="H20" s="81">
        <v>40374</v>
      </c>
      <c r="I20" s="81">
        <v>40377</v>
      </c>
      <c r="J20" s="83">
        <f>L20/M20</f>
        <v>16.666666666666668</v>
      </c>
      <c r="K20" s="32">
        <v>6</v>
      </c>
      <c r="L20" s="33">
        <f t="shared" ref="L20:L25" si="1">G20/K20</f>
        <v>16.666666666666668</v>
      </c>
      <c r="M20" s="34">
        <v>1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данные'!$C$14:H14,Q20,'Исходные данные'!$C$18:$H$18),IF(O20=0,0,IF(Q20=0,"РОТ")))</f>
        <v>156.08125696908263</v>
      </c>
      <c r="S20" s="34"/>
      <c r="T20" s="33"/>
      <c r="U20" s="130">
        <f>O20*R20*'Исходные данные'!$C$40%</f>
        <v>0</v>
      </c>
      <c r="V20" s="130">
        <f>P20*T20*'Исходные данные'!$C$41%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2.5</v>
      </c>
      <c r="AD20" s="130">
        <f t="shared" ref="AD20:AD25" si="10">(O20*R20+U20+W20+Y20+AA20)*AC20</f>
        <v>74658.867916877862</v>
      </c>
      <c r="AE20" s="130">
        <f t="shared" ref="AE20:AE25" si="11">(P20*T20+V20+X20+Z20+AB20)*AC20</f>
        <v>0</v>
      </c>
      <c r="AF20" s="35">
        <f t="shared" ref="AF20:AG25" ca="1" si="12">AD20*$AF$15</f>
        <v>11155.922792177151</v>
      </c>
      <c r="AG20" s="73"/>
      <c r="AH20" s="35">
        <f t="shared" ref="AH20:AI25" ca="1" si="13">AD20+AF20</f>
        <v>85814.790709055014</v>
      </c>
      <c r="AI20" s="35"/>
      <c r="AJ20" s="35">
        <f t="shared" ref="AJ20:AK25" ca="1" si="14">AH20*$AJ$15</f>
        <v>25744.437212716504</v>
      </c>
      <c r="AK20" s="73"/>
      <c r="AL20" s="35">
        <f t="shared" ref="AL20:AL25" ca="1" si="15">AH20+AJ20</f>
        <v>111559.22792177153</v>
      </c>
      <c r="AM20" s="73"/>
      <c r="AN20" s="32">
        <v>6.5</v>
      </c>
      <c r="AO20" s="33">
        <f>'Исходные данные'!$C$59</f>
        <v>0.84</v>
      </c>
      <c r="AP20" s="79">
        <f>(G20*AN20)*AO20/100</f>
        <v>5.46</v>
      </c>
      <c r="AQ20" s="33" t="s">
        <v>153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84</v>
      </c>
      <c r="C21" s="29">
        <v>1</v>
      </c>
      <c r="D21" s="30" t="s">
        <v>105</v>
      </c>
      <c r="E21" s="31" t="s">
        <v>200</v>
      </c>
      <c r="F21" s="28" t="s">
        <v>106</v>
      </c>
      <c r="G21" s="146">
        <f>G20/5</f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данные'!$C$14:H15,Q21,'Исходные данные'!$C$18:$H$18),IF(O21=0,0,IF(Q21=0,"РОТ")))</f>
        <v>126.44557526609226</v>
      </c>
      <c r="S21" s="34"/>
      <c r="T21" s="33"/>
      <c r="U21" s="130">
        <f ca="1">O21*R21*'Исходные данные'!$C$40%</f>
        <v>0</v>
      </c>
      <c r="V21" s="130">
        <f>P21*T21*'Исходные данные'!$C$41%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2.5</v>
      </c>
      <c r="AD21" s="130">
        <f t="shared" ca="1" si="10"/>
        <v>4536.2350126710598</v>
      </c>
      <c r="AE21" s="130">
        <f t="shared" si="11"/>
        <v>0</v>
      </c>
      <c r="AF21" s="35">
        <f t="shared" ca="1" si="12"/>
        <v>677.82822028418127</v>
      </c>
      <c r="AG21" s="73"/>
      <c r="AH21" s="35">
        <f t="shared" ca="1" si="13"/>
        <v>5214.0632329552409</v>
      </c>
      <c r="AI21" s="35"/>
      <c r="AJ21" s="35">
        <f t="shared" ca="1" si="14"/>
        <v>1564.2189698865723</v>
      </c>
      <c r="AK21" s="73"/>
      <c r="AL21" s="35">
        <f t="shared" ca="1" si="15"/>
        <v>6778.2822028418132</v>
      </c>
      <c r="AM21" s="73"/>
      <c r="AN21" s="33">
        <v>1.8</v>
      </c>
      <c r="AO21" s="33">
        <f>'Исходные данные'!$C$59</f>
        <v>0.84</v>
      </c>
      <c r="AP21" s="79">
        <f>(G21*AN21)*AO21/100</f>
        <v>0.3024</v>
      </c>
      <c r="AQ21" s="33" t="s">
        <v>153</v>
      </c>
      <c r="AR21" s="83" t="e">
        <f>AR20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85</v>
      </c>
      <c r="C22" s="29">
        <v>2</v>
      </c>
      <c r="D22" s="30" t="s">
        <v>105</v>
      </c>
      <c r="E22" s="31" t="s">
        <v>200</v>
      </c>
      <c r="F22" s="28" t="s">
        <v>106</v>
      </c>
      <c r="G22" s="146">
        <f>D5</f>
        <v>100</v>
      </c>
      <c r="H22" s="81">
        <v>40377</v>
      </c>
      <c r="I22" s="81">
        <v>40379</v>
      </c>
      <c r="J22" s="83">
        <f>L22/M22</f>
        <v>7.1428571428571432</v>
      </c>
      <c r="K22" s="32">
        <v>14</v>
      </c>
      <c r="L22" s="33">
        <f t="shared" si="1"/>
        <v>7.1428571428571432</v>
      </c>
      <c r="M22" s="34">
        <v>1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данные'!$C$14:H16,Q22,'Исходные данные'!$C$18:$H$18),IF(O22=0,0,IF(Q22=0,"РОТ")))</f>
        <v>126.44557526609226</v>
      </c>
      <c r="S22" s="34"/>
      <c r="T22" s="33"/>
      <c r="U22" s="130">
        <f ca="1">O22*R22*'Исходные данные'!$C$40%</f>
        <v>0</v>
      </c>
      <c r="V22" s="130">
        <f>P22*T22*'Исходные данные'!$C$41%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2.5</v>
      </c>
      <c r="AD22" s="130">
        <f t="shared" ca="1" si="10"/>
        <v>25921.342929548915</v>
      </c>
      <c r="AE22" s="130">
        <f t="shared" si="11"/>
        <v>0</v>
      </c>
      <c r="AF22" s="35">
        <f t="shared" ca="1" si="12"/>
        <v>3873.3041159096074</v>
      </c>
      <c r="AG22" s="73"/>
      <c r="AH22" s="35">
        <f t="shared" ca="1" si="13"/>
        <v>29794.647045458521</v>
      </c>
      <c r="AI22" s="35"/>
      <c r="AJ22" s="35">
        <f t="shared" ca="1" si="14"/>
        <v>8938.3941136375561</v>
      </c>
      <c r="AK22" s="73"/>
      <c r="AL22" s="35">
        <f t="shared" ca="1" si="15"/>
        <v>38733.041159096079</v>
      </c>
      <c r="AM22" s="73"/>
      <c r="AN22" s="32">
        <v>2.8</v>
      </c>
      <c r="AO22" s="33">
        <f>'Исходные данные'!$C$59</f>
        <v>0.84</v>
      </c>
      <c r="AP22" s="79">
        <f>(G22*AN22)*AO22/100</f>
        <v>2.3519999999999999</v>
      </c>
      <c r="AQ22" s="33" t="s">
        <v>153</v>
      </c>
      <c r="AR22" s="83" t="e">
        <f>AR20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201</v>
      </c>
      <c r="C23" s="29">
        <v>1</v>
      </c>
      <c r="D23" s="30" t="s">
        <v>105</v>
      </c>
      <c r="E23" s="31" t="s">
        <v>202</v>
      </c>
      <c r="F23" s="28" t="s">
        <v>106</v>
      </c>
      <c r="G23" s="146">
        <f>G22</f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1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данные'!$G$26</f>
        <v>219.30404460212878</v>
      </c>
      <c r="S23" s="34">
        <v>4</v>
      </c>
      <c r="T23" s="83">
        <f ca="1">IF(AND(N23&gt;0,P23&gt;0),SUMIF('Исходные данные'!$C$14:$J$30,S23,'Исходные данные'!$C$34:$J$42),IF(N23=0,0,IF(S23=0,"РОТ")))</f>
        <v>123.48200709579322</v>
      </c>
      <c r="U23" s="130">
        <f>O23*R23*'Исходные данные'!$C$40%</f>
        <v>0</v>
      </c>
      <c r="V23" s="130">
        <f ca="1">P23*T23*'Исходные данные'!$C$41%</f>
        <v>4201.8182970096304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1050.4545742524078</v>
      </c>
      <c r="AA23" s="130">
        <f t="shared" si="8"/>
        <v>2132.1226558540302</v>
      </c>
      <c r="AB23" s="131">
        <f t="shared" ca="1" si="9"/>
        <v>1620.7013431322864</v>
      </c>
      <c r="AC23" s="129">
        <v>2.5</v>
      </c>
      <c r="AD23" s="130">
        <f t="shared" si="10"/>
        <v>87417.028890015223</v>
      </c>
      <c r="AE23" s="130">
        <f t="shared" ca="1" si="11"/>
        <v>59200.618506082115</v>
      </c>
      <c r="AF23" s="35">
        <f t="shared" ca="1" si="12"/>
        <v>13062.314661726412</v>
      </c>
      <c r="AG23" s="73">
        <f t="shared" ca="1" si="12"/>
        <v>8846.0694319433042</v>
      </c>
      <c r="AH23" s="35">
        <f t="shared" ca="1" si="13"/>
        <v>100479.34355174164</v>
      </c>
      <c r="AI23" s="35">
        <f t="shared" ca="1" si="13"/>
        <v>68046.687938025425</v>
      </c>
      <c r="AJ23" s="35">
        <f t="shared" ca="1" si="14"/>
        <v>30143.80306552249</v>
      </c>
      <c r="AK23" s="73">
        <f t="shared" ca="1" si="14"/>
        <v>20414.006381407627</v>
      </c>
      <c r="AL23" s="35">
        <f t="shared" ca="1" si="15"/>
        <v>130623.14661726412</v>
      </c>
      <c r="AM23" s="73">
        <f ca="1">AK23+AI23</f>
        <v>88460.694319433052</v>
      </c>
      <c r="AN23" s="32">
        <v>7.5</v>
      </c>
      <c r="AO23" s="33">
        <f>'Исходные данные'!$C$59</f>
        <v>0.84</v>
      </c>
      <c r="AP23" s="79">
        <f>(G23*AN23)*AO23/100</f>
        <v>6.3</v>
      </c>
      <c r="AQ23" s="33" t="s">
        <v>153</v>
      </c>
      <c r="AR23" s="83" t="e">
        <f>AR20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86</v>
      </c>
      <c r="C24" s="29">
        <v>5</v>
      </c>
      <c r="D24" s="132" t="s">
        <v>118</v>
      </c>
      <c r="E24" s="31" t="s">
        <v>203</v>
      </c>
      <c r="F24" s="28" t="s">
        <v>109</v>
      </c>
      <c r="G24" s="146">
        <f>H7/10</f>
        <v>108</v>
      </c>
      <c r="H24" s="81">
        <v>40378</v>
      </c>
      <c r="I24" s="81">
        <v>40380</v>
      </c>
      <c r="J24" s="83">
        <f>L24/N24</f>
        <v>8.3076923076923084</v>
      </c>
      <c r="K24" s="32">
        <v>13</v>
      </c>
      <c r="L24" s="33">
        <f t="shared" si="1"/>
        <v>8.3076923076923084</v>
      </c>
      <c r="M24" s="34">
        <v>1</v>
      </c>
      <c r="N24" s="34">
        <v>1</v>
      </c>
      <c r="O24" s="35">
        <f t="shared" si="2"/>
        <v>58.15384615384616</v>
      </c>
      <c r="P24" s="35">
        <f t="shared" si="3"/>
        <v>58.15384615384616</v>
      </c>
      <c r="Q24" s="34">
        <v>5</v>
      </c>
      <c r="R24" s="83">
        <f>'Исходные данные'!$G$26</f>
        <v>219.30404460212878</v>
      </c>
      <c r="S24" s="34">
        <v>4</v>
      </c>
      <c r="T24" s="83">
        <f ca="1">IF(AND(N24&gt;0,P24&gt;0),SUMIF('Исходные данные'!$C$14:$J$30,S24,'Исходные данные'!$C$34:$J$42),IF(N24=0,0,IF(S24=0,"РОТ")))</f>
        <v>123.48200709579322</v>
      </c>
      <c r="U24" s="130">
        <f>O24*R24*'Исходные данные'!$C$40%</f>
        <v>0</v>
      </c>
      <c r="V24" s="130">
        <f ca="1">P24*T24*'Исходные данные'!$C$41%</f>
        <v>2513.3337751959143</v>
      </c>
      <c r="W24" s="130">
        <f t="shared" si="4"/>
        <v>5101.3494682833661</v>
      </c>
      <c r="X24" s="131">
        <f t="shared" ca="1" si="5"/>
        <v>2872.3814573667596</v>
      </c>
      <c r="Y24" s="130">
        <f t="shared" si="6"/>
        <v>1785.4723138991781</v>
      </c>
      <c r="Z24" s="131">
        <f t="shared" ca="1" si="7"/>
        <v>628.33344379897869</v>
      </c>
      <c r="AA24" s="130">
        <f t="shared" si="8"/>
        <v>1275.3373670708415</v>
      </c>
      <c r="AB24" s="131">
        <f t="shared" ca="1" si="9"/>
        <v>969.42874186128142</v>
      </c>
      <c r="AC24" s="129">
        <v>2.5</v>
      </c>
      <c r="AD24" s="130">
        <f t="shared" si="10"/>
        <v>52288.832049904508</v>
      </c>
      <c r="AE24" s="130">
        <f t="shared" ca="1" si="11"/>
        <v>35411.077654099579</v>
      </c>
      <c r="AF24" s="35">
        <f t="shared" ca="1" si="12"/>
        <v>7813.2737545834316</v>
      </c>
      <c r="AG24" s="73">
        <f t="shared" ca="1" si="12"/>
        <v>5291.3104540608565</v>
      </c>
      <c r="AH24" s="35">
        <f t="shared" ca="1" si="13"/>
        <v>60102.105804487939</v>
      </c>
      <c r="AI24" s="35">
        <f t="shared" ca="1" si="13"/>
        <v>40702.388108160434</v>
      </c>
      <c r="AJ24" s="35">
        <f t="shared" ca="1" si="14"/>
        <v>18030.63174134638</v>
      </c>
      <c r="AK24" s="73">
        <f t="shared" ca="1" si="14"/>
        <v>12210.716432448129</v>
      </c>
      <c r="AL24" s="35">
        <f t="shared" ca="1" si="15"/>
        <v>78132.737545834316</v>
      </c>
      <c r="AM24" s="73">
        <f ca="1">AK24+AI24</f>
        <v>52913.104540608561</v>
      </c>
      <c r="AN24" s="32"/>
      <c r="AO24" s="33">
        <f>'Исходные данные'!$C$59</f>
        <v>0.84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131045.84208644288</v>
      </c>
      <c r="BJ24" s="36">
        <f t="shared" ca="1" si="22"/>
        <v>1310.4584208644287</v>
      </c>
      <c r="BK24" s="38">
        <f t="shared" si="23"/>
        <v>1.1630769230769231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87</v>
      </c>
      <c r="C25" s="29">
        <v>1</v>
      </c>
      <c r="D25" s="30" t="s">
        <v>105</v>
      </c>
      <c r="E25" s="31" t="s">
        <v>204</v>
      </c>
      <c r="F25" s="28" t="s">
        <v>106</v>
      </c>
      <c r="G25" s="146">
        <f>G20/5</f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данные'!$C$14:H27,Q25,'Исходные данные'!$C$18:$H$18),IF(O25=0,0,IF(Q25=0,"РОТ")))</f>
        <v>128.66557526609228</v>
      </c>
      <c r="S25" s="34"/>
      <c r="T25" s="33"/>
      <c r="U25" s="130">
        <f ca="1">O25*R25*'Исходные данные'!$C$40%</f>
        <v>0</v>
      </c>
      <c r="V25" s="130">
        <f>P25*T25*'Исходные данные'!$C$41%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2.5</v>
      </c>
      <c r="AD25" s="130">
        <f t="shared" ca="1" si="10"/>
        <v>519.00239074305659</v>
      </c>
      <c r="AE25" s="130">
        <f t="shared" si="11"/>
        <v>0</v>
      </c>
      <c r="AF25" s="35">
        <f t="shared" ca="1" si="12"/>
        <v>77.552081375399254</v>
      </c>
      <c r="AG25" s="73"/>
      <c r="AH25" s="35">
        <f t="shared" ca="1" si="13"/>
        <v>596.55447211845581</v>
      </c>
      <c r="AI25" s="35">
        <f t="shared" si="13"/>
        <v>0</v>
      </c>
      <c r="AJ25" s="35">
        <f t="shared" ca="1" si="14"/>
        <v>178.96634163553674</v>
      </c>
      <c r="AK25" s="73"/>
      <c r="AL25" s="35">
        <f t="shared" ca="1" si="15"/>
        <v>775.52081375399257</v>
      </c>
      <c r="AM25" s="73">
        <f>AK25+AI25</f>
        <v>0</v>
      </c>
      <c r="AN25" s="32">
        <v>0.3</v>
      </c>
      <c r="AO25" s="33">
        <f>'Исходные данные'!$C$59</f>
        <v>0.84</v>
      </c>
      <c r="AP25" s="79">
        <f>(G25*AN25)*AO25/100</f>
        <v>5.04E-2</v>
      </c>
      <c r="AQ25" s="33" t="s">
        <v>153</v>
      </c>
      <c r="AR25" s="83" t="e">
        <f>AR20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21</v>
      </c>
      <c r="C26" s="53"/>
      <c r="D26" s="53"/>
      <c r="E26" s="53"/>
      <c r="F26" s="55"/>
      <c r="G26" s="147"/>
      <c r="H26" s="64"/>
      <c r="I26" s="64"/>
      <c r="J26" s="57">
        <f>SUM(J20:J25)</f>
        <v>47.39665314384218</v>
      </c>
      <c r="K26" s="57"/>
      <c r="L26" s="57">
        <f>SUM(L20:L25)</f>
        <v>47.39665314384218</v>
      </c>
      <c r="M26" s="57">
        <f t="shared" ref="M26:BM26" si="25">SUM(M20:M25)</f>
        <v>6</v>
      </c>
      <c r="N26" s="57">
        <f t="shared" si="25"/>
        <v>2</v>
      </c>
      <c r="O26" s="57">
        <f t="shared" si="25"/>
        <v>331.77657200689532</v>
      </c>
      <c r="P26" s="57">
        <f t="shared" si="25"/>
        <v>155.37606837606839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6715.1520722055448</v>
      </c>
      <c r="W26" s="57">
        <f t="shared" ca="1" si="25"/>
        <v>23935.737481927867</v>
      </c>
      <c r="X26" s="57">
        <f t="shared" ca="1" si="25"/>
        <v>7674.4595110920527</v>
      </c>
      <c r="Y26" s="57">
        <f t="shared" ca="1" si="25"/>
        <v>8377.5081186747539</v>
      </c>
      <c r="Z26" s="57">
        <f t="shared" ca="1" si="25"/>
        <v>1678.7880180513866</v>
      </c>
      <c r="AA26" s="57">
        <f t="shared" ca="1" si="25"/>
        <v>5983.9343704819667</v>
      </c>
      <c r="AB26" s="57">
        <f t="shared" ca="1" si="25"/>
        <v>2590.1300849935678</v>
      </c>
      <c r="AC26" s="57"/>
      <c r="AD26" s="57">
        <f t="shared" ca="1" si="25"/>
        <v>245341.30918976065</v>
      </c>
      <c r="AE26" s="57">
        <f t="shared" ca="1" si="25"/>
        <v>94611.696160181687</v>
      </c>
      <c r="AF26" s="57">
        <f t="shared" ca="1" si="25"/>
        <v>36660.195626056178</v>
      </c>
      <c r="AG26" s="57">
        <f t="shared" ca="1" si="25"/>
        <v>14137.379886004161</v>
      </c>
      <c r="AH26" s="57">
        <f t="shared" ca="1" si="25"/>
        <v>282001.50481581682</v>
      </c>
      <c r="AI26" s="57">
        <f t="shared" ca="1" si="25"/>
        <v>108749.07604618586</v>
      </c>
      <c r="AJ26" s="57">
        <f t="shared" ca="1" si="25"/>
        <v>84600.451444745035</v>
      </c>
      <c r="AK26" s="57">
        <f t="shared" ca="1" si="25"/>
        <v>32624.722813855755</v>
      </c>
      <c r="AL26" s="57">
        <f t="shared" ca="1" si="25"/>
        <v>366601.95626056188</v>
      </c>
      <c r="AM26" s="57">
        <f t="shared" ca="1" si="25"/>
        <v>141373.7988600416</v>
      </c>
      <c r="AN26" s="57"/>
      <c r="AO26" s="57"/>
      <c r="AP26" s="57">
        <f t="shared" si="25"/>
        <v>14.4648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539" t="s">
        <v>98</v>
      </c>
      <c r="C27" s="540"/>
      <c r="D27" s="540"/>
      <c r="E27" s="541"/>
      <c r="F27" s="28"/>
      <c r="G27" s="146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76</v>
      </c>
      <c r="C28" s="29">
        <v>2</v>
      </c>
      <c r="D28" s="30" t="s">
        <v>105</v>
      </c>
      <c r="E28" s="31" t="s">
        <v>199</v>
      </c>
      <c r="F28" s="28" t="s">
        <v>106</v>
      </c>
      <c r="G28" s="146">
        <f>D5</f>
        <v>100</v>
      </c>
      <c r="H28" s="81">
        <v>40374</v>
      </c>
      <c r="I28" s="81">
        <v>40379</v>
      </c>
      <c r="J28" s="83">
        <f t="shared" ref="J28:J33" si="26">L28/M28</f>
        <v>16.666666666666668</v>
      </c>
      <c r="K28" s="32">
        <v>6</v>
      </c>
      <c r="L28" s="33">
        <f t="shared" ref="L28:L35" si="27">G28/K28</f>
        <v>16.666666666666668</v>
      </c>
      <c r="M28" s="34">
        <v>1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данные'!$C$14:H30,Q28,'Исходные данные'!$C$18:$H$18),IF(O28=0,0,IF(Q28=0,"РОТ")))</f>
        <v>156.08125696908263</v>
      </c>
      <c r="S28" s="34"/>
      <c r="T28" s="33"/>
      <c r="U28" s="130">
        <f ca="1">O28*R28*'Исходные данные'!$C$40%</f>
        <v>0</v>
      </c>
      <c r="V28" s="130">
        <f>P28*T28*'Исходные данные'!$C$41%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2.5</v>
      </c>
      <c r="AD28" s="130">
        <f t="shared" ref="AD28:AD35" ca="1" si="36">(O28*R28+U28+W28+Y28+AA28)*AC28</f>
        <v>74658.867916877862</v>
      </c>
      <c r="AE28" s="130">
        <f t="shared" ref="AE28:AE35" si="37">(P28*T28+V28+X28+Z28+AB28)*AC28</f>
        <v>0</v>
      </c>
      <c r="AF28" s="35">
        <f t="shared" ref="AF28:AF35" ca="1" si="38">AD28*$AF$15</f>
        <v>11155.922792177151</v>
      </c>
      <c r="AG28" s="73"/>
      <c r="AH28" s="35">
        <f t="shared" ref="AH28:AH35" ca="1" si="39">AD28+AF28</f>
        <v>85814.790709055014</v>
      </c>
      <c r="AI28" s="35"/>
      <c r="AJ28" s="35">
        <f t="shared" ref="AJ28:AJ35" ca="1" si="40">AH28*$AJ$15</f>
        <v>25744.437212716504</v>
      </c>
      <c r="AK28" s="73"/>
      <c r="AL28" s="35">
        <f t="shared" ref="AL28:AL35" ca="1" si="41">AH28+AJ28</f>
        <v>111559.22792177153</v>
      </c>
      <c r="AM28" s="73"/>
      <c r="AN28" s="32">
        <v>6.5</v>
      </c>
      <c r="AO28" s="33">
        <f>'Исходные данные'!$C$59</f>
        <v>0.84</v>
      </c>
      <c r="AP28" s="79">
        <f t="shared" ref="AP28:AP35" si="42">(G28*AN28)*AO28/100</f>
        <v>5.46</v>
      </c>
      <c r="AQ28" s="33" t="s">
        <v>153</v>
      </c>
      <c r="AR28" s="83" t="e">
        <f>AR20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84</v>
      </c>
      <c r="C29" s="29">
        <v>1</v>
      </c>
      <c r="D29" s="30" t="s">
        <v>105</v>
      </c>
      <c r="E29" s="31" t="s">
        <v>200</v>
      </c>
      <c r="F29" s="28" t="s">
        <v>106</v>
      </c>
      <c r="G29" s="146">
        <f>G28/5</f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данные'!$C$14:H30,Q29,'Исходные данные'!$C$18:$H$18),IF(O29=0,0,IF(Q29=0,"РОТ")))</f>
        <v>128.66557526609228</v>
      </c>
      <c r="S29" s="34"/>
      <c r="T29" s="33"/>
      <c r="U29" s="130">
        <f ca="1">O29*R29*'Исходные данные'!$C$40%</f>
        <v>0</v>
      </c>
      <c r="V29" s="130">
        <f>P29*T29*'Исходные данные'!$C$41%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2.5</v>
      </c>
      <c r="AD29" s="130">
        <f t="shared" ca="1" si="36"/>
        <v>4615.8775126710607</v>
      </c>
      <c r="AE29" s="130">
        <f t="shared" si="37"/>
        <v>0</v>
      </c>
      <c r="AF29" s="35">
        <f t="shared" ca="1" si="38"/>
        <v>689.72882373245727</v>
      </c>
      <c r="AG29" s="73"/>
      <c r="AH29" s="35">
        <f t="shared" ca="1" si="39"/>
        <v>5305.6063364035181</v>
      </c>
      <c r="AI29" s="35"/>
      <c r="AJ29" s="35">
        <f t="shared" ca="1" si="40"/>
        <v>1591.6819009210553</v>
      </c>
      <c r="AK29" s="73"/>
      <c r="AL29" s="35">
        <f t="shared" ca="1" si="41"/>
        <v>6897.2882373245739</v>
      </c>
      <c r="AM29" s="73"/>
      <c r="AN29" s="33">
        <v>1.8</v>
      </c>
      <c r="AO29" s="33">
        <f>'Исходные данные'!$C$59</f>
        <v>0.84</v>
      </c>
      <c r="AP29" s="79">
        <f t="shared" si="42"/>
        <v>0.3024</v>
      </c>
      <c r="AQ29" s="33" t="s">
        <v>153</v>
      </c>
      <c r="AR29" s="83" t="e">
        <f>AR20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85</v>
      </c>
      <c r="C30" s="29">
        <v>2</v>
      </c>
      <c r="D30" s="30" t="s">
        <v>105</v>
      </c>
      <c r="E30" s="31" t="s">
        <v>200</v>
      </c>
      <c r="F30" s="28" t="s">
        <v>106</v>
      </c>
      <c r="G30" s="146">
        <f>D5</f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данные'!$C$14:H30,Q30,'Исходные данные'!$C$18:$H$18),IF(O30=0,0,IF(Q30=0,"РОТ")))</f>
        <v>128.66557526609228</v>
      </c>
      <c r="S30" s="34"/>
      <c r="T30" s="33"/>
      <c r="U30" s="130">
        <f ca="1">O30*R30*'Исходные данные'!$C$40%</f>
        <v>0</v>
      </c>
      <c r="V30" s="130">
        <f>P30*T30*'Исходные данные'!$C$41%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2.5</v>
      </c>
      <c r="AD30" s="130">
        <f t="shared" ca="1" si="36"/>
        <v>26376.442929548917</v>
      </c>
      <c r="AE30" s="130">
        <f t="shared" si="37"/>
        <v>0</v>
      </c>
      <c r="AF30" s="35">
        <f t="shared" ca="1" si="38"/>
        <v>3941.3075641854698</v>
      </c>
      <c r="AG30" s="73"/>
      <c r="AH30" s="35">
        <f t="shared" ca="1" si="39"/>
        <v>30317.750493734387</v>
      </c>
      <c r="AI30" s="35"/>
      <c r="AJ30" s="35">
        <f t="shared" ca="1" si="40"/>
        <v>9095.3251481203151</v>
      </c>
      <c r="AK30" s="73"/>
      <c r="AL30" s="35">
        <f t="shared" ca="1" si="41"/>
        <v>39413.075641854703</v>
      </c>
      <c r="AM30" s="73"/>
      <c r="AN30" s="32">
        <v>2.8</v>
      </c>
      <c r="AO30" s="33">
        <f>'Исходные данные'!$C$59</f>
        <v>0.84</v>
      </c>
      <c r="AP30" s="79">
        <f t="shared" si="42"/>
        <v>2.3519999999999999</v>
      </c>
      <c r="AQ30" s="33" t="s">
        <v>153</v>
      </c>
      <c r="AR30" s="83" t="e">
        <f>AR20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88</v>
      </c>
      <c r="C31" s="29">
        <v>2</v>
      </c>
      <c r="D31" s="30" t="s">
        <v>105</v>
      </c>
      <c r="E31" s="31" t="s">
        <v>205</v>
      </c>
      <c r="F31" s="28" t="s">
        <v>106</v>
      </c>
      <c r="G31" s="146">
        <f>G30</f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данные'!$C$14:H31,Q31,'Исходные данные'!$C$18:$H$18),IF(O31=0,0,IF(Q31=0,"РОТ")))</f>
        <v>179.78980233147493</v>
      </c>
      <c r="S31" s="34"/>
      <c r="T31" s="33"/>
      <c r="U31" s="130">
        <f ca="1">O31*R31*'Исходные данные'!$C$40%</f>
        <v>0</v>
      </c>
      <c r="V31" s="130">
        <f>P31*T31*'Исходные данные'!$C$41%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2.5</v>
      </c>
      <c r="AD31" s="130">
        <f t="shared" ca="1" si="36"/>
        <v>32249.795793208319</v>
      </c>
      <c r="AE31" s="130">
        <f t="shared" si="37"/>
        <v>0</v>
      </c>
      <c r="AF31" s="35">
        <f t="shared" ca="1" si="38"/>
        <v>4818.935003582852</v>
      </c>
      <c r="AG31" s="73"/>
      <c r="AH31" s="35">
        <f t="shared" ca="1" si="39"/>
        <v>37068.730796791169</v>
      </c>
      <c r="AI31" s="35"/>
      <c r="AJ31" s="35">
        <f t="shared" ca="1" si="40"/>
        <v>11120.619239037351</v>
      </c>
      <c r="AK31" s="73"/>
      <c r="AL31" s="35">
        <f t="shared" ca="1" si="41"/>
        <v>48189.350035828524</v>
      </c>
      <c r="AM31" s="73"/>
      <c r="AN31" s="32">
        <v>3.6</v>
      </c>
      <c r="AO31" s="33">
        <f>'Исходные данные'!$C$59</f>
        <v>0.84</v>
      </c>
      <c r="AP31" s="79">
        <f t="shared" si="42"/>
        <v>3.0239999999999996</v>
      </c>
      <c r="AQ31" s="33" t="s">
        <v>153</v>
      </c>
      <c r="AR31" s="83" t="e">
        <f>AR20</f>
        <v>#REF!</v>
      </c>
      <c r="AS31" s="36" t="e">
        <f t="shared" si="43"/>
        <v>#REF!</v>
      </c>
      <c r="AT31" s="153">
        <f>(1000/215*120)/2000</f>
        <v>0.27906976744186052</v>
      </c>
      <c r="AU31" s="79">
        <f>AT31*G31*D8</f>
        <v>301.39534883720938</v>
      </c>
      <c r="AV31" s="36">
        <f>5*200</f>
        <v>1000</v>
      </c>
      <c r="AW31" s="36">
        <f>AU31*AV31</f>
        <v>301395.3488372094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89</v>
      </c>
      <c r="C32" s="29">
        <v>1</v>
      </c>
      <c r="D32" s="30" t="s">
        <v>105</v>
      </c>
      <c r="E32" s="31" t="s">
        <v>204</v>
      </c>
      <c r="F32" s="28" t="s">
        <v>106</v>
      </c>
      <c r="G32" s="146">
        <f>G28/5</f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данные'!$C$14:H32,Q32,'Исходные данные'!$C$18:$H$18),IF(O32=0,0,IF(Q32=0,"РОТ")))</f>
        <v>128.66557526609228</v>
      </c>
      <c r="S32" s="34"/>
      <c r="T32" s="33"/>
      <c r="U32" s="130">
        <f ca="1">O32*R32*'Исходные данные'!$C$40%</f>
        <v>0</v>
      </c>
      <c r="V32" s="130">
        <f>P32*T32*'Исходные данные'!$C$41%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2.5</v>
      </c>
      <c r="AD32" s="130">
        <f t="shared" ca="1" si="36"/>
        <v>519.00239074305659</v>
      </c>
      <c r="AE32" s="130">
        <f t="shared" si="37"/>
        <v>0</v>
      </c>
      <c r="AF32" s="35">
        <f t="shared" ca="1" si="38"/>
        <v>77.552081375399254</v>
      </c>
      <c r="AG32" s="73"/>
      <c r="AH32" s="35">
        <f t="shared" ca="1" si="39"/>
        <v>596.55447211845581</v>
      </c>
      <c r="AI32" s="35"/>
      <c r="AJ32" s="35">
        <f t="shared" ca="1" si="40"/>
        <v>178.96634163553674</v>
      </c>
      <c r="AK32" s="73"/>
      <c r="AL32" s="35">
        <f t="shared" ca="1" si="41"/>
        <v>775.52081375399257</v>
      </c>
      <c r="AM32" s="73"/>
      <c r="AN32" s="32">
        <v>0.3</v>
      </c>
      <c r="AO32" s="33">
        <f>'Исходные данные'!$C$59</f>
        <v>0.84</v>
      </c>
      <c r="AP32" s="79">
        <f t="shared" si="42"/>
        <v>5.04E-2</v>
      </c>
      <c r="AQ32" s="33" t="s">
        <v>153</v>
      </c>
      <c r="AR32" s="83" t="e">
        <f>AR20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90</v>
      </c>
      <c r="C33" s="29">
        <v>2</v>
      </c>
      <c r="D33" s="30" t="s">
        <v>105</v>
      </c>
      <c r="E33" s="31" t="s">
        <v>206</v>
      </c>
      <c r="F33" s="28" t="s">
        <v>109</v>
      </c>
      <c r="G33" s="146">
        <v>116.23529411764707</v>
      </c>
      <c r="H33" s="81">
        <v>40387</v>
      </c>
      <c r="I33" s="81">
        <v>40389</v>
      </c>
      <c r="J33" s="83">
        <f t="shared" si="26"/>
        <v>4.9525050753151714</v>
      </c>
      <c r="K33" s="32">
        <v>23.47</v>
      </c>
      <c r="L33" s="33">
        <f t="shared" si="27"/>
        <v>4.9525050753151714</v>
      </c>
      <c r="M33" s="34">
        <v>1</v>
      </c>
      <c r="N33" s="34"/>
      <c r="O33" s="35">
        <f t="shared" si="28"/>
        <v>34.667535527206198</v>
      </c>
      <c r="P33" s="35">
        <f t="shared" si="29"/>
        <v>0</v>
      </c>
      <c r="Q33" s="140">
        <v>3</v>
      </c>
      <c r="R33" s="83">
        <f ca="1">IF(AND(O33&gt;0,Q33&gt;0),SUMIF('Исходные данные'!$C$14:H33,Q33,'Исходные данные'!$C$18:$H$18),IF(O33=0,0,IF(Q33=0,"РОТ")))</f>
        <v>138.29984794728838</v>
      </c>
      <c r="S33" s="34"/>
      <c r="T33" s="33"/>
      <c r="U33" s="130">
        <f ca="1">O33*R33*'Исходные данные'!$C$40%</f>
        <v>0</v>
      </c>
      <c r="V33" s="130">
        <f>P33*T33*'Исходные данные'!$C$41%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2.5</v>
      </c>
      <c r="AD33" s="130">
        <f t="shared" ca="1" si="36"/>
        <v>19657.511057691325</v>
      </c>
      <c r="AE33" s="130">
        <f t="shared" si="37"/>
        <v>0</v>
      </c>
      <c r="AF33" s="35">
        <f t="shared" ca="1" si="38"/>
        <v>2937.3292385055997</v>
      </c>
      <c r="AG33" s="73"/>
      <c r="AH33" s="35">
        <f t="shared" ca="1" si="39"/>
        <v>22594.840296196926</v>
      </c>
      <c r="AI33" s="35"/>
      <c r="AJ33" s="35">
        <f t="shared" ca="1" si="40"/>
        <v>6778.4520888590778</v>
      </c>
      <c r="AK33" s="73"/>
      <c r="AL33" s="35">
        <f t="shared" ca="1" si="41"/>
        <v>29373.292385056004</v>
      </c>
      <c r="AM33" s="73"/>
      <c r="AN33" s="32">
        <v>1.4</v>
      </c>
      <c r="AO33" s="33">
        <f>'Исходные данные'!$C$59</f>
        <v>0.84</v>
      </c>
      <c r="AP33" s="79">
        <f t="shared" si="42"/>
        <v>1.3669270588235296</v>
      </c>
      <c r="AQ33" s="33" t="s">
        <v>153</v>
      </c>
      <c r="AR33" s="83" t="e">
        <f>AR20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91</v>
      </c>
      <c r="C34" s="29">
        <v>2</v>
      </c>
      <c r="D34" s="30" t="s">
        <v>105</v>
      </c>
      <c r="E34" s="31" t="s">
        <v>115</v>
      </c>
      <c r="F34" s="28" t="s">
        <v>109</v>
      </c>
      <c r="G34" s="146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данные'!$C$14:H34,Q34,'Исходные данные'!$C$18:$H$18),IF(O34=0,0,IF(Q34=0,"РОТ")))</f>
        <v>156.08125696908263</v>
      </c>
      <c r="S34" s="34">
        <v>4</v>
      </c>
      <c r="T34" s="83">
        <f ca="1">IF(AND(N34&gt;0,P34&gt;0),SUMIF('Исходные данные'!$C$14:$J$30,S34,'Исходные данные'!$C$34:$J$42),IF(N34=0,0,IF(S34=0,"РОТ")))</f>
        <v>123.48200709579322</v>
      </c>
      <c r="U34" s="130">
        <f ca="1">O34*R34*'Исходные данные'!$C$40%</f>
        <v>0</v>
      </c>
      <c r="V34" s="130">
        <f ca="1">P34*T34*'Исходные данные'!$C$41%</f>
        <v>1758.238508094571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439.5596270236428</v>
      </c>
      <c r="AA34" s="130">
        <f t="shared" ca="1" si="34"/>
        <v>634.97527835186804</v>
      </c>
      <c r="AB34" s="131">
        <f t="shared" ca="1" si="35"/>
        <v>678.17771026504897</v>
      </c>
      <c r="AC34" s="129">
        <v>2.5</v>
      </c>
      <c r="AD34" s="130">
        <f t="shared" ca="1" si="36"/>
        <v>26033.986412426595</v>
      </c>
      <c r="AE34" s="130">
        <f t="shared" ca="1" si="37"/>
        <v>24772.324694403866</v>
      </c>
      <c r="AF34" s="35">
        <f t="shared" ca="1" si="38"/>
        <v>3890.135900707422</v>
      </c>
      <c r="AG34" s="73">
        <f ca="1">AE34*$AF$15</f>
        <v>3701.6117359454047</v>
      </c>
      <c r="AH34" s="35">
        <f t="shared" ca="1" si="39"/>
        <v>29924.122313134016</v>
      </c>
      <c r="AI34" s="35">
        <f ca="1">AE34+AG34</f>
        <v>28473.936430349269</v>
      </c>
      <c r="AJ34" s="35">
        <f t="shared" ca="1" si="40"/>
        <v>8977.2366939402036</v>
      </c>
      <c r="AK34" s="73">
        <f ca="1">AI34*$AJ$15</f>
        <v>8542.1809291047812</v>
      </c>
      <c r="AL34" s="35">
        <f t="shared" ca="1" si="41"/>
        <v>38901.359007074221</v>
      </c>
      <c r="AM34" s="73">
        <f ca="1">AK34+AI34</f>
        <v>37016.117359454052</v>
      </c>
      <c r="AN34" s="32">
        <v>0.8</v>
      </c>
      <c r="AO34" s="33">
        <f>'Исходные данные'!$C$59</f>
        <v>0.84</v>
      </c>
      <c r="AP34" s="79">
        <f t="shared" si="42"/>
        <v>0.7811011764705883</v>
      </c>
      <c r="AQ34" s="33" t="s">
        <v>153</v>
      </c>
      <c r="AR34" s="83" t="e">
        <f>AR20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92</v>
      </c>
      <c r="C35" s="29">
        <v>1</v>
      </c>
      <c r="D35" s="30" t="s">
        <v>105</v>
      </c>
      <c r="E35" s="31" t="s">
        <v>207</v>
      </c>
      <c r="F35" s="28" t="s">
        <v>109</v>
      </c>
      <c r="G35" s="146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данные'!$C$14:H34,Q35,'Исходные данные'!$C$18:$H$18),IF(O35=0,0,IF(Q35=0,"РОТ")))</f>
        <v>156.08125696908263</v>
      </c>
      <c r="S35" s="34">
        <v>4</v>
      </c>
      <c r="T35" s="83">
        <f ca="1">IF(AND(N35&gt;0,P35&gt;0),SUMIF('Исходные данные'!$C$14:$J$30,S35,'Исходные данные'!$C$34:$J$42),IF(N35=0,0,IF(S35=0,"РОТ")))</f>
        <v>123.48200709579322</v>
      </c>
      <c r="U35" s="130">
        <f ca="1">O35*R35*'Исходные данные'!$C$40%</f>
        <v>0</v>
      </c>
      <c r="V35" s="130">
        <f ca="1">P35*T35*'Исходные данные'!$C$41%</f>
        <v>1794.120926627113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448.53023165677826</v>
      </c>
      <c r="AA35" s="130">
        <f t="shared" ca="1" si="34"/>
        <v>647.93395750190621</v>
      </c>
      <c r="AB35" s="131">
        <f t="shared" ca="1" si="35"/>
        <v>692.01807169902941</v>
      </c>
      <c r="AC35" s="129">
        <v>2.5</v>
      </c>
      <c r="AD35" s="130">
        <f t="shared" ca="1" si="36"/>
        <v>26565.292257578152</v>
      </c>
      <c r="AE35" s="130">
        <f t="shared" ca="1" si="37"/>
        <v>25277.882341228429</v>
      </c>
      <c r="AF35" s="35">
        <f t="shared" ca="1" si="38"/>
        <v>3969.5264292932866</v>
      </c>
      <c r="AG35" s="73">
        <f ca="1">AE35*$AF$15</f>
        <v>3777.1548325973513</v>
      </c>
      <c r="AH35" s="35">
        <f t="shared" ca="1" si="39"/>
        <v>30534.81868687144</v>
      </c>
      <c r="AI35" s="35">
        <f ca="1">AE35+AG35</f>
        <v>29055.037173825782</v>
      </c>
      <c r="AJ35" s="35">
        <f t="shared" ca="1" si="40"/>
        <v>9160.445606061432</v>
      </c>
      <c r="AK35" s="73">
        <f ca="1">AI35*$AJ$15</f>
        <v>8716.5111521477338</v>
      </c>
      <c r="AL35" s="35">
        <f t="shared" ca="1" si="41"/>
        <v>39695.264292932872</v>
      </c>
      <c r="AM35" s="73">
        <f ca="1">AK35+AI35</f>
        <v>37771.548325973519</v>
      </c>
      <c r="AN35" s="32">
        <v>2.5</v>
      </c>
      <c r="AO35" s="33">
        <f>'Исходные данные'!$C$59</f>
        <v>0.84</v>
      </c>
      <c r="AP35" s="79">
        <f t="shared" si="42"/>
        <v>2.4409411764705884</v>
      </c>
      <c r="AQ35" s="33" t="s">
        <v>153</v>
      </c>
      <c r="AR35" s="83" t="e">
        <f>AR20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21</v>
      </c>
      <c r="C36" s="53"/>
      <c r="D36" s="53"/>
      <c r="E36" s="53"/>
      <c r="F36" s="55"/>
      <c r="G36" s="56"/>
      <c r="H36" s="56"/>
      <c r="I36" s="56"/>
      <c r="J36" s="65">
        <f>SUM(J28:J35)</f>
        <v>48.144713877318054</v>
      </c>
      <c r="K36" s="65"/>
      <c r="L36" s="65">
        <f>SUM(L28:L35)</f>
        <v>48.144713877318054</v>
      </c>
      <c r="M36" s="65">
        <f t="shared" ref="M36:BM36" si="54">SUM(M28:M35)</f>
        <v>8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3552.359434721684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888.089858680421</v>
      </c>
      <c r="AA36" s="65">
        <f t="shared" ca="1" si="54"/>
        <v>5138.457957823055</v>
      </c>
      <c r="AB36" s="65">
        <f t="shared" ca="1" si="54"/>
        <v>1370.1957819640784</v>
      </c>
      <c r="AC36" s="65"/>
      <c r="AD36" s="65">
        <f t="shared" ca="1" si="54"/>
        <v>210676.77627074529</v>
      </c>
      <c r="AE36" s="65">
        <f t="shared" ca="1" si="54"/>
        <v>50050.207035632295</v>
      </c>
      <c r="AF36" s="65">
        <f t="shared" ca="1" si="54"/>
        <v>31480.437833559641</v>
      </c>
      <c r="AG36" s="65">
        <f t="shared" ca="1" si="54"/>
        <v>7478.7665685427564</v>
      </c>
      <c r="AH36" s="65">
        <f t="shared" ca="1" si="54"/>
        <v>242157.21410430493</v>
      </c>
      <c r="AI36" s="65">
        <f t="shared" ca="1" si="54"/>
        <v>57528.973604175051</v>
      </c>
      <c r="AJ36" s="65">
        <f t="shared" ca="1" si="54"/>
        <v>72647.164231291477</v>
      </c>
      <c r="AK36" s="65">
        <f t="shared" ca="1" si="54"/>
        <v>17258.692081252513</v>
      </c>
      <c r="AL36" s="65">
        <f t="shared" ca="1" si="54"/>
        <v>314804.37833559641</v>
      </c>
      <c r="AM36" s="65">
        <f t="shared" ca="1" si="54"/>
        <v>74787.665685427579</v>
      </c>
      <c r="AN36" s="65"/>
      <c r="AO36" s="65"/>
      <c r="AP36" s="65">
        <f t="shared" si="54"/>
        <v>15.777769411764705</v>
      </c>
      <c r="AQ36" s="65"/>
      <c r="AR36" s="65"/>
      <c r="AS36" s="65" t="e">
        <f t="shared" si="54"/>
        <v>#REF!</v>
      </c>
      <c r="AT36" s="65"/>
      <c r="AU36" s="65">
        <f>SUM(AU28:AU35)</f>
        <v>301.39534883720938</v>
      </c>
      <c r="AV36" s="65"/>
      <c r="AW36" s="65">
        <f>SUM(AW28:AW35)</f>
        <v>301395.3488372094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ht="24" customHeight="1" x14ac:dyDescent="0.2">
      <c r="A37" s="21"/>
      <c r="B37" s="539" t="s">
        <v>97</v>
      </c>
      <c r="C37" s="540"/>
      <c r="D37" s="540"/>
      <c r="E37" s="541"/>
      <c r="F37" s="22"/>
      <c r="G37" s="23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76</v>
      </c>
      <c r="C38" s="29">
        <v>2</v>
      </c>
      <c r="D38" s="30" t="s">
        <v>105</v>
      </c>
      <c r="E38" s="31" t="s">
        <v>199</v>
      </c>
      <c r="F38" s="28" t="s">
        <v>106</v>
      </c>
      <c r="G38" s="146">
        <f>D5</f>
        <v>100</v>
      </c>
      <c r="H38" s="81">
        <v>40374</v>
      </c>
      <c r="I38" s="81">
        <v>40377</v>
      </c>
      <c r="J38" s="83">
        <f>L38/M38</f>
        <v>16.666666666666668</v>
      </c>
      <c r="K38" s="32">
        <v>6</v>
      </c>
      <c r="L38" s="33">
        <f t="shared" ref="L38:L45" si="55">G38/K38</f>
        <v>16.666666666666668</v>
      </c>
      <c r="M38" s="30">
        <v>1</v>
      </c>
      <c r="N38" s="30"/>
      <c r="O38" s="35">
        <f t="shared" ref="O38:O45" si="56">IF(M38=0,0,L38*$O$15)</f>
        <v>116.66666666666667</v>
      </c>
      <c r="P38" s="35">
        <f t="shared" ref="P38:P45" si="57">IF(N38=0,0,L38*$O$15)</f>
        <v>0</v>
      </c>
      <c r="Q38" s="85">
        <v>4</v>
      </c>
      <c r="R38" s="83">
        <f ca="1">IF(AND(O38&gt;0,Q38&gt;0),SUMIF('Исходные данные'!$C$14:H36,Q38,'Исходные данные'!$C$18:$H$18),IF(O38=0,0,IF(Q38=0,"РОТ")))</f>
        <v>156.08125696908263</v>
      </c>
      <c r="S38" s="85"/>
      <c r="T38" s="30"/>
      <c r="U38" s="130">
        <f ca="1">O38*R38*'Исходные данные'!$C$40%</f>
        <v>0</v>
      </c>
      <c r="V38" s="130">
        <f>P38*T38*'Исходные данные'!$C$41%</f>
        <v>0</v>
      </c>
      <c r="W38" s="130">
        <f t="shared" ref="W38:W45" ca="1" si="58">O38*R38*$W$15</f>
        <v>7283.7919918905236</v>
      </c>
      <c r="X38" s="131">
        <f t="shared" ref="X38:X45" si="59">P38*T38*$W$15</f>
        <v>0</v>
      </c>
      <c r="Y38" s="130">
        <f t="shared" ref="Y38:Y45" ca="1" si="60">(O38*R38+U38+W38)*$Y$15</f>
        <v>2549.3271971616832</v>
      </c>
      <c r="Z38" s="131">
        <f t="shared" ref="Z38:Z45" si="61">(P38*T38+V38+X38)*$Z$15</f>
        <v>0</v>
      </c>
      <c r="AA38" s="130">
        <f t="shared" ref="AA38:AA45" ca="1" si="62">(O38*R38+U38)*$AA$15</f>
        <v>1820.9479979726309</v>
      </c>
      <c r="AB38" s="131">
        <f t="shared" ref="AB38:AB45" si="63">(P38*T38+V38)*$AA$15</f>
        <v>0</v>
      </c>
      <c r="AC38" s="129">
        <v>2.5</v>
      </c>
      <c r="AD38" s="130">
        <f t="shared" ref="AD38:AD45" ca="1" si="64">(O38*R38+U38+W38+Y38+AA38)*AC38</f>
        <v>74658.867916877862</v>
      </c>
      <c r="AE38" s="130">
        <f t="shared" ref="AE38:AE45" si="65">(P38*T38+V38+X38+Z38+AB38)*AC38</f>
        <v>0</v>
      </c>
      <c r="AF38" s="35">
        <f t="shared" ref="AF38:AG45" ca="1" si="66">AD38*$AF$15</f>
        <v>11155.922792177151</v>
      </c>
      <c r="AG38" s="73">
        <f t="shared" ca="1" si="66"/>
        <v>0</v>
      </c>
      <c r="AH38" s="35">
        <f t="shared" ref="AH38:AI45" ca="1" si="67">AD38+AF38</f>
        <v>85814.790709055014</v>
      </c>
      <c r="AI38" s="35">
        <f t="shared" ca="1" si="67"/>
        <v>0</v>
      </c>
      <c r="AJ38" s="35">
        <f t="shared" ref="AJ38:AK45" ca="1" si="68">AH38*$AJ$15</f>
        <v>25744.437212716504</v>
      </c>
      <c r="AK38" s="73">
        <f t="shared" ca="1" si="68"/>
        <v>0</v>
      </c>
      <c r="AL38" s="35">
        <f t="shared" ref="AL38:AL45" ca="1" si="69">AH38+AJ38</f>
        <v>111559.22792177153</v>
      </c>
      <c r="AM38" s="73">
        <f t="shared" ref="AM38:AM45" ca="1" si="70">AK38+AI38</f>
        <v>0</v>
      </c>
      <c r="AN38" s="32">
        <v>6.5</v>
      </c>
      <c r="AO38" s="33">
        <f>'Исходные данные'!$C$59</f>
        <v>0.84</v>
      </c>
      <c r="AP38" s="79">
        <f>(G38*AN38)*AO38/100</f>
        <v>5.46</v>
      </c>
      <c r="AQ38" s="33" t="s">
        <v>153</v>
      </c>
      <c r="AR38" s="83" t="e">
        <f>AR20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1">AL38+AM38+AS38+AY38+BA38+BC38+BE38+BG38+BH38+AW38</f>
        <v>#REF!</v>
      </c>
      <c r="BJ38" s="36" t="e">
        <f t="shared" ref="BJ38:BJ45" ca="1" si="72">BI38/$D$5</f>
        <v>#REF!</v>
      </c>
      <c r="BK38" s="38">
        <f t="shared" ref="BK38:BK45" si="73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84</v>
      </c>
      <c r="C39" s="29">
        <v>1</v>
      </c>
      <c r="D39" s="30" t="s">
        <v>105</v>
      </c>
      <c r="E39" s="31" t="s">
        <v>200</v>
      </c>
      <c r="F39" s="28" t="s">
        <v>106</v>
      </c>
      <c r="G39" s="146">
        <f>G38/5</f>
        <v>20</v>
      </c>
      <c r="H39" s="81">
        <v>40376</v>
      </c>
      <c r="I39" s="81">
        <v>40378</v>
      </c>
      <c r="J39" s="83">
        <f>L39/M39</f>
        <v>1.25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si="56"/>
        <v>8.75</v>
      </c>
      <c r="P39" s="35">
        <f t="shared" si="57"/>
        <v>0</v>
      </c>
      <c r="Q39" s="85">
        <v>2</v>
      </c>
      <c r="R39" s="83">
        <f ca="1">IF(AND(O39&gt;0,Q39&gt;0),SUMIF('Исходные данные'!$C$14:H37,Q39,'Исходные данные'!$C$18:$H$18),IF(O39=0,0,IF(Q39=0,"РОТ")))</f>
        <v>128.66557526609228</v>
      </c>
      <c r="S39" s="85"/>
      <c r="T39" s="30"/>
      <c r="U39" s="130">
        <f ca="1">O39*R39*'Исходные данные'!$C$40%</f>
        <v>0</v>
      </c>
      <c r="V39" s="130">
        <f>P39*T39*'Исходные данные'!$C$41%</f>
        <v>0</v>
      </c>
      <c r="W39" s="130">
        <f t="shared" ca="1" si="58"/>
        <v>450.32951343132299</v>
      </c>
      <c r="X39" s="131">
        <f t="shared" si="59"/>
        <v>0</v>
      </c>
      <c r="Y39" s="130">
        <f t="shared" ca="1" si="60"/>
        <v>157.61532970096306</v>
      </c>
      <c r="Z39" s="131">
        <f t="shared" si="61"/>
        <v>0</v>
      </c>
      <c r="AA39" s="130">
        <f t="shared" ca="1" si="62"/>
        <v>112.58237835783075</v>
      </c>
      <c r="AB39" s="131">
        <f t="shared" si="63"/>
        <v>0</v>
      </c>
      <c r="AC39" s="129">
        <v>2.5</v>
      </c>
      <c r="AD39" s="130">
        <f t="shared" ca="1" si="64"/>
        <v>4615.8775126710607</v>
      </c>
      <c r="AE39" s="130">
        <f t="shared" si="65"/>
        <v>0</v>
      </c>
      <c r="AF39" s="35">
        <f t="shared" ca="1" si="66"/>
        <v>689.72882373245727</v>
      </c>
      <c r="AG39" s="73">
        <f t="shared" ca="1" si="66"/>
        <v>0</v>
      </c>
      <c r="AH39" s="35">
        <f t="shared" ca="1" si="67"/>
        <v>5305.6063364035181</v>
      </c>
      <c r="AI39" s="35">
        <f t="shared" ca="1" si="67"/>
        <v>0</v>
      </c>
      <c r="AJ39" s="35">
        <f t="shared" ca="1" si="68"/>
        <v>1591.6819009210553</v>
      </c>
      <c r="AK39" s="73">
        <f t="shared" ca="1" si="68"/>
        <v>0</v>
      </c>
      <c r="AL39" s="35">
        <f t="shared" ca="1" si="69"/>
        <v>6897.2882373245739</v>
      </c>
      <c r="AM39" s="73">
        <f t="shared" ca="1" si="70"/>
        <v>0</v>
      </c>
      <c r="AN39" s="33">
        <v>1.8</v>
      </c>
      <c r="AO39" s="33">
        <f>'Исходные данные'!$C$59</f>
        <v>0.84</v>
      </c>
      <c r="AP39" s="79">
        <f>(G39*AN39)*AO39/100</f>
        <v>0.3024</v>
      </c>
      <c r="AQ39" s="33" t="s">
        <v>153</v>
      </c>
      <c r="AR39" s="83" t="e">
        <f>AR20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1"/>
        <v>#REF!</v>
      </c>
      <c r="BJ39" s="36" t="e">
        <f t="shared" ca="1" si="72"/>
        <v>#REF!</v>
      </c>
      <c r="BK39" s="38">
        <f t="shared" si="73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85</v>
      </c>
      <c r="C40" s="29">
        <v>2</v>
      </c>
      <c r="D40" s="30" t="s">
        <v>105</v>
      </c>
      <c r="E40" s="31" t="s">
        <v>200</v>
      </c>
      <c r="F40" s="28" t="s">
        <v>106</v>
      </c>
      <c r="G40" s="146">
        <f>D5</f>
        <v>100</v>
      </c>
      <c r="H40" s="81">
        <v>40377</v>
      </c>
      <c r="I40" s="81">
        <v>40379</v>
      </c>
      <c r="J40" s="83">
        <f>L40/M40</f>
        <v>7.1428571428571432</v>
      </c>
      <c r="K40" s="32">
        <v>14</v>
      </c>
      <c r="L40" s="33">
        <f t="shared" si="55"/>
        <v>7.1428571428571432</v>
      </c>
      <c r="M40" s="30">
        <v>1</v>
      </c>
      <c r="N40" s="30"/>
      <c r="O40" s="35">
        <f t="shared" si="56"/>
        <v>50</v>
      </c>
      <c r="P40" s="35">
        <f t="shared" si="57"/>
        <v>0</v>
      </c>
      <c r="Q40" s="85">
        <v>2</v>
      </c>
      <c r="R40" s="83">
        <f ca="1">IF(AND(O40&gt;0,Q40&gt;0),SUMIF('Исходные данные'!$C$14:H38,Q40,'Исходные данные'!$C$18:$H$18),IF(O40=0,0,IF(Q40=0,"РОТ")))</f>
        <v>128.66557526609228</v>
      </c>
      <c r="S40" s="85"/>
      <c r="T40" s="30"/>
      <c r="U40" s="130">
        <f ca="1">O40*R40*'Исходные данные'!$C$40%</f>
        <v>0</v>
      </c>
      <c r="V40" s="130">
        <f>P40*T40*'Исходные данные'!$C$41%</f>
        <v>0</v>
      </c>
      <c r="W40" s="130">
        <f t="shared" ca="1" si="58"/>
        <v>2573.3115053218457</v>
      </c>
      <c r="X40" s="131">
        <f t="shared" si="59"/>
        <v>0</v>
      </c>
      <c r="Y40" s="130">
        <f t="shared" ca="1" si="60"/>
        <v>900.65902686264599</v>
      </c>
      <c r="Z40" s="131">
        <f t="shared" si="61"/>
        <v>0</v>
      </c>
      <c r="AA40" s="130">
        <f t="shared" ca="1" si="62"/>
        <v>643.32787633046144</v>
      </c>
      <c r="AB40" s="131">
        <f t="shared" si="63"/>
        <v>0</v>
      </c>
      <c r="AC40" s="129">
        <v>2.5</v>
      </c>
      <c r="AD40" s="130">
        <f t="shared" ca="1" si="64"/>
        <v>26376.442929548917</v>
      </c>
      <c r="AE40" s="130">
        <f t="shared" si="65"/>
        <v>0</v>
      </c>
      <c r="AF40" s="35">
        <f t="shared" ca="1" si="66"/>
        <v>3941.3075641854698</v>
      </c>
      <c r="AG40" s="73">
        <f t="shared" ca="1" si="66"/>
        <v>0</v>
      </c>
      <c r="AH40" s="35">
        <f t="shared" ca="1" si="67"/>
        <v>30317.750493734387</v>
      </c>
      <c r="AI40" s="35">
        <f t="shared" ca="1" si="67"/>
        <v>0</v>
      </c>
      <c r="AJ40" s="35">
        <f t="shared" ca="1" si="68"/>
        <v>9095.3251481203151</v>
      </c>
      <c r="AK40" s="73">
        <f t="shared" ca="1" si="68"/>
        <v>0</v>
      </c>
      <c r="AL40" s="35">
        <f t="shared" ca="1" si="69"/>
        <v>39413.075641854703</v>
      </c>
      <c r="AM40" s="73">
        <f t="shared" ca="1" si="70"/>
        <v>0</v>
      </c>
      <c r="AN40" s="32">
        <v>2.8</v>
      </c>
      <c r="AO40" s="33">
        <f>'Исходные данные'!$C$59</f>
        <v>0.84</v>
      </c>
      <c r="AP40" s="79">
        <f>(G40*AN40)*AO40/100</f>
        <v>2.3519999999999999</v>
      </c>
      <c r="AQ40" s="33" t="s">
        <v>153</v>
      </c>
      <c r="AR40" s="83" t="e">
        <f>AR20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1"/>
        <v>#REF!</v>
      </c>
      <c r="BJ40" s="36" t="e">
        <f t="shared" ca="1" si="72"/>
        <v>#REF!</v>
      </c>
      <c r="BK40" s="38">
        <f t="shared" si="73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93</v>
      </c>
      <c r="C41" s="29">
        <v>5</v>
      </c>
      <c r="D41" s="30" t="s">
        <v>118</v>
      </c>
      <c r="E41" s="31" t="s">
        <v>203</v>
      </c>
      <c r="F41" s="28" t="s">
        <v>106</v>
      </c>
      <c r="G41" s="146">
        <f>D5</f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56"/>
        <v>0</v>
      </c>
      <c r="P41" s="35">
        <f t="shared" si="57"/>
        <v>583.33333333333337</v>
      </c>
      <c r="Q41" s="85"/>
      <c r="R41" s="30"/>
      <c r="S41" s="85">
        <v>2</v>
      </c>
      <c r="T41" s="83">
        <f ca="1">IF(AND(N41&gt;0,P41&gt;0),SUMIF('Исходные данные'!$C$14:$J$30,S41,'Исходные данные'!$C$34:$J$42),IF(N41=0,0,IF(S41=0,"РОТ")))</f>
        <v>105.700598073999</v>
      </c>
      <c r="U41" s="130">
        <f>O41*R41*'Исходные данные'!$C$40%</f>
        <v>0</v>
      </c>
      <c r="V41" s="130">
        <f ca="1">P41*T41*'Исходные данные'!$C$41%</f>
        <v>21580.538773441462</v>
      </c>
      <c r="W41" s="130">
        <f t="shared" si="58"/>
        <v>0</v>
      </c>
      <c r="X41" s="131">
        <f t="shared" ca="1" si="59"/>
        <v>24663.472883933104</v>
      </c>
      <c r="Y41" s="130">
        <f t="shared" si="60"/>
        <v>0</v>
      </c>
      <c r="Z41" s="131">
        <f t="shared" ca="1" si="61"/>
        <v>5395.1346933603672</v>
      </c>
      <c r="AA41" s="130">
        <f t="shared" si="62"/>
        <v>0</v>
      </c>
      <c r="AB41" s="131">
        <f t="shared" ca="1" si="63"/>
        <v>8323.9220983274226</v>
      </c>
      <c r="AC41" s="129">
        <v>2.5</v>
      </c>
      <c r="AD41" s="130">
        <f t="shared" si="64"/>
        <v>0</v>
      </c>
      <c r="AE41" s="130">
        <f t="shared" ca="1" si="65"/>
        <v>304054.3766472378</v>
      </c>
      <c r="AF41" s="35">
        <f t="shared" ca="1" si="66"/>
        <v>0</v>
      </c>
      <c r="AG41" s="73">
        <f t="shared" ca="1" si="66"/>
        <v>45433.412602460819</v>
      </c>
      <c r="AH41" s="35">
        <f t="shared" ca="1" si="67"/>
        <v>0</v>
      </c>
      <c r="AI41" s="35">
        <f t="shared" ca="1" si="67"/>
        <v>349487.78924969863</v>
      </c>
      <c r="AJ41" s="35">
        <f t="shared" ca="1" si="68"/>
        <v>0</v>
      </c>
      <c r="AK41" s="73">
        <f t="shared" ca="1" si="68"/>
        <v>104846.33677490959</v>
      </c>
      <c r="AL41" s="35">
        <f t="shared" ca="1" si="69"/>
        <v>0</v>
      </c>
      <c r="AM41" s="73">
        <f t="shared" ca="1" si="70"/>
        <v>454334.12602460821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1"/>
        <v>454334.12602460821</v>
      </c>
      <c r="BJ41" s="36">
        <f t="shared" ca="1" si="72"/>
        <v>4543.3412602460821</v>
      </c>
      <c r="BK41" s="38">
        <f t="shared" si="73"/>
        <v>5.8333333333333339</v>
      </c>
      <c r="BL41" s="36"/>
      <c r="BM41" s="36"/>
    </row>
    <row r="42" spans="1:65" x14ac:dyDescent="0.2">
      <c r="A42" s="19">
        <v>5</v>
      </c>
      <c r="B42" s="27" t="s">
        <v>94</v>
      </c>
      <c r="C42" s="29">
        <v>5</v>
      </c>
      <c r="D42" s="30" t="s">
        <v>118</v>
      </c>
      <c r="E42" s="31" t="s">
        <v>208</v>
      </c>
      <c r="F42" s="28" t="s">
        <v>106</v>
      </c>
      <c r="G42" s="146">
        <f>G38/5</f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56"/>
        <v>0</v>
      </c>
      <c r="P42" s="35">
        <f t="shared" si="57"/>
        <v>56</v>
      </c>
      <c r="Q42" s="85"/>
      <c r="R42" s="30"/>
      <c r="S42" s="85">
        <v>2</v>
      </c>
      <c r="T42" s="83">
        <f ca="1">IF(AND(N42&gt;0,P42&gt;0),SUMIF('Исходные данные'!$C$14:$J$30,S42,'Исходные данные'!$C$34:$J$42),IF(N42=0,0,IF(S42=0,"РОТ")))</f>
        <v>105.700598073999</v>
      </c>
      <c r="U42" s="130">
        <f>O42*R42*'Исходные данные'!$C$40%</f>
        <v>0</v>
      </c>
      <c r="V42" s="130">
        <f ca="1">P42*T42*'Исходные данные'!$C$41%</f>
        <v>2071.7317222503802</v>
      </c>
      <c r="W42" s="130">
        <f t="shared" si="58"/>
        <v>0</v>
      </c>
      <c r="X42" s="131">
        <f t="shared" ca="1" si="59"/>
        <v>2367.6933968575777</v>
      </c>
      <c r="Y42" s="130">
        <f t="shared" si="60"/>
        <v>0</v>
      </c>
      <c r="Z42" s="131">
        <f t="shared" ca="1" si="61"/>
        <v>517.93293056259506</v>
      </c>
      <c r="AA42" s="130">
        <f t="shared" si="62"/>
        <v>0</v>
      </c>
      <c r="AB42" s="131">
        <f t="shared" ca="1" si="63"/>
        <v>799.09652143943242</v>
      </c>
      <c r="AC42" s="129">
        <v>2.5</v>
      </c>
      <c r="AD42" s="130">
        <f t="shared" si="64"/>
        <v>0</v>
      </c>
      <c r="AE42" s="130">
        <f t="shared" ca="1" si="65"/>
        <v>29189.22015813482</v>
      </c>
      <c r="AF42" s="35">
        <f t="shared" ca="1" si="66"/>
        <v>0</v>
      </c>
      <c r="AG42" s="73">
        <f t="shared" ca="1" si="66"/>
        <v>4361.6076098362373</v>
      </c>
      <c r="AH42" s="35">
        <f t="shared" ca="1" si="67"/>
        <v>0</v>
      </c>
      <c r="AI42" s="35">
        <f t="shared" ca="1" si="67"/>
        <v>33550.827767971059</v>
      </c>
      <c r="AJ42" s="35">
        <f t="shared" ca="1" si="68"/>
        <v>0</v>
      </c>
      <c r="AK42" s="73">
        <f t="shared" ca="1" si="68"/>
        <v>10065.248330391318</v>
      </c>
      <c r="AL42" s="35">
        <f t="shared" ca="1" si="69"/>
        <v>0</v>
      </c>
      <c r="AM42" s="73">
        <f t="shared" ca="1" si="70"/>
        <v>43616.076098362377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1"/>
        <v>43616.076098362377</v>
      </c>
      <c r="BJ42" s="36">
        <f t="shared" ca="1" si="72"/>
        <v>436.16076098362379</v>
      </c>
      <c r="BK42" s="38">
        <f t="shared" si="73"/>
        <v>0.56000000000000005</v>
      </c>
      <c r="BL42" s="36"/>
      <c r="BM42" s="36"/>
    </row>
    <row r="43" spans="1:65" x14ac:dyDescent="0.2">
      <c r="A43" s="19">
        <v>6</v>
      </c>
      <c r="B43" s="27" t="s">
        <v>95</v>
      </c>
      <c r="C43" s="29">
        <v>5</v>
      </c>
      <c r="D43" s="30" t="s">
        <v>118</v>
      </c>
      <c r="E43" s="31" t="s">
        <v>203</v>
      </c>
      <c r="F43" s="28" t="s">
        <v>109</v>
      </c>
      <c r="G43" s="146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56"/>
        <v>0</v>
      </c>
      <c r="P43" s="35">
        <f t="shared" si="57"/>
        <v>271.21568627450984</v>
      </c>
      <c r="Q43" s="85"/>
      <c r="R43" s="30"/>
      <c r="S43" s="85">
        <v>4</v>
      </c>
      <c r="T43" s="83">
        <f ca="1">IF(AND(N43&gt;0,P43&gt;0),SUMIF('Исходные данные'!$C$14:$J$30,S43,'Исходные данные'!$C$34:$J$42),IF(N43=0,0,IF(S43=0,"РОТ")))</f>
        <v>123.48200709579322</v>
      </c>
      <c r="U43" s="130">
        <f>O43*R43*'Исходные данные'!$C$40%</f>
        <v>0</v>
      </c>
      <c r="V43" s="130">
        <f ca="1">P43*T43*'Исходные данные'!$C$41%</f>
        <v>11721.590053963808</v>
      </c>
      <c r="W43" s="130">
        <f t="shared" si="58"/>
        <v>0</v>
      </c>
      <c r="X43" s="131">
        <f t="shared" ca="1" si="59"/>
        <v>13396.102918815783</v>
      </c>
      <c r="Y43" s="130">
        <f t="shared" si="60"/>
        <v>0</v>
      </c>
      <c r="Z43" s="131">
        <f t="shared" ca="1" si="61"/>
        <v>2930.3975134909524</v>
      </c>
      <c r="AA43" s="130">
        <f t="shared" si="62"/>
        <v>0</v>
      </c>
      <c r="AB43" s="131">
        <f t="shared" ca="1" si="63"/>
        <v>4521.1847351003262</v>
      </c>
      <c r="AC43" s="129">
        <v>2.5</v>
      </c>
      <c r="AD43" s="130">
        <f t="shared" si="64"/>
        <v>0</v>
      </c>
      <c r="AE43" s="130">
        <f t="shared" ca="1" si="65"/>
        <v>165148.83129602583</v>
      </c>
      <c r="AF43" s="35">
        <f t="shared" ca="1" si="66"/>
        <v>0</v>
      </c>
      <c r="AG43" s="73">
        <f t="shared" ca="1" si="66"/>
        <v>24677.411572969373</v>
      </c>
      <c r="AH43" s="35">
        <f t="shared" ca="1" si="67"/>
        <v>0</v>
      </c>
      <c r="AI43" s="35">
        <f t="shared" ca="1" si="67"/>
        <v>189826.24286899521</v>
      </c>
      <c r="AJ43" s="35">
        <f t="shared" ca="1" si="68"/>
        <v>0</v>
      </c>
      <c r="AK43" s="73">
        <f t="shared" ca="1" si="68"/>
        <v>56947.872860698561</v>
      </c>
      <c r="AL43" s="35">
        <f t="shared" ca="1" si="69"/>
        <v>0</v>
      </c>
      <c r="AM43" s="73">
        <f t="shared" ca="1" si="70"/>
        <v>246774.11572969376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1"/>
        <v>246774.11572969376</v>
      </c>
      <c r="BJ43" s="36">
        <f t="shared" ca="1" si="72"/>
        <v>2467.7411572969377</v>
      </c>
      <c r="BK43" s="38">
        <f t="shared" si="73"/>
        <v>2.7121568627450983</v>
      </c>
      <c r="BL43" s="36"/>
      <c r="BM43" s="36"/>
    </row>
    <row r="44" spans="1:65" x14ac:dyDescent="0.2">
      <c r="A44" s="19">
        <v>7</v>
      </c>
      <c r="B44" s="27" t="s">
        <v>94</v>
      </c>
      <c r="C44" s="29">
        <v>5</v>
      </c>
      <c r="D44" s="30" t="s">
        <v>118</v>
      </c>
      <c r="E44" s="31" t="s">
        <v>208</v>
      </c>
      <c r="F44" s="28" t="s">
        <v>106</v>
      </c>
      <c r="G44" s="146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56"/>
        <v>0</v>
      </c>
      <c r="P44" s="35">
        <f t="shared" si="57"/>
        <v>56</v>
      </c>
      <c r="Q44" s="85"/>
      <c r="R44" s="30"/>
      <c r="S44" s="85">
        <v>2</v>
      </c>
      <c r="T44" s="83">
        <f ca="1">IF(AND(N44&gt;0,P44&gt;0),SUMIF('Исходные данные'!$C$14:$J$30,S44,'Исходные данные'!$C$34:$J$42),IF(N44=0,0,IF(S44=0,"РОТ")))</f>
        <v>105.700598073999</v>
      </c>
      <c r="U44" s="130">
        <f>O44*R44*'Исходные данные'!$C$40%</f>
        <v>0</v>
      </c>
      <c r="V44" s="130">
        <f ca="1">P44*T44*'Исходные данные'!$C$41%</f>
        <v>2071.7317222503802</v>
      </c>
      <c r="W44" s="130">
        <f t="shared" si="58"/>
        <v>0</v>
      </c>
      <c r="X44" s="131">
        <f t="shared" ca="1" si="59"/>
        <v>2367.6933968575777</v>
      </c>
      <c r="Y44" s="130">
        <f t="shared" si="60"/>
        <v>0</v>
      </c>
      <c r="Z44" s="131">
        <f t="shared" ca="1" si="61"/>
        <v>517.93293056259506</v>
      </c>
      <c r="AA44" s="130">
        <f t="shared" si="62"/>
        <v>0</v>
      </c>
      <c r="AB44" s="131">
        <f t="shared" ca="1" si="63"/>
        <v>799.09652143943242</v>
      </c>
      <c r="AC44" s="129">
        <v>2.5</v>
      </c>
      <c r="AD44" s="130">
        <f t="shared" si="64"/>
        <v>0</v>
      </c>
      <c r="AE44" s="130">
        <f t="shared" ca="1" si="65"/>
        <v>29189.22015813482</v>
      </c>
      <c r="AF44" s="35">
        <f t="shared" ca="1" si="66"/>
        <v>0</v>
      </c>
      <c r="AG44" s="73">
        <f t="shared" ca="1" si="66"/>
        <v>4361.6076098362373</v>
      </c>
      <c r="AH44" s="35">
        <f t="shared" ca="1" si="67"/>
        <v>0</v>
      </c>
      <c r="AI44" s="35">
        <f t="shared" ca="1" si="67"/>
        <v>33550.827767971059</v>
      </c>
      <c r="AJ44" s="35">
        <f t="shared" ca="1" si="68"/>
        <v>0</v>
      </c>
      <c r="AK44" s="73">
        <f t="shared" ca="1" si="68"/>
        <v>10065.248330391318</v>
      </c>
      <c r="AL44" s="35">
        <f t="shared" ca="1" si="69"/>
        <v>0</v>
      </c>
      <c r="AM44" s="73">
        <f t="shared" ca="1" si="70"/>
        <v>43616.076098362377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1"/>
        <v>43616.076098362377</v>
      </c>
      <c r="BJ44" s="36">
        <f t="shared" ca="1" si="72"/>
        <v>436.16076098362379</v>
      </c>
      <c r="BK44" s="38">
        <f t="shared" si="73"/>
        <v>0.56000000000000005</v>
      </c>
      <c r="BL44" s="36"/>
      <c r="BM44" s="36"/>
    </row>
    <row r="45" spans="1:65" x14ac:dyDescent="0.2">
      <c r="A45" s="19">
        <v>8</v>
      </c>
      <c r="B45" s="27" t="s">
        <v>96</v>
      </c>
      <c r="C45" s="29">
        <v>5</v>
      </c>
      <c r="D45" s="30" t="s">
        <v>118</v>
      </c>
      <c r="E45" s="31" t="s">
        <v>203</v>
      </c>
      <c r="F45" s="28" t="s">
        <v>109</v>
      </c>
      <c r="G45" s="146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56"/>
        <v>0</v>
      </c>
      <c r="P45" s="35">
        <f t="shared" si="57"/>
        <v>135.60784313725492</v>
      </c>
      <c r="Q45" s="85"/>
      <c r="R45" s="30"/>
      <c r="S45" s="85">
        <v>2</v>
      </c>
      <c r="T45" s="83">
        <f ca="1">IF(AND(N45&gt;0,P45&gt;0),SUMIF('Исходные данные'!$C$14:$J$30,S45,'Исходные данные'!$C$34:$J$42),IF(N45=0,0,IF(S45=0,"РОТ")))</f>
        <v>105.700598073999</v>
      </c>
      <c r="U45" s="130">
        <f>O45*R45*'Исходные данные'!$C$40%</f>
        <v>0</v>
      </c>
      <c r="V45" s="130">
        <f ca="1">P45*T45*'Исходные данные'!$C$41%</f>
        <v>5016.8405430965095</v>
      </c>
      <c r="W45" s="130">
        <f t="shared" si="58"/>
        <v>0</v>
      </c>
      <c r="X45" s="131">
        <f t="shared" ca="1" si="59"/>
        <v>5733.5320492531546</v>
      </c>
      <c r="Y45" s="130">
        <f t="shared" si="60"/>
        <v>0</v>
      </c>
      <c r="Z45" s="131">
        <f t="shared" ca="1" si="61"/>
        <v>1254.2101357741276</v>
      </c>
      <c r="AA45" s="130">
        <f t="shared" si="62"/>
        <v>0</v>
      </c>
      <c r="AB45" s="131">
        <f t="shared" ca="1" si="63"/>
        <v>1935.0670666229396</v>
      </c>
      <c r="AC45" s="129">
        <v>2.5</v>
      </c>
      <c r="AD45" s="130">
        <f t="shared" si="64"/>
        <v>0</v>
      </c>
      <c r="AE45" s="130">
        <f t="shared" ca="1" si="65"/>
        <v>70683.69979469903</v>
      </c>
      <c r="AF45" s="35">
        <f t="shared" ca="1" si="66"/>
        <v>0</v>
      </c>
      <c r="AG45" s="73">
        <f t="shared" ca="1" si="66"/>
        <v>10561.932153230888</v>
      </c>
      <c r="AH45" s="35">
        <f t="shared" ca="1" si="67"/>
        <v>0</v>
      </c>
      <c r="AI45" s="35">
        <f t="shared" ca="1" si="67"/>
        <v>81245.631947929913</v>
      </c>
      <c r="AJ45" s="35">
        <f t="shared" ca="1" si="68"/>
        <v>0</v>
      </c>
      <c r="AK45" s="73">
        <f t="shared" ca="1" si="68"/>
        <v>24373.689584378972</v>
      </c>
      <c r="AL45" s="35">
        <f t="shared" ca="1" si="69"/>
        <v>0</v>
      </c>
      <c r="AM45" s="73">
        <f t="shared" ca="1" si="70"/>
        <v>105619.32153230888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1"/>
        <v>105619.32153230888</v>
      </c>
      <c r="BJ45" s="36">
        <f t="shared" ca="1" si="72"/>
        <v>1056.1932153230889</v>
      </c>
      <c r="BK45" s="38">
        <f t="shared" si="73"/>
        <v>1.3560784313725491</v>
      </c>
      <c r="BL45" s="36"/>
      <c r="BM45" s="36"/>
    </row>
    <row r="46" spans="1:65" s="54" customFormat="1" x14ac:dyDescent="0.2">
      <c r="A46" s="52"/>
      <c r="B46" s="53" t="s">
        <v>21</v>
      </c>
      <c r="C46" s="53"/>
      <c r="D46" s="53"/>
      <c r="E46" s="53"/>
      <c r="F46" s="55"/>
      <c r="G46" s="56"/>
      <c r="H46" s="56"/>
      <c r="I46" s="56"/>
      <c r="J46" s="65">
        <f>SUM(J38:J45)</f>
        <v>182.5105042016807</v>
      </c>
      <c r="K46" s="65"/>
      <c r="L46" s="65">
        <f>SUM(L38:L45)</f>
        <v>182.5105042016807</v>
      </c>
      <c r="M46" s="65">
        <f t="shared" ref="M46:BM46" si="74">SUM(M38:M45)</f>
        <v>3</v>
      </c>
      <c r="N46" s="65">
        <f t="shared" si="74"/>
        <v>5</v>
      </c>
      <c r="O46" s="65">
        <f t="shared" si="74"/>
        <v>175.41666666666669</v>
      </c>
      <c r="P46" s="65">
        <f t="shared" si="74"/>
        <v>1102.1568627450981</v>
      </c>
      <c r="Q46" s="65"/>
      <c r="R46" s="65"/>
      <c r="S46" s="65"/>
      <c r="T46" s="65"/>
      <c r="U46" s="65">
        <f t="shared" ca="1" si="74"/>
        <v>0</v>
      </c>
      <c r="V46" s="65">
        <f t="shared" ca="1" si="74"/>
        <v>42462.432815002532</v>
      </c>
      <c r="W46" s="65">
        <f t="shared" ca="1" si="74"/>
        <v>10307.433010643692</v>
      </c>
      <c r="X46" s="65">
        <f t="shared" ca="1" si="74"/>
        <v>48528.494645717197</v>
      </c>
      <c r="Y46" s="65">
        <f t="shared" ca="1" si="74"/>
        <v>3607.6015537252924</v>
      </c>
      <c r="Z46" s="65">
        <f t="shared" ca="1" si="74"/>
        <v>10615.608203750635</v>
      </c>
      <c r="AA46" s="65">
        <f t="shared" ca="1" si="74"/>
        <v>2576.858252660923</v>
      </c>
      <c r="AB46" s="65">
        <f t="shared" ca="1" si="74"/>
        <v>16378.366942929555</v>
      </c>
      <c r="AC46" s="65"/>
      <c r="AD46" s="65">
        <f t="shared" ca="1" si="74"/>
        <v>105651.18835909784</v>
      </c>
      <c r="AE46" s="65">
        <f t="shared" ca="1" si="74"/>
        <v>598265.34805423231</v>
      </c>
      <c r="AF46" s="65">
        <f t="shared" ca="1" si="74"/>
        <v>15786.959180095078</v>
      </c>
      <c r="AG46" s="65">
        <f t="shared" ca="1" si="74"/>
        <v>89395.97154833356</v>
      </c>
      <c r="AH46" s="65">
        <f t="shared" ca="1" si="74"/>
        <v>121438.14753919293</v>
      </c>
      <c r="AI46" s="65">
        <f t="shared" ca="1" si="74"/>
        <v>687661.31960256584</v>
      </c>
      <c r="AJ46" s="65">
        <f t="shared" ca="1" si="74"/>
        <v>36431.444261757875</v>
      </c>
      <c r="AK46" s="65">
        <f t="shared" ca="1" si="74"/>
        <v>206298.39588076976</v>
      </c>
      <c r="AL46" s="65">
        <f t="shared" ca="1" si="74"/>
        <v>157869.59180095079</v>
      </c>
      <c r="AM46" s="65">
        <f t="shared" ca="1" si="74"/>
        <v>893959.71548333555</v>
      </c>
      <c r="AN46" s="65"/>
      <c r="AO46" s="65"/>
      <c r="AP46" s="65">
        <f t="shared" si="74"/>
        <v>8.1143999999999998</v>
      </c>
      <c r="AQ46" s="65"/>
      <c r="AR46" s="65"/>
      <c r="AS46" s="65" t="e">
        <f t="shared" si="74"/>
        <v>#REF!</v>
      </c>
      <c r="AT46" s="65"/>
      <c r="AU46" s="65"/>
      <c r="AV46" s="65"/>
      <c r="AW46" s="65"/>
      <c r="AX46" s="65"/>
      <c r="AY46" s="65">
        <f t="shared" si="74"/>
        <v>4558.6563747007185</v>
      </c>
      <c r="AZ46" s="65"/>
      <c r="BA46" s="65">
        <f t="shared" si="74"/>
        <v>1933.3633809523808</v>
      </c>
      <c r="BB46" s="65"/>
      <c r="BC46" s="65">
        <f t="shared" si="74"/>
        <v>10531.014285714287</v>
      </c>
      <c r="BD46" s="65"/>
      <c r="BE46" s="65">
        <f t="shared" si="74"/>
        <v>1776.4696428571428</v>
      </c>
      <c r="BF46" s="65"/>
      <c r="BG46" s="65">
        <f t="shared" si="74"/>
        <v>675.68010085714286</v>
      </c>
      <c r="BH46" s="65">
        <f t="shared" si="74"/>
        <v>85203.933133333339</v>
      </c>
      <c r="BI46" s="65" t="e">
        <f t="shared" ca="1" si="74"/>
        <v>#REF!</v>
      </c>
      <c r="BJ46" s="65"/>
      <c r="BK46" s="65"/>
      <c r="BL46" s="65"/>
      <c r="BM46" s="65">
        <f t="shared" si="74"/>
        <v>127.80357142857143</v>
      </c>
    </row>
    <row r="47" spans="1:65" s="7" customFormat="1" ht="11.25" customHeight="1" x14ac:dyDescent="0.2">
      <c r="A47" s="21"/>
      <c r="B47" s="539" t="s">
        <v>478</v>
      </c>
      <c r="C47" s="540"/>
      <c r="D47" s="540"/>
      <c r="E47" s="541"/>
      <c r="F47" s="22"/>
      <c r="G47" s="23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76</v>
      </c>
      <c r="C48" s="29">
        <v>4</v>
      </c>
      <c r="D48" s="30" t="s">
        <v>185</v>
      </c>
      <c r="E48" s="31" t="s">
        <v>479</v>
      </c>
      <c r="F48" s="28" t="s">
        <v>106</v>
      </c>
      <c r="G48" s="146">
        <f>D5</f>
        <v>100</v>
      </c>
      <c r="H48" s="81">
        <v>40374</v>
      </c>
      <c r="I48" s="81">
        <v>40377</v>
      </c>
      <c r="J48" s="83">
        <f t="shared" ref="J48:J55" si="75">L48/N48</f>
        <v>30.864197530864196</v>
      </c>
      <c r="K48" s="32">
        <v>3.24</v>
      </c>
      <c r="L48" s="33">
        <f t="shared" ref="L48:L55" si="76">G48/K48</f>
        <v>30.864197530864196</v>
      </c>
      <c r="M48" s="34"/>
      <c r="N48" s="34">
        <v>1</v>
      </c>
      <c r="O48" s="35">
        <f t="shared" ref="O48:O55" si="77">IF(M48=0,0,L48*$O$15)</f>
        <v>0</v>
      </c>
      <c r="P48" s="35">
        <f t="shared" ref="P48:P55" si="78">IF(N48=0,0,L48*$O$15)</f>
        <v>216.04938271604937</v>
      </c>
      <c r="Q48" s="34"/>
      <c r="R48" s="33"/>
      <c r="S48" s="34">
        <v>4</v>
      </c>
      <c r="T48" s="83">
        <f ca="1">IF(AND(N48&gt;0,P48&gt;0),SUMIF('Исходные данные'!$C$14:$J$30,S48,'Исходные данные'!$C$34:$J$42),IF(N48=0,0,IF(S48=0,"РОТ")))</f>
        <v>123.48200709579322</v>
      </c>
      <c r="U48" s="130">
        <f>O48*R48*'Исходные данные'!$C$40%</f>
        <v>0</v>
      </c>
      <c r="V48" s="130">
        <f ca="1">P48*T48*'Исходные данные'!$C$41%</f>
        <v>9337.3739933547331</v>
      </c>
      <c r="W48" s="130">
        <f t="shared" ref="W48:W55" si="79">O48*R48*$W$15</f>
        <v>0</v>
      </c>
      <c r="X48" s="131">
        <f t="shared" ref="X48:X55" ca="1" si="80">P48*T48*$W$15</f>
        <v>10671.284563833982</v>
      </c>
      <c r="Y48" s="130">
        <f t="shared" ref="Y48:Y55" si="81">(O48*R48+U48+W48)*$Y$15</f>
        <v>0</v>
      </c>
      <c r="Z48" s="131">
        <f t="shared" ref="Z48:Z55" ca="1" si="82">(P48*T48+V48+X48)*$Z$15</f>
        <v>2334.3434983386833</v>
      </c>
      <c r="AA48" s="130">
        <f t="shared" ref="AA48:AA55" si="83">(O48*R48+U48)*$AA$15</f>
        <v>0</v>
      </c>
      <c r="AB48" s="131">
        <f t="shared" ref="AB48:AB55" ca="1" si="84">(P48*T48+V48)*$AA$15</f>
        <v>3601.5585402939687</v>
      </c>
      <c r="AC48" s="129">
        <v>2.5</v>
      </c>
      <c r="AD48" s="130">
        <f t="shared" ref="AD48:AD55" si="85">(O48*R48+U48+W48+Y48+AA48)*AC48</f>
        <v>0</v>
      </c>
      <c r="AE48" s="130">
        <f t="shared" ref="AE48:AE55" ca="1" si="86">(P48*T48+V48+X48+Z48+AB48)*AC48</f>
        <v>131556.93001351578</v>
      </c>
      <c r="AF48" s="35">
        <f t="shared" ref="AF48:AG55" ca="1" si="87">AD48*$AF$15</f>
        <v>0</v>
      </c>
      <c r="AG48" s="73">
        <f t="shared" ca="1" si="87"/>
        <v>19657.932070985116</v>
      </c>
      <c r="AH48" s="35">
        <f t="shared" ref="AH48:AI55" ca="1" si="88">AD48+AF48</f>
        <v>0</v>
      </c>
      <c r="AI48" s="35">
        <f t="shared" ca="1" si="88"/>
        <v>151214.8620845009</v>
      </c>
      <c r="AJ48" s="35">
        <f t="shared" ref="AJ48:AK55" ca="1" si="89">AH48*$AJ$15</f>
        <v>0</v>
      </c>
      <c r="AK48" s="73">
        <f t="shared" ca="1" si="89"/>
        <v>45364.458625350271</v>
      </c>
      <c r="AL48" s="35">
        <f t="shared" ref="AL48:AL55" ca="1" si="90">AH48+AJ48</f>
        <v>0</v>
      </c>
      <c r="AM48" s="73">
        <f t="shared" ref="AM48:AM55" ca="1" si="91">AK48+AI48</f>
        <v>196579.32070985116</v>
      </c>
      <c r="AN48" s="32">
        <v>2.0329999999999999</v>
      </c>
      <c r="AO48" s="33">
        <f>'Исходные данные'!$C$59</f>
        <v>0.84</v>
      </c>
      <c r="AP48" s="79">
        <f>(G48*AN48)*AO48/100</f>
        <v>1.7077199999999999</v>
      </c>
      <c r="AQ48" s="33" t="s">
        <v>153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2">AL48+AM48+AS48+AY48+BA48+BC48+BE48+BG48+BH48+AW48</f>
        <v>#REF!</v>
      </c>
      <c r="BJ48" s="36" t="e">
        <f t="shared" ref="BJ48:BJ55" ca="1" si="93">BI48/$D$5</f>
        <v>#REF!</v>
      </c>
      <c r="BK48" s="38">
        <f t="shared" ref="BK48:BK55" si="94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84</v>
      </c>
      <c r="C49" s="29">
        <v>2</v>
      </c>
      <c r="D49" s="30" t="s">
        <v>185</v>
      </c>
      <c r="E49" s="31" t="s">
        <v>480</v>
      </c>
      <c r="F49" s="28" t="s">
        <v>106</v>
      </c>
      <c r="G49" s="146">
        <v>100</v>
      </c>
      <c r="H49" s="81">
        <v>40376</v>
      </c>
      <c r="I49" s="81">
        <v>40378</v>
      </c>
      <c r="J49" s="83">
        <f t="shared" si="75"/>
        <v>26.455026455026452</v>
      </c>
      <c r="K49" s="32">
        <v>3.7800000000000002</v>
      </c>
      <c r="L49" s="33">
        <f t="shared" si="76"/>
        <v>26.455026455026452</v>
      </c>
      <c r="M49" s="34"/>
      <c r="N49" s="34">
        <v>1</v>
      </c>
      <c r="O49" s="35">
        <f t="shared" si="77"/>
        <v>0</v>
      </c>
      <c r="P49" s="35">
        <f t="shared" si="78"/>
        <v>185.18518518518516</v>
      </c>
      <c r="Q49" s="34"/>
      <c r="R49" s="33"/>
      <c r="S49" s="34">
        <v>1</v>
      </c>
      <c r="T49" s="83">
        <f ca="1">IF(AND(N49&gt;0,P49&gt;0),SUMIF('Исходные данные'!$C$14:$J$30,S49,'Исходные данные'!$C$34:$J$42),IF(N49=0,0,IF(S49=0,"РОТ")))</f>
        <v>98.785605676634574</v>
      </c>
      <c r="U49" s="130">
        <f>O49*R49*'Исходные данные'!$C$40%</f>
        <v>0</v>
      </c>
      <c r="V49" s="130">
        <f ca="1">P49*T49*'Исходные данные'!$C$41%</f>
        <v>6402.7707383003881</v>
      </c>
      <c r="W49" s="130">
        <f t="shared" si="79"/>
        <v>0</v>
      </c>
      <c r="X49" s="131">
        <f t="shared" ca="1" si="80"/>
        <v>7317.452272343301</v>
      </c>
      <c r="Y49" s="130">
        <f t="shared" si="81"/>
        <v>0</v>
      </c>
      <c r="Z49" s="131">
        <f t="shared" ca="1" si="82"/>
        <v>1600.692684575097</v>
      </c>
      <c r="AA49" s="130">
        <f t="shared" si="83"/>
        <v>0</v>
      </c>
      <c r="AB49" s="131">
        <f t="shared" ca="1" si="84"/>
        <v>2469.6401419158642</v>
      </c>
      <c r="AC49" s="129">
        <v>2.5</v>
      </c>
      <c r="AD49" s="130">
        <f t="shared" si="85"/>
        <v>0</v>
      </c>
      <c r="AE49" s="130">
        <f t="shared" ca="1" si="86"/>
        <v>90210.466294982252</v>
      </c>
      <c r="AF49" s="35">
        <f t="shared" ca="1" si="87"/>
        <v>0</v>
      </c>
      <c r="AG49" s="73">
        <f t="shared" ca="1" si="87"/>
        <v>13479.724848675507</v>
      </c>
      <c r="AH49" s="35">
        <f t="shared" ca="1" si="88"/>
        <v>0</v>
      </c>
      <c r="AI49" s="35">
        <f t="shared" ca="1" si="88"/>
        <v>103690.19114365776</v>
      </c>
      <c r="AJ49" s="35">
        <f t="shared" ca="1" si="89"/>
        <v>0</v>
      </c>
      <c r="AK49" s="73">
        <f t="shared" ca="1" si="89"/>
        <v>31107.057343097327</v>
      </c>
      <c r="AL49" s="35">
        <f t="shared" ca="1" si="90"/>
        <v>0</v>
      </c>
      <c r="AM49" s="73">
        <f t="shared" ca="1" si="91"/>
        <v>134797.2484867551</v>
      </c>
      <c r="AN49" s="33">
        <v>2.3719999999999999</v>
      </c>
      <c r="AO49" s="33">
        <f>'Исходные данные'!$C$59</f>
        <v>0.84</v>
      </c>
      <c r="AP49" s="79">
        <f>(G49*AN49)*AO49/100</f>
        <v>1.9924799999999998</v>
      </c>
      <c r="AQ49" s="33" t="s">
        <v>153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2"/>
        <v>#REF!</v>
      </c>
      <c r="BJ49" s="36" t="e">
        <f t="shared" ca="1" si="93"/>
        <v>#REF!</v>
      </c>
      <c r="BK49" s="38">
        <f t="shared" si="94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100</v>
      </c>
      <c r="C50" s="29">
        <v>4</v>
      </c>
      <c r="D50" s="30" t="s">
        <v>185</v>
      </c>
      <c r="E50" s="31" t="s">
        <v>481</v>
      </c>
      <c r="F50" s="28" t="s">
        <v>106</v>
      </c>
      <c r="G50" s="146">
        <f>D5</f>
        <v>100</v>
      </c>
      <c r="H50" s="81">
        <v>40377</v>
      </c>
      <c r="I50" s="81">
        <v>40379</v>
      </c>
      <c r="J50" s="83">
        <f t="shared" si="75"/>
        <v>26.455026455026452</v>
      </c>
      <c r="K50" s="32">
        <v>3.7800000000000002</v>
      </c>
      <c r="L50" s="33">
        <f t="shared" si="76"/>
        <v>26.455026455026452</v>
      </c>
      <c r="M50" s="34"/>
      <c r="N50" s="34">
        <v>1</v>
      </c>
      <c r="O50" s="35">
        <f t="shared" si="77"/>
        <v>0</v>
      </c>
      <c r="P50" s="35">
        <f t="shared" si="78"/>
        <v>185.18518518518516</v>
      </c>
      <c r="Q50" s="34"/>
      <c r="R50" s="33"/>
      <c r="S50" s="34">
        <v>2</v>
      </c>
      <c r="T50" s="83">
        <f ca="1">IF(AND(N50&gt;0,P50&gt;0),SUMIF('Исходные данные'!$C$14:$J$30,S50,'Исходные данные'!$C$34:$J$42),IF(N50=0,0,IF(S50=0,"РОТ")))</f>
        <v>105.700598073999</v>
      </c>
      <c r="U50" s="130">
        <f>O50*R50*'Исходные данные'!$C$40%</f>
        <v>0</v>
      </c>
      <c r="V50" s="130">
        <f ca="1">P50*T50*'Исходные данные'!$C$41%</f>
        <v>6850.9646899814161</v>
      </c>
      <c r="W50" s="130">
        <f t="shared" si="79"/>
        <v>0</v>
      </c>
      <c r="X50" s="131">
        <f t="shared" ca="1" si="80"/>
        <v>7829.6739314073338</v>
      </c>
      <c r="Y50" s="130">
        <f t="shared" si="81"/>
        <v>0</v>
      </c>
      <c r="Z50" s="131">
        <f t="shared" ca="1" si="82"/>
        <v>1712.7411724953542</v>
      </c>
      <c r="AA50" s="130">
        <f t="shared" si="83"/>
        <v>0</v>
      </c>
      <c r="AB50" s="131">
        <f t="shared" ca="1" si="84"/>
        <v>2642.5149518499748</v>
      </c>
      <c r="AC50" s="129">
        <v>2.5</v>
      </c>
      <c r="AD50" s="130">
        <f t="shared" si="85"/>
        <v>0</v>
      </c>
      <c r="AE50" s="130">
        <f t="shared" ca="1" si="86"/>
        <v>96525.198935631037</v>
      </c>
      <c r="AF50" s="35">
        <f t="shared" ca="1" si="87"/>
        <v>0</v>
      </c>
      <c r="AG50" s="73">
        <f t="shared" ca="1" si="87"/>
        <v>14423.305588082798</v>
      </c>
      <c r="AH50" s="35">
        <f t="shared" ca="1" si="88"/>
        <v>0</v>
      </c>
      <c r="AI50" s="35">
        <f t="shared" ca="1" si="88"/>
        <v>110948.50452371384</v>
      </c>
      <c r="AJ50" s="35">
        <f t="shared" ca="1" si="89"/>
        <v>0</v>
      </c>
      <c r="AK50" s="73">
        <f t="shared" ca="1" si="89"/>
        <v>33284.551357114149</v>
      </c>
      <c r="AL50" s="35">
        <f t="shared" ca="1" si="90"/>
        <v>0</v>
      </c>
      <c r="AM50" s="73">
        <f t="shared" ca="1" si="91"/>
        <v>144233.055880828</v>
      </c>
      <c r="AN50" s="33">
        <v>2.3719999999999999</v>
      </c>
      <c r="AO50" s="33">
        <f>'Исходные данные'!$C$59</f>
        <v>0.84</v>
      </c>
      <c r="AP50" s="79">
        <f>(G50*AN50)*AO50/100</f>
        <v>1.9924799999999998</v>
      </c>
      <c r="AQ50" s="33" t="s">
        <v>153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2"/>
        <v>#REF!</v>
      </c>
      <c r="BJ50" s="36" t="e">
        <f t="shared" ca="1" si="93"/>
        <v>#REF!</v>
      </c>
      <c r="BK50" s="38">
        <f t="shared" si="94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93</v>
      </c>
      <c r="C51" s="29">
        <v>10</v>
      </c>
      <c r="D51" s="30" t="s">
        <v>118</v>
      </c>
      <c r="E51" s="31" t="s">
        <v>203</v>
      </c>
      <c r="F51" s="28" t="s">
        <v>106</v>
      </c>
      <c r="G51" s="146">
        <f>D5</f>
        <v>100</v>
      </c>
      <c r="H51" s="81">
        <v>40378</v>
      </c>
      <c r="I51" s="81">
        <v>40388</v>
      </c>
      <c r="J51" s="83">
        <f t="shared" si="75"/>
        <v>83.333333333333343</v>
      </c>
      <c r="K51" s="32">
        <v>1.2</v>
      </c>
      <c r="L51" s="33">
        <f t="shared" si="76"/>
        <v>83.333333333333343</v>
      </c>
      <c r="M51" s="34"/>
      <c r="N51" s="34">
        <v>1</v>
      </c>
      <c r="O51" s="35">
        <f t="shared" si="77"/>
        <v>0</v>
      </c>
      <c r="P51" s="35">
        <f t="shared" si="78"/>
        <v>583.33333333333337</v>
      </c>
      <c r="Q51" s="34"/>
      <c r="R51" s="33"/>
      <c r="S51" s="34">
        <v>2</v>
      </c>
      <c r="T51" s="83">
        <f ca="1">IF(AND(N51&gt;0,P51&gt;0),SUMIF('Исходные данные'!$C$14:$J$30,S51,'Исходные данные'!$C$34:$J$42),IF(N51=0,0,IF(S51=0,"РОТ")))</f>
        <v>105.700598073999</v>
      </c>
      <c r="U51" s="130">
        <f>O51*R51*'Исходные данные'!$C$40%</f>
        <v>0</v>
      </c>
      <c r="V51" s="130">
        <f ca="1">P51*T51*'Исходные данные'!$C$41%</f>
        <v>21580.538773441462</v>
      </c>
      <c r="W51" s="130">
        <f t="shared" si="79"/>
        <v>0</v>
      </c>
      <c r="X51" s="131">
        <f t="shared" ca="1" si="80"/>
        <v>24663.472883933104</v>
      </c>
      <c r="Y51" s="130">
        <f t="shared" si="81"/>
        <v>0</v>
      </c>
      <c r="Z51" s="131">
        <f t="shared" ca="1" si="82"/>
        <v>5395.1346933603672</v>
      </c>
      <c r="AA51" s="130">
        <f t="shared" si="83"/>
        <v>0</v>
      </c>
      <c r="AB51" s="131">
        <f t="shared" ca="1" si="84"/>
        <v>8323.9220983274226</v>
      </c>
      <c r="AC51" s="129">
        <v>2.5</v>
      </c>
      <c r="AD51" s="130">
        <f t="shared" si="85"/>
        <v>0</v>
      </c>
      <c r="AE51" s="130">
        <f t="shared" ca="1" si="86"/>
        <v>304054.3766472378</v>
      </c>
      <c r="AF51" s="35">
        <f t="shared" ca="1" si="87"/>
        <v>0</v>
      </c>
      <c r="AG51" s="73">
        <f t="shared" ca="1" si="87"/>
        <v>45433.412602460819</v>
      </c>
      <c r="AH51" s="35">
        <f t="shared" ca="1" si="88"/>
        <v>0</v>
      </c>
      <c r="AI51" s="35">
        <f t="shared" ca="1" si="88"/>
        <v>349487.78924969863</v>
      </c>
      <c r="AJ51" s="35">
        <f t="shared" ca="1" si="89"/>
        <v>0</v>
      </c>
      <c r="AK51" s="73">
        <f t="shared" ca="1" si="89"/>
        <v>104846.33677490959</v>
      </c>
      <c r="AL51" s="35">
        <f t="shared" ca="1" si="90"/>
        <v>0</v>
      </c>
      <c r="AM51" s="73">
        <f t="shared" ca="1" si="91"/>
        <v>454334.12602460821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2"/>
        <v>454334.12602460821</v>
      </c>
      <c r="BJ51" s="36">
        <f t="shared" ca="1" si="93"/>
        <v>4543.3412602460821</v>
      </c>
      <c r="BK51" s="38">
        <f t="shared" si="94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94</v>
      </c>
      <c r="C52" s="29">
        <v>10</v>
      </c>
      <c r="D52" s="30" t="s">
        <v>118</v>
      </c>
      <c r="E52" s="31" t="s">
        <v>208</v>
      </c>
      <c r="F52" s="28" t="s">
        <v>106</v>
      </c>
      <c r="G52" s="146">
        <f>D5</f>
        <v>100</v>
      </c>
      <c r="H52" s="81">
        <v>40378</v>
      </c>
      <c r="I52" s="81">
        <v>40388</v>
      </c>
      <c r="J52" s="83">
        <f t="shared" si="75"/>
        <v>40</v>
      </c>
      <c r="K52" s="32">
        <v>2.5</v>
      </c>
      <c r="L52" s="33">
        <f t="shared" si="76"/>
        <v>40</v>
      </c>
      <c r="M52" s="34"/>
      <c r="N52" s="34">
        <v>1</v>
      </c>
      <c r="O52" s="35">
        <f t="shared" si="77"/>
        <v>0</v>
      </c>
      <c r="P52" s="35">
        <f t="shared" si="78"/>
        <v>280</v>
      </c>
      <c r="Q52" s="34"/>
      <c r="R52" s="33"/>
      <c r="S52" s="34">
        <v>2</v>
      </c>
      <c r="T52" s="83">
        <f ca="1">IF(AND(N52&gt;0,P52&gt;0),SUMIF('Исходные данные'!$C$14:$J$30,S52,'Исходные данные'!$C$34:$J$42),IF(N52=0,0,IF(S52=0,"РОТ")))</f>
        <v>105.700598073999</v>
      </c>
      <c r="U52" s="130">
        <f>O52*R52*'Исходные данные'!$C$40%</f>
        <v>0</v>
      </c>
      <c r="V52" s="130">
        <f ca="1">P52*T52*'Исходные данные'!$C$41%</f>
        <v>10358.658611251902</v>
      </c>
      <c r="W52" s="130">
        <f t="shared" si="79"/>
        <v>0</v>
      </c>
      <c r="X52" s="131">
        <f t="shared" ca="1" si="80"/>
        <v>11838.466984287888</v>
      </c>
      <c r="Y52" s="130">
        <f t="shared" si="81"/>
        <v>0</v>
      </c>
      <c r="Z52" s="131">
        <f t="shared" ca="1" si="82"/>
        <v>2589.6646528129754</v>
      </c>
      <c r="AA52" s="130">
        <f t="shared" si="83"/>
        <v>0</v>
      </c>
      <c r="AB52" s="131">
        <f t="shared" ca="1" si="84"/>
        <v>3995.482607197162</v>
      </c>
      <c r="AC52" s="129">
        <v>2.5</v>
      </c>
      <c r="AD52" s="130">
        <f t="shared" si="85"/>
        <v>0</v>
      </c>
      <c r="AE52" s="130">
        <f t="shared" ca="1" si="86"/>
        <v>145946.10079067413</v>
      </c>
      <c r="AF52" s="35">
        <f t="shared" ca="1" si="87"/>
        <v>0</v>
      </c>
      <c r="AG52" s="73">
        <f t="shared" ca="1" si="87"/>
        <v>21808.038049181188</v>
      </c>
      <c r="AH52" s="35">
        <f t="shared" ca="1" si="88"/>
        <v>0</v>
      </c>
      <c r="AI52" s="35">
        <f t="shared" ca="1" si="88"/>
        <v>167754.13883985532</v>
      </c>
      <c r="AJ52" s="35">
        <f t="shared" ca="1" si="89"/>
        <v>0</v>
      </c>
      <c r="AK52" s="73">
        <f t="shared" ca="1" si="89"/>
        <v>50326.241651956596</v>
      </c>
      <c r="AL52" s="35">
        <f t="shared" ca="1" si="90"/>
        <v>0</v>
      </c>
      <c r="AM52" s="73">
        <f t="shared" ca="1" si="91"/>
        <v>218080.38049181193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2"/>
        <v>218080.38049181193</v>
      </c>
      <c r="BJ52" s="36">
        <f t="shared" ca="1" si="93"/>
        <v>2180.8038049181191</v>
      </c>
      <c r="BK52" s="38">
        <f t="shared" si="94"/>
        <v>2.8</v>
      </c>
      <c r="BL52" s="38"/>
      <c r="BM52" s="39"/>
    </row>
    <row r="53" spans="1:65" x14ac:dyDescent="0.2">
      <c r="A53" s="20">
        <v>6</v>
      </c>
      <c r="B53" s="27" t="s">
        <v>101</v>
      </c>
      <c r="C53" s="29">
        <v>10</v>
      </c>
      <c r="D53" s="30" t="s">
        <v>118</v>
      </c>
      <c r="E53" s="31" t="s">
        <v>212</v>
      </c>
      <c r="F53" s="28" t="s">
        <v>109</v>
      </c>
      <c r="G53" s="146">
        <v>116.23529411764707</v>
      </c>
      <c r="H53" s="81">
        <v>40389</v>
      </c>
      <c r="I53" s="81">
        <v>40397</v>
      </c>
      <c r="J53" s="83">
        <f t="shared" si="75"/>
        <v>19.372549019607845</v>
      </c>
      <c r="K53" s="32">
        <v>3</v>
      </c>
      <c r="L53" s="33">
        <f t="shared" si="76"/>
        <v>38.745098039215691</v>
      </c>
      <c r="M53" s="34"/>
      <c r="N53" s="34">
        <v>2</v>
      </c>
      <c r="O53" s="35">
        <f t="shared" si="77"/>
        <v>0</v>
      </c>
      <c r="P53" s="35">
        <f t="shared" si="78"/>
        <v>271.21568627450984</v>
      </c>
      <c r="Q53" s="34"/>
      <c r="R53" s="33"/>
      <c r="S53" s="34">
        <v>3</v>
      </c>
      <c r="T53" s="83">
        <f ca="1">IF(AND(N53&gt;0,P53&gt;0),SUMIF('Исходные данные'!$C$14:$J$30,S53,'Исходные данные'!$C$34:$J$42),IF(N53=0,0,IF(S53=0,"РОТ")))</f>
        <v>113.60344652812975</v>
      </c>
      <c r="U53" s="130">
        <f>O53*R53*'Исходные данные'!$C$40%</f>
        <v>0</v>
      </c>
      <c r="V53" s="130">
        <f ca="1">P53*T53*'Исходные данные'!$C$41%</f>
        <v>10783.862849646701</v>
      </c>
      <c r="W53" s="130">
        <f t="shared" si="79"/>
        <v>0</v>
      </c>
      <c r="X53" s="131">
        <f t="shared" ca="1" si="80"/>
        <v>12324.414685310518</v>
      </c>
      <c r="Y53" s="130">
        <f t="shared" si="81"/>
        <v>0</v>
      </c>
      <c r="Z53" s="131">
        <f t="shared" ca="1" si="82"/>
        <v>2695.9657124116757</v>
      </c>
      <c r="AA53" s="130">
        <f t="shared" si="83"/>
        <v>0</v>
      </c>
      <c r="AB53" s="131">
        <f t="shared" ca="1" si="84"/>
        <v>4159.4899562922992</v>
      </c>
      <c r="AC53" s="129">
        <v>2.5</v>
      </c>
      <c r="AD53" s="130">
        <f t="shared" si="85"/>
        <v>0</v>
      </c>
      <c r="AE53" s="130">
        <f t="shared" ca="1" si="86"/>
        <v>151936.92479234372</v>
      </c>
      <c r="AF53" s="35">
        <f t="shared" ca="1" si="87"/>
        <v>0</v>
      </c>
      <c r="AG53" s="73">
        <f t="shared" ca="1" si="87"/>
        <v>22703.218647131816</v>
      </c>
      <c r="AH53" s="35">
        <f t="shared" ca="1" si="88"/>
        <v>0</v>
      </c>
      <c r="AI53" s="35">
        <f t="shared" ca="1" si="88"/>
        <v>174640.14343947553</v>
      </c>
      <c r="AJ53" s="35">
        <f t="shared" ca="1" si="89"/>
        <v>0</v>
      </c>
      <c r="AK53" s="73">
        <f t="shared" ca="1" si="89"/>
        <v>52392.043031842659</v>
      </c>
      <c r="AL53" s="35">
        <f t="shared" ca="1" si="90"/>
        <v>0</v>
      </c>
      <c r="AM53" s="73">
        <f t="shared" ca="1" si="91"/>
        <v>227032.18647131819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2"/>
        <v>227032.18647131819</v>
      </c>
      <c r="BJ53" s="36">
        <f t="shared" ca="1" si="93"/>
        <v>2270.3218647131816</v>
      </c>
      <c r="BK53" s="38">
        <f t="shared" si="94"/>
        <v>2.7121568627450983</v>
      </c>
      <c r="BL53" s="38"/>
      <c r="BM53" s="39"/>
    </row>
    <row r="54" spans="1:65" x14ac:dyDescent="0.2">
      <c r="A54" s="20">
        <v>7</v>
      </c>
      <c r="B54" s="27" t="s">
        <v>95</v>
      </c>
      <c r="C54" s="29">
        <v>10</v>
      </c>
      <c r="D54" s="30" t="s">
        <v>118</v>
      </c>
      <c r="E54" s="31" t="s">
        <v>203</v>
      </c>
      <c r="F54" s="28" t="s">
        <v>109</v>
      </c>
      <c r="G54" s="146">
        <v>116.23529411764707</v>
      </c>
      <c r="H54" s="81">
        <v>40397</v>
      </c>
      <c r="I54" s="81">
        <v>40405</v>
      </c>
      <c r="J54" s="83">
        <f t="shared" si="75"/>
        <v>38.745098039215691</v>
      </c>
      <c r="K54" s="32">
        <v>3</v>
      </c>
      <c r="L54" s="33">
        <f t="shared" si="76"/>
        <v>38.745098039215691</v>
      </c>
      <c r="M54" s="34"/>
      <c r="N54" s="34">
        <v>1</v>
      </c>
      <c r="O54" s="35">
        <f t="shared" si="77"/>
        <v>0</v>
      </c>
      <c r="P54" s="35">
        <f t="shared" si="78"/>
        <v>271.21568627450984</v>
      </c>
      <c r="Q54" s="34"/>
      <c r="R54" s="33"/>
      <c r="S54" s="34">
        <v>4</v>
      </c>
      <c r="T54" s="83">
        <f ca="1">IF(AND(N54&gt;0,P54&gt;0),SUMIF('Исходные данные'!$C$14:$J$30,S54,'Исходные данные'!$C$34:$J$42),IF(N54=0,0,IF(S54=0,"РОТ")))</f>
        <v>123.48200709579322</v>
      </c>
      <c r="U54" s="130">
        <f>O54*R54*'Исходные данные'!$C$40%</f>
        <v>0</v>
      </c>
      <c r="V54" s="130">
        <f ca="1">P54*T54*'Исходные данные'!$C$41%</f>
        <v>11721.590053963808</v>
      </c>
      <c r="W54" s="130">
        <f t="shared" si="79"/>
        <v>0</v>
      </c>
      <c r="X54" s="131">
        <f t="shared" ca="1" si="80"/>
        <v>13396.102918815783</v>
      </c>
      <c r="Y54" s="130">
        <f t="shared" si="81"/>
        <v>0</v>
      </c>
      <c r="Z54" s="131">
        <f t="shared" ca="1" si="82"/>
        <v>2930.3975134909524</v>
      </c>
      <c r="AA54" s="130">
        <f t="shared" si="83"/>
        <v>0</v>
      </c>
      <c r="AB54" s="131">
        <f t="shared" ca="1" si="84"/>
        <v>4521.1847351003262</v>
      </c>
      <c r="AC54" s="129">
        <v>2.5</v>
      </c>
      <c r="AD54" s="130">
        <f t="shared" si="85"/>
        <v>0</v>
      </c>
      <c r="AE54" s="130">
        <f t="shared" ca="1" si="86"/>
        <v>165148.83129602583</v>
      </c>
      <c r="AF54" s="35">
        <f t="shared" ca="1" si="87"/>
        <v>0</v>
      </c>
      <c r="AG54" s="73">
        <f t="shared" ca="1" si="87"/>
        <v>24677.411572969373</v>
      </c>
      <c r="AH54" s="35">
        <f t="shared" ca="1" si="88"/>
        <v>0</v>
      </c>
      <c r="AI54" s="35">
        <f t="shared" ca="1" si="88"/>
        <v>189826.24286899521</v>
      </c>
      <c r="AJ54" s="35">
        <f t="shared" ca="1" si="89"/>
        <v>0</v>
      </c>
      <c r="AK54" s="73">
        <f t="shared" ca="1" si="89"/>
        <v>56947.872860698561</v>
      </c>
      <c r="AL54" s="35">
        <f t="shared" ca="1" si="90"/>
        <v>0</v>
      </c>
      <c r="AM54" s="73">
        <f t="shared" ca="1" si="91"/>
        <v>246774.11572969376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2"/>
        <v>246774.11572969376</v>
      </c>
      <c r="BJ54" s="36">
        <f t="shared" ca="1" si="93"/>
        <v>2467.7411572969377</v>
      </c>
      <c r="BK54" s="38">
        <f t="shared" si="94"/>
        <v>2.7121568627450983</v>
      </c>
      <c r="BL54" s="38"/>
      <c r="BM54" s="39"/>
    </row>
    <row r="55" spans="1:65" x14ac:dyDescent="0.2">
      <c r="A55" s="20">
        <v>8</v>
      </c>
      <c r="B55" s="27" t="s">
        <v>96</v>
      </c>
      <c r="C55" s="29">
        <v>10</v>
      </c>
      <c r="D55" s="30" t="s">
        <v>118</v>
      </c>
      <c r="E55" s="31" t="s">
        <v>203</v>
      </c>
      <c r="F55" s="28" t="s">
        <v>109</v>
      </c>
      <c r="G55" s="146">
        <v>116.23529411764707</v>
      </c>
      <c r="H55" s="81">
        <v>40397</v>
      </c>
      <c r="I55" s="81">
        <v>40410</v>
      </c>
      <c r="J55" s="83">
        <f t="shared" si="75"/>
        <v>19.372549019607845</v>
      </c>
      <c r="K55" s="32">
        <v>6</v>
      </c>
      <c r="L55" s="33">
        <f t="shared" si="76"/>
        <v>19.372549019607845</v>
      </c>
      <c r="M55" s="34"/>
      <c r="N55" s="34">
        <v>1</v>
      </c>
      <c r="O55" s="35">
        <f t="shared" si="77"/>
        <v>0</v>
      </c>
      <c r="P55" s="35">
        <f t="shared" si="78"/>
        <v>135.60784313725492</v>
      </c>
      <c r="Q55" s="34"/>
      <c r="R55" s="33"/>
      <c r="S55" s="34">
        <v>2</v>
      </c>
      <c r="T55" s="83">
        <f ca="1">IF(AND(N55&gt;0,P55&gt;0),SUMIF('Исходные данные'!$C$14:$J$30,S55,'Исходные данные'!$C$34:$J$42),IF(N55=0,0,IF(S55=0,"РОТ")))</f>
        <v>105.700598073999</v>
      </c>
      <c r="U55" s="130">
        <f>O55*R55*'Исходные данные'!$C$40%</f>
        <v>0</v>
      </c>
      <c r="V55" s="130">
        <f ca="1">P55*T55*'Исходные данные'!$C$41%</f>
        <v>5016.8405430965095</v>
      </c>
      <c r="W55" s="130">
        <f t="shared" si="79"/>
        <v>0</v>
      </c>
      <c r="X55" s="131">
        <f t="shared" ca="1" si="80"/>
        <v>5733.5320492531546</v>
      </c>
      <c r="Y55" s="130">
        <f t="shared" si="81"/>
        <v>0</v>
      </c>
      <c r="Z55" s="131">
        <f t="shared" ca="1" si="82"/>
        <v>1254.2101357741276</v>
      </c>
      <c r="AA55" s="130">
        <f t="shared" si="83"/>
        <v>0</v>
      </c>
      <c r="AB55" s="131">
        <f t="shared" ca="1" si="84"/>
        <v>1935.0670666229396</v>
      </c>
      <c r="AC55" s="129">
        <v>2.5</v>
      </c>
      <c r="AD55" s="130">
        <f t="shared" si="85"/>
        <v>0</v>
      </c>
      <c r="AE55" s="130">
        <f t="shared" ca="1" si="86"/>
        <v>70683.69979469903</v>
      </c>
      <c r="AF55" s="35">
        <f t="shared" ca="1" si="87"/>
        <v>0</v>
      </c>
      <c r="AG55" s="73">
        <f t="shared" ca="1" si="87"/>
        <v>10561.932153230888</v>
      </c>
      <c r="AH55" s="35">
        <f t="shared" ca="1" si="88"/>
        <v>0</v>
      </c>
      <c r="AI55" s="35">
        <f t="shared" ca="1" si="88"/>
        <v>81245.631947929913</v>
      </c>
      <c r="AJ55" s="35">
        <f t="shared" ca="1" si="89"/>
        <v>0</v>
      </c>
      <c r="AK55" s="73">
        <f t="shared" ca="1" si="89"/>
        <v>24373.689584378972</v>
      </c>
      <c r="AL55" s="35">
        <f t="shared" ca="1" si="90"/>
        <v>0</v>
      </c>
      <c r="AM55" s="73">
        <f t="shared" ca="1" si="91"/>
        <v>105619.32153230888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2"/>
        <v>105619.32153230888</v>
      </c>
      <c r="BJ55" s="36">
        <f t="shared" ca="1" si="93"/>
        <v>1056.1932153230889</v>
      </c>
      <c r="BK55" s="38">
        <f t="shared" si="94"/>
        <v>1.3560784313725491</v>
      </c>
      <c r="BL55" s="38"/>
      <c r="BM55" s="39"/>
    </row>
    <row r="56" spans="1:65" s="62" customFormat="1" x14ac:dyDescent="0.2">
      <c r="A56" s="59"/>
      <c r="B56" s="53" t="s">
        <v>21</v>
      </c>
      <c r="C56" s="53"/>
      <c r="D56" s="53"/>
      <c r="E56" s="53"/>
      <c r="F56" s="60"/>
      <c r="G56" s="61"/>
      <c r="H56" s="61"/>
      <c r="I56" s="61"/>
      <c r="J56" s="57">
        <f>SUM(J48:J55)</f>
        <v>284.59777985268181</v>
      </c>
      <c r="K56" s="57"/>
      <c r="L56" s="57">
        <f>SUM(L48:L55)</f>
        <v>303.97032887228966</v>
      </c>
      <c r="M56" s="57">
        <f t="shared" ref="M56:BM56" si="95">SUM(M48:M55)</f>
        <v>0</v>
      </c>
      <c r="N56" s="57">
        <f t="shared" si="95"/>
        <v>9</v>
      </c>
      <c r="O56" s="57">
        <f t="shared" si="95"/>
        <v>0</v>
      </c>
      <c r="P56" s="57">
        <f t="shared" si="95"/>
        <v>2127.7923021060274</v>
      </c>
      <c r="Q56" s="57"/>
      <c r="R56" s="57"/>
      <c r="S56" s="57"/>
      <c r="T56" s="57"/>
      <c r="U56" s="57">
        <f t="shared" si="95"/>
        <v>0</v>
      </c>
      <c r="V56" s="57">
        <f t="shared" ca="1" si="95"/>
        <v>82052.600253036915</v>
      </c>
      <c r="W56" s="57">
        <f t="shared" si="95"/>
        <v>0</v>
      </c>
      <c r="X56" s="57">
        <f t="shared" ca="1" si="95"/>
        <v>93774.400289185069</v>
      </c>
      <c r="Y56" s="57">
        <f t="shared" si="95"/>
        <v>0</v>
      </c>
      <c r="Z56" s="57">
        <f t="shared" ca="1" si="95"/>
        <v>20513.150063259232</v>
      </c>
      <c r="AA56" s="57">
        <f t="shared" si="95"/>
        <v>0</v>
      </c>
      <c r="AB56" s="57">
        <f t="shared" ca="1" si="95"/>
        <v>31648.860097599954</v>
      </c>
      <c r="AC56" s="57"/>
      <c r="AD56" s="57">
        <f t="shared" si="95"/>
        <v>0</v>
      </c>
      <c r="AE56" s="57">
        <f t="shared" ca="1" si="95"/>
        <v>1156062.5285651095</v>
      </c>
      <c r="AF56" s="57">
        <f t="shared" ca="1" si="95"/>
        <v>0</v>
      </c>
      <c r="AG56" s="57">
        <f t="shared" ca="1" si="95"/>
        <v>172744.97553271751</v>
      </c>
      <c r="AH56" s="57">
        <f t="shared" ca="1" si="95"/>
        <v>0</v>
      </c>
      <c r="AI56" s="57">
        <f t="shared" ca="1" si="95"/>
        <v>1328807.5040978272</v>
      </c>
      <c r="AJ56" s="57">
        <f t="shared" ca="1" si="95"/>
        <v>0</v>
      </c>
      <c r="AK56" s="57">
        <f t="shared" ca="1" si="95"/>
        <v>398642.25122934813</v>
      </c>
      <c r="AL56" s="57">
        <f t="shared" ca="1" si="95"/>
        <v>0</v>
      </c>
      <c r="AM56" s="57">
        <f t="shared" ca="1" si="95"/>
        <v>1727449.7553271751</v>
      </c>
      <c r="AN56" s="57"/>
      <c r="AO56" s="57"/>
      <c r="AP56" s="57">
        <f t="shared" si="95"/>
        <v>5.6926799999999993</v>
      </c>
      <c r="AQ56" s="57"/>
      <c r="AR56" s="57"/>
      <c r="AS56" s="57" t="e">
        <f t="shared" si="95"/>
        <v>#REF!</v>
      </c>
      <c r="AT56" s="57"/>
      <c r="AU56" s="57"/>
      <c r="AV56" s="57"/>
      <c r="AW56" s="57"/>
      <c r="AX56" s="57"/>
      <c r="AY56" s="57">
        <f t="shared" si="95"/>
        <v>0</v>
      </c>
      <c r="AZ56" s="57"/>
      <c r="BA56" s="57">
        <f t="shared" si="95"/>
        <v>5231.0429361103879</v>
      </c>
      <c r="BB56" s="57"/>
      <c r="BC56" s="57">
        <f t="shared" si="95"/>
        <v>0</v>
      </c>
      <c r="BD56" s="57"/>
      <c r="BE56" s="57">
        <f t="shared" si="95"/>
        <v>0</v>
      </c>
      <c r="BF56" s="57"/>
      <c r="BG56" s="57">
        <f t="shared" si="95"/>
        <v>0</v>
      </c>
      <c r="BH56" s="57">
        <f t="shared" si="95"/>
        <v>212443.85185185182</v>
      </c>
      <c r="BI56" s="57" t="e">
        <f t="shared" ca="1" si="95"/>
        <v>#REF!</v>
      </c>
      <c r="BJ56" s="57"/>
      <c r="BK56" s="57"/>
      <c r="BL56" s="57"/>
      <c r="BM56" s="57">
        <f t="shared" si="95"/>
        <v>0</v>
      </c>
    </row>
    <row r="57" spans="1:65" ht="11.25" customHeight="1" x14ac:dyDescent="0.2">
      <c r="A57" s="20"/>
      <c r="B57" s="539" t="s">
        <v>102</v>
      </c>
      <c r="C57" s="540"/>
      <c r="D57" s="540"/>
      <c r="E57" s="541"/>
      <c r="F57" s="28"/>
      <c r="G57" s="29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76</v>
      </c>
      <c r="C58" s="29">
        <v>10</v>
      </c>
      <c r="D58" s="30" t="s">
        <v>118</v>
      </c>
      <c r="E58" s="31" t="s">
        <v>213</v>
      </c>
      <c r="F58" s="28" t="s">
        <v>106</v>
      </c>
      <c r="G58" s="146">
        <f>D5</f>
        <v>100</v>
      </c>
      <c r="H58" s="81">
        <v>40374</v>
      </c>
      <c r="I58" s="81">
        <v>40384</v>
      </c>
      <c r="J58" s="83">
        <f t="shared" ref="J58:J64" si="96">L58/N58</f>
        <v>166.66666666666669</v>
      </c>
      <c r="K58" s="32">
        <v>0.6</v>
      </c>
      <c r="L58" s="33">
        <f t="shared" ref="L58:L64" si="97">G58/K58</f>
        <v>166.66666666666669</v>
      </c>
      <c r="M58" s="34"/>
      <c r="N58" s="34">
        <v>1</v>
      </c>
      <c r="O58" s="35">
        <f t="shared" ref="O58:O64" si="98">IF(M58=0,0,L58*$O$15)</f>
        <v>0</v>
      </c>
      <c r="P58" s="35">
        <f t="shared" ref="P58:P64" si="99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данные'!$C$14:$J$30,S58,'Исходные данные'!$C$34:$J$42),IF(N58=0,0,IF(S58=0,"РОТ")))</f>
        <v>123.48200709579322</v>
      </c>
      <c r="U58" s="130">
        <f>O58*R58*'Исходные данные'!$C$40%</f>
        <v>0</v>
      </c>
      <c r="V58" s="130">
        <f ca="1">P58*T58*'Исходные данные'!$C$41%</f>
        <v>50421.819564115569</v>
      </c>
      <c r="W58" s="130">
        <f t="shared" ref="W58:W64" si="100">O58*R58*$W$15</f>
        <v>0</v>
      </c>
      <c r="X58" s="131">
        <f t="shared" ref="X58:X64" ca="1" si="101">P58*T58*$W$15</f>
        <v>57624.936644703514</v>
      </c>
      <c r="Y58" s="130">
        <f t="shared" ref="Y58:Y64" si="102">(O58*R58+U58+W58)*$Y$15</f>
        <v>0</v>
      </c>
      <c r="Z58" s="131"/>
      <c r="AA58" s="130">
        <f t="shared" ref="AA58:AA64" si="103">(O58*R58+U58)*$AA$15</f>
        <v>0</v>
      </c>
      <c r="AB58" s="131"/>
      <c r="AC58" s="129">
        <v>2.5</v>
      </c>
      <c r="AD58" s="130">
        <f t="shared" ref="AD58:AD64" si="104">(O58*R58+U58+W58+Y58+AA58)*AC58</f>
        <v>0</v>
      </c>
      <c r="AE58" s="130">
        <f t="shared" ref="AE58:AE64" ca="1" si="105">(P58*T58+V58+X58+Z58+AB58)*AC58</f>
        <v>630272.74455144466</v>
      </c>
      <c r="AF58" s="35">
        <f t="shared" ref="AF58:AG64" ca="1" si="106">AD58*$AF$15</f>
        <v>0</v>
      </c>
      <c r="AG58" s="73">
        <f t="shared" ca="1" si="106"/>
        <v>94178.685967457233</v>
      </c>
      <c r="AH58" s="35">
        <f t="shared" ref="AH58:AI64" ca="1" si="107">AD58+AF58</f>
        <v>0</v>
      </c>
      <c r="AI58" s="35">
        <f t="shared" ca="1" si="107"/>
        <v>724451.43051890191</v>
      </c>
      <c r="AJ58" s="35">
        <f t="shared" ref="AJ58:AK64" ca="1" si="108">AH58*$AJ$15</f>
        <v>0</v>
      </c>
      <c r="AK58" s="73">
        <f t="shared" ca="1" si="108"/>
        <v>217335.42915567057</v>
      </c>
      <c r="AL58" s="35">
        <f t="shared" ref="AL58:AL64" ca="1" si="109">AH58+AJ58</f>
        <v>0</v>
      </c>
      <c r="AM58" s="73">
        <f t="shared" ref="AM58:AM64" ca="1" si="110">AK58+AI58</f>
        <v>941786.85967457248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1">AL58+AM58+AS58+AY58+BA58+BC58+BE58+BG58+BH58+AW58</f>
        <v>941786.85967457248</v>
      </c>
      <c r="BJ58" s="36">
        <f t="shared" ref="BJ58:BJ64" ca="1" si="112">BI58/$D$5</f>
        <v>9417.8685967457241</v>
      </c>
      <c r="BK58" s="38">
        <f t="shared" ref="BK58:BK64" si="113">(O58+P58)/$D$5</f>
        <v>11.666666666666668</v>
      </c>
      <c r="BL58" s="38"/>
      <c r="BM58" s="39"/>
    </row>
    <row r="59" spans="1:65" x14ac:dyDescent="0.2">
      <c r="A59" s="20">
        <v>2</v>
      </c>
      <c r="B59" s="27" t="s">
        <v>84</v>
      </c>
      <c r="C59" s="29">
        <v>10</v>
      </c>
      <c r="D59" s="30" t="s">
        <v>118</v>
      </c>
      <c r="E59" s="31" t="s">
        <v>208</v>
      </c>
      <c r="F59" s="28" t="s">
        <v>106</v>
      </c>
      <c r="G59" s="146">
        <v>20</v>
      </c>
      <c r="H59" s="81">
        <v>40376</v>
      </c>
      <c r="I59" s="81">
        <v>40386</v>
      </c>
      <c r="J59" s="83">
        <f t="shared" si="96"/>
        <v>12.5</v>
      </c>
      <c r="K59" s="32">
        <v>1.6</v>
      </c>
      <c r="L59" s="33">
        <f t="shared" si="97"/>
        <v>12.5</v>
      </c>
      <c r="M59" s="34"/>
      <c r="N59" s="34">
        <v>1</v>
      </c>
      <c r="O59" s="35">
        <f t="shared" si="98"/>
        <v>0</v>
      </c>
      <c r="P59" s="35">
        <f t="shared" si="99"/>
        <v>87.5</v>
      </c>
      <c r="Q59" s="34"/>
      <c r="R59" s="33"/>
      <c r="S59" s="34">
        <v>1</v>
      </c>
      <c r="T59" s="83">
        <f ca="1">IF(AND(N59&gt;0,P59&gt;0),SUMIF('Исходные данные'!$C$14:$J$30,S59,'Исходные данные'!$C$34:$J$42),IF(N59=0,0,IF(S59=0,"РОТ")))</f>
        <v>98.785605676634574</v>
      </c>
      <c r="U59" s="130">
        <f>O59*R59*'Исходные данные'!$C$40%</f>
        <v>0</v>
      </c>
      <c r="V59" s="130">
        <f ca="1">P59*T59*'Исходные данные'!$C$41%</f>
        <v>3025.3091738469334</v>
      </c>
      <c r="W59" s="130">
        <f t="shared" si="100"/>
        <v>0</v>
      </c>
      <c r="X59" s="131">
        <f t="shared" ca="1" si="101"/>
        <v>3457.49619868221</v>
      </c>
      <c r="Y59" s="130">
        <f t="shared" si="102"/>
        <v>0</v>
      </c>
      <c r="Z59" s="131"/>
      <c r="AA59" s="130">
        <f t="shared" si="103"/>
        <v>0</v>
      </c>
      <c r="AB59" s="131"/>
      <c r="AC59" s="129">
        <v>2.5</v>
      </c>
      <c r="AD59" s="130">
        <f t="shared" si="104"/>
        <v>0</v>
      </c>
      <c r="AE59" s="130">
        <f t="shared" ca="1" si="105"/>
        <v>37816.364673086675</v>
      </c>
      <c r="AF59" s="35">
        <f t="shared" ca="1" si="106"/>
        <v>0</v>
      </c>
      <c r="AG59" s="73">
        <f t="shared" ca="1" si="106"/>
        <v>5650.7211580474332</v>
      </c>
      <c r="AH59" s="35">
        <f t="shared" ca="1" si="107"/>
        <v>0</v>
      </c>
      <c r="AI59" s="35">
        <f t="shared" ca="1" si="107"/>
        <v>43467.085831134107</v>
      </c>
      <c r="AJ59" s="35">
        <f t="shared" ca="1" si="108"/>
        <v>0</v>
      </c>
      <c r="AK59" s="73">
        <f t="shared" ca="1" si="108"/>
        <v>13040.125749340232</v>
      </c>
      <c r="AL59" s="35">
        <f t="shared" ca="1" si="109"/>
        <v>0</v>
      </c>
      <c r="AM59" s="73">
        <f t="shared" ca="1" si="110"/>
        <v>56507.211580474337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1"/>
        <v>56507.211580474337</v>
      </c>
      <c r="BJ59" s="36">
        <f t="shared" ca="1" si="112"/>
        <v>565.07211580474336</v>
      </c>
      <c r="BK59" s="38">
        <f t="shared" si="113"/>
        <v>0.875</v>
      </c>
      <c r="BL59" s="38"/>
      <c r="BM59" s="39"/>
    </row>
    <row r="60" spans="1:65" x14ac:dyDescent="0.2">
      <c r="A60" s="20">
        <v>3</v>
      </c>
      <c r="B60" s="27" t="s">
        <v>100</v>
      </c>
      <c r="C60" s="29">
        <v>10</v>
      </c>
      <c r="D60" s="30" t="s">
        <v>118</v>
      </c>
      <c r="E60" s="31" t="s">
        <v>208</v>
      </c>
      <c r="F60" s="28" t="s">
        <v>106</v>
      </c>
      <c r="G60" s="146">
        <f>D5</f>
        <v>100</v>
      </c>
      <c r="H60" s="81">
        <v>40377</v>
      </c>
      <c r="I60" s="81">
        <v>40387</v>
      </c>
      <c r="J60" s="83">
        <f t="shared" si="96"/>
        <v>125</v>
      </c>
      <c r="K60" s="32">
        <v>0.8</v>
      </c>
      <c r="L60" s="33">
        <f t="shared" si="97"/>
        <v>125</v>
      </c>
      <c r="M60" s="34"/>
      <c r="N60" s="34">
        <v>1</v>
      </c>
      <c r="O60" s="35">
        <f t="shared" si="98"/>
        <v>0</v>
      </c>
      <c r="P60" s="35">
        <f t="shared" si="99"/>
        <v>875</v>
      </c>
      <c r="Q60" s="34"/>
      <c r="R60" s="33"/>
      <c r="S60" s="34">
        <v>2</v>
      </c>
      <c r="T60" s="83">
        <f ca="1">IF(AND(N60&gt;0,P60&gt;0),SUMIF('Исходные данные'!$C$14:$J$30,S60,'Исходные данные'!$C$34:$J$42),IF(N60=0,0,IF(S60=0,"РОТ")))</f>
        <v>105.700598073999</v>
      </c>
      <c r="U60" s="130">
        <f>O60*R60*'Исходные данные'!$C$40%</f>
        <v>0</v>
      </c>
      <c r="V60" s="130">
        <f ca="1">P60*T60*'Исходные данные'!$C$41%</f>
        <v>32370.808160162193</v>
      </c>
      <c r="W60" s="130">
        <f t="shared" si="100"/>
        <v>0</v>
      </c>
      <c r="X60" s="131">
        <f t="shared" ca="1" si="101"/>
        <v>36995.209325899654</v>
      </c>
      <c r="Y60" s="130">
        <f t="shared" si="102"/>
        <v>0</v>
      </c>
      <c r="Z60" s="131"/>
      <c r="AA60" s="130">
        <f t="shared" si="103"/>
        <v>0</v>
      </c>
      <c r="AB60" s="131"/>
      <c r="AC60" s="129">
        <v>2.5</v>
      </c>
      <c r="AD60" s="130">
        <f t="shared" si="104"/>
        <v>0</v>
      </c>
      <c r="AE60" s="130">
        <f t="shared" ca="1" si="105"/>
        <v>404635.10200202744</v>
      </c>
      <c r="AF60" s="35">
        <f t="shared" ca="1" si="106"/>
        <v>0</v>
      </c>
      <c r="AG60" s="73">
        <f t="shared" ca="1" si="106"/>
        <v>60462.71639110754</v>
      </c>
      <c r="AH60" s="35">
        <f t="shared" ca="1" si="107"/>
        <v>0</v>
      </c>
      <c r="AI60" s="35">
        <f t="shared" ca="1" si="107"/>
        <v>465097.81839313498</v>
      </c>
      <c r="AJ60" s="35">
        <f t="shared" ca="1" si="108"/>
        <v>0</v>
      </c>
      <c r="AK60" s="73">
        <f t="shared" ca="1" si="108"/>
        <v>139529.3455179405</v>
      </c>
      <c r="AL60" s="35">
        <f t="shared" ca="1" si="109"/>
        <v>0</v>
      </c>
      <c r="AM60" s="73">
        <f t="shared" ca="1" si="110"/>
        <v>604627.16391107545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1"/>
        <v>604627.16391107545</v>
      </c>
      <c r="BJ60" s="36">
        <f t="shared" ca="1" si="112"/>
        <v>6046.2716391107542</v>
      </c>
      <c r="BK60" s="38">
        <f t="shared" si="113"/>
        <v>8.75</v>
      </c>
      <c r="BL60" s="38"/>
      <c r="BM60" s="39"/>
    </row>
    <row r="61" spans="1:65" x14ac:dyDescent="0.2">
      <c r="A61" s="20">
        <v>4</v>
      </c>
      <c r="B61" s="27" t="s">
        <v>93</v>
      </c>
      <c r="C61" s="29">
        <v>10</v>
      </c>
      <c r="D61" s="30" t="s">
        <v>118</v>
      </c>
      <c r="E61" s="31" t="s">
        <v>203</v>
      </c>
      <c r="F61" s="28" t="s">
        <v>106</v>
      </c>
      <c r="G61" s="146">
        <f>G60</f>
        <v>100</v>
      </c>
      <c r="H61" s="81">
        <v>40378</v>
      </c>
      <c r="I61" s="81">
        <v>40388</v>
      </c>
      <c r="J61" s="83">
        <f t="shared" si="96"/>
        <v>28.571428571428573</v>
      </c>
      <c r="K61" s="32">
        <v>3.5</v>
      </c>
      <c r="L61" s="33">
        <f t="shared" si="97"/>
        <v>28.571428571428573</v>
      </c>
      <c r="M61" s="34"/>
      <c r="N61" s="34">
        <v>1</v>
      </c>
      <c r="O61" s="35">
        <f t="shared" si="98"/>
        <v>0</v>
      </c>
      <c r="P61" s="35">
        <f t="shared" si="99"/>
        <v>200</v>
      </c>
      <c r="Q61" s="34"/>
      <c r="R61" s="33"/>
      <c r="S61" s="34">
        <v>2</v>
      </c>
      <c r="T61" s="83">
        <f ca="1">IF(AND(N61&gt;0,P61&gt;0),SUMIF('Исходные данные'!$C$14:$J$30,S61,'Исходные данные'!$C$34:$J$42),IF(N61=0,0,IF(S61=0,"РОТ")))</f>
        <v>105.700598073999</v>
      </c>
      <c r="U61" s="130">
        <f>O61*R61*'Исходные данные'!$C$40%</f>
        <v>0</v>
      </c>
      <c r="V61" s="130">
        <f ca="1">P61*T61*'Исходные данные'!$C$41%</f>
        <v>7399.04186517993</v>
      </c>
      <c r="W61" s="130">
        <f t="shared" si="100"/>
        <v>0</v>
      </c>
      <c r="X61" s="131">
        <f t="shared" ca="1" si="101"/>
        <v>8456.0478459199203</v>
      </c>
      <c r="Y61" s="130">
        <f t="shared" si="102"/>
        <v>0</v>
      </c>
      <c r="Z61" s="131"/>
      <c r="AA61" s="130">
        <f t="shared" si="103"/>
        <v>0</v>
      </c>
      <c r="AB61" s="131"/>
      <c r="AC61" s="129">
        <v>2.5</v>
      </c>
      <c r="AD61" s="130">
        <f t="shared" si="104"/>
        <v>0</v>
      </c>
      <c r="AE61" s="130">
        <f t="shared" ca="1" si="105"/>
        <v>92488.023314749138</v>
      </c>
      <c r="AF61" s="35">
        <f t="shared" ca="1" si="106"/>
        <v>0</v>
      </c>
      <c r="AG61" s="73">
        <f t="shared" ca="1" si="106"/>
        <v>13820.049460824583</v>
      </c>
      <c r="AH61" s="35">
        <f t="shared" ca="1" si="107"/>
        <v>0</v>
      </c>
      <c r="AI61" s="35">
        <f t="shared" ca="1" si="107"/>
        <v>106308.07277557372</v>
      </c>
      <c r="AJ61" s="35">
        <f t="shared" ca="1" si="108"/>
        <v>0</v>
      </c>
      <c r="AK61" s="73">
        <f t="shared" ca="1" si="108"/>
        <v>31892.421832672113</v>
      </c>
      <c r="AL61" s="35">
        <f t="shared" ca="1" si="109"/>
        <v>0</v>
      </c>
      <c r="AM61" s="73">
        <f t="shared" ca="1" si="110"/>
        <v>138200.49460824582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1"/>
        <v>138200.49460824582</v>
      </c>
      <c r="BJ61" s="36">
        <f t="shared" ca="1" si="112"/>
        <v>1382.0049460824582</v>
      </c>
      <c r="BK61" s="38">
        <f t="shared" si="113"/>
        <v>2</v>
      </c>
      <c r="BL61" s="38"/>
      <c r="BM61" s="39"/>
    </row>
    <row r="62" spans="1:65" x14ac:dyDescent="0.2">
      <c r="A62" s="20">
        <v>5</v>
      </c>
      <c r="B62" s="27" t="s">
        <v>101</v>
      </c>
      <c r="C62" s="29">
        <v>10</v>
      </c>
      <c r="D62" s="30" t="s">
        <v>118</v>
      </c>
      <c r="E62" s="31" t="s">
        <v>212</v>
      </c>
      <c r="F62" s="28" t="s">
        <v>109</v>
      </c>
      <c r="G62" s="146">
        <v>139.48235294117649</v>
      </c>
      <c r="H62" s="81">
        <v>40389</v>
      </c>
      <c r="I62" s="81">
        <v>40397</v>
      </c>
      <c r="J62" s="83">
        <f t="shared" si="96"/>
        <v>19.926050420168071</v>
      </c>
      <c r="K62" s="32">
        <v>3.5</v>
      </c>
      <c r="L62" s="33">
        <f t="shared" si="97"/>
        <v>39.852100840336142</v>
      </c>
      <c r="M62" s="34"/>
      <c r="N62" s="34">
        <v>2</v>
      </c>
      <c r="O62" s="35">
        <f t="shared" si="98"/>
        <v>0</v>
      </c>
      <c r="P62" s="35">
        <f t="shared" si="99"/>
        <v>278.96470588235297</v>
      </c>
      <c r="Q62" s="34"/>
      <c r="R62" s="33"/>
      <c r="S62" s="34">
        <v>3</v>
      </c>
      <c r="T62" s="83">
        <f ca="1">IF(AND(N62&gt;0,P62&gt;0),SUMIF('Исходные данные'!$C$14:$J$30,S62,'Исходные данные'!$C$34:$J$42),IF(N62=0,0,IF(S62=0,"РОТ")))</f>
        <v>113.60344652812975</v>
      </c>
      <c r="U62" s="130">
        <f>O62*R62*'Исходные данные'!$C$40%</f>
        <v>0</v>
      </c>
      <c r="V62" s="130">
        <f ca="1">P62*T62*'Исходные данные'!$C$41%</f>
        <v>11091.973216779465</v>
      </c>
      <c r="W62" s="130">
        <f t="shared" si="100"/>
        <v>0</v>
      </c>
      <c r="X62" s="131">
        <f t="shared" ca="1" si="101"/>
        <v>12676.540819176531</v>
      </c>
      <c r="Y62" s="130">
        <f t="shared" si="102"/>
        <v>0</v>
      </c>
      <c r="Z62" s="131"/>
      <c r="AA62" s="130">
        <f t="shared" si="103"/>
        <v>0</v>
      </c>
      <c r="AB62" s="131"/>
      <c r="AC62" s="129">
        <v>2.5</v>
      </c>
      <c r="AD62" s="130">
        <f t="shared" si="104"/>
        <v>0</v>
      </c>
      <c r="AE62" s="130">
        <f t="shared" ca="1" si="105"/>
        <v>138649.66520974331</v>
      </c>
      <c r="AF62" s="35">
        <f t="shared" ca="1" si="106"/>
        <v>0</v>
      </c>
      <c r="AG62" s="73">
        <f t="shared" ca="1" si="106"/>
        <v>20717.766065823711</v>
      </c>
      <c r="AH62" s="35">
        <f t="shared" ca="1" si="107"/>
        <v>0</v>
      </c>
      <c r="AI62" s="35">
        <f t="shared" ca="1" si="107"/>
        <v>159367.43127556701</v>
      </c>
      <c r="AJ62" s="35">
        <f t="shared" ca="1" si="108"/>
        <v>0</v>
      </c>
      <c r="AK62" s="73">
        <f t="shared" ca="1" si="108"/>
        <v>47810.229382670099</v>
      </c>
      <c r="AL62" s="35">
        <f t="shared" ca="1" si="109"/>
        <v>0</v>
      </c>
      <c r="AM62" s="73">
        <f t="shared" ca="1" si="110"/>
        <v>207177.66065823712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1"/>
        <v>207177.66065823712</v>
      </c>
      <c r="BJ62" s="36">
        <f t="shared" ca="1" si="112"/>
        <v>2071.7766065823712</v>
      </c>
      <c r="BK62" s="38">
        <f t="shared" si="113"/>
        <v>2.7896470588235296</v>
      </c>
      <c r="BL62" s="38"/>
      <c r="BM62" s="39"/>
    </row>
    <row r="63" spans="1:65" x14ac:dyDescent="0.2">
      <c r="A63" s="20">
        <v>6</v>
      </c>
      <c r="B63" s="27" t="s">
        <v>95</v>
      </c>
      <c r="C63" s="29">
        <v>10</v>
      </c>
      <c r="D63" s="30" t="s">
        <v>118</v>
      </c>
      <c r="E63" s="31" t="s">
        <v>203</v>
      </c>
      <c r="F63" s="28" t="s">
        <v>109</v>
      </c>
      <c r="G63" s="146">
        <v>139.48235294117649</v>
      </c>
      <c r="H63" s="81">
        <v>40397</v>
      </c>
      <c r="I63" s="81">
        <v>40405</v>
      </c>
      <c r="J63" s="83">
        <f t="shared" si="96"/>
        <v>19.926050420168071</v>
      </c>
      <c r="K63" s="32">
        <v>7</v>
      </c>
      <c r="L63" s="33">
        <f t="shared" si="97"/>
        <v>19.926050420168071</v>
      </c>
      <c r="M63" s="34"/>
      <c r="N63" s="34">
        <v>1</v>
      </c>
      <c r="O63" s="35">
        <f t="shared" si="98"/>
        <v>0</v>
      </c>
      <c r="P63" s="35">
        <f t="shared" si="99"/>
        <v>139.48235294117649</v>
      </c>
      <c r="Q63" s="34"/>
      <c r="R63" s="33"/>
      <c r="S63" s="34">
        <v>3</v>
      </c>
      <c r="T63" s="83">
        <f ca="1">IF(AND(N63&gt;0,P63&gt;0),SUMIF('Исходные данные'!$C$14:$J$30,S63,'Исходные данные'!$C$34:$J$42),IF(N63=0,0,IF(S63=0,"РОТ")))</f>
        <v>113.60344652812975</v>
      </c>
      <c r="U63" s="130">
        <f>O63*R63*'Исходные данные'!$C$40%</f>
        <v>0</v>
      </c>
      <c r="V63" s="130">
        <f ca="1">P63*T63*'Исходные данные'!$C$41%</f>
        <v>5545.9866083897323</v>
      </c>
      <c r="W63" s="130">
        <f t="shared" si="100"/>
        <v>0</v>
      </c>
      <c r="X63" s="131">
        <f t="shared" ca="1" si="101"/>
        <v>6338.2704095882655</v>
      </c>
      <c r="Y63" s="130">
        <f t="shared" si="102"/>
        <v>0</v>
      </c>
      <c r="Z63" s="131"/>
      <c r="AA63" s="130">
        <f t="shared" si="103"/>
        <v>0</v>
      </c>
      <c r="AB63" s="131"/>
      <c r="AC63" s="129">
        <v>2.5</v>
      </c>
      <c r="AD63" s="130">
        <f t="shared" si="104"/>
        <v>0</v>
      </c>
      <c r="AE63" s="130">
        <f t="shared" ca="1" si="105"/>
        <v>69324.832604871655</v>
      </c>
      <c r="AF63" s="35">
        <f t="shared" ca="1" si="106"/>
        <v>0</v>
      </c>
      <c r="AG63" s="73">
        <f t="shared" ca="1" si="106"/>
        <v>10358.883032911855</v>
      </c>
      <c r="AH63" s="35">
        <f t="shared" ca="1" si="107"/>
        <v>0</v>
      </c>
      <c r="AI63" s="35">
        <f t="shared" ca="1" si="107"/>
        <v>79683.715637783505</v>
      </c>
      <c r="AJ63" s="35">
        <f t="shared" ca="1" si="108"/>
        <v>0</v>
      </c>
      <c r="AK63" s="73">
        <f t="shared" ca="1" si="108"/>
        <v>23905.114691335049</v>
      </c>
      <c r="AL63" s="35">
        <f t="shared" ca="1" si="109"/>
        <v>0</v>
      </c>
      <c r="AM63" s="73">
        <f t="shared" ca="1" si="110"/>
        <v>103588.83032911856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1"/>
        <v>103588.83032911856</v>
      </c>
      <c r="BJ63" s="36">
        <f t="shared" ca="1" si="112"/>
        <v>1035.8883032911856</v>
      </c>
      <c r="BK63" s="38">
        <f t="shared" si="113"/>
        <v>1.3948235294117648</v>
      </c>
      <c r="BL63" s="38"/>
      <c r="BM63" s="39"/>
    </row>
    <row r="64" spans="1:65" x14ac:dyDescent="0.2">
      <c r="A64" s="20">
        <v>7</v>
      </c>
      <c r="B64" s="27" t="s">
        <v>96</v>
      </c>
      <c r="C64" s="29">
        <v>10</v>
      </c>
      <c r="D64" s="30" t="s">
        <v>118</v>
      </c>
      <c r="E64" s="31" t="s">
        <v>203</v>
      </c>
      <c r="F64" s="28" t="s">
        <v>109</v>
      </c>
      <c r="G64" s="146">
        <v>139.48235294117649</v>
      </c>
      <c r="H64" s="81">
        <v>40397</v>
      </c>
      <c r="I64" s="81">
        <v>40410</v>
      </c>
      <c r="J64" s="83">
        <f t="shared" si="96"/>
        <v>12.680213903743317</v>
      </c>
      <c r="K64" s="32">
        <v>11</v>
      </c>
      <c r="L64" s="33">
        <f t="shared" si="97"/>
        <v>12.680213903743317</v>
      </c>
      <c r="M64" s="34"/>
      <c r="N64" s="34">
        <v>1</v>
      </c>
      <c r="O64" s="35">
        <f t="shared" si="98"/>
        <v>0</v>
      </c>
      <c r="P64" s="35">
        <f t="shared" si="99"/>
        <v>88.761497326203212</v>
      </c>
      <c r="Q64" s="34"/>
      <c r="R64" s="33"/>
      <c r="S64" s="34">
        <v>2</v>
      </c>
      <c r="T64" s="83">
        <f ca="1">IF(AND(N64&gt;0,P64&gt;0),SUMIF('Исходные данные'!$C$14:$J$30,S64,'Исходные данные'!$C$34:$J$42),IF(N64=0,0,IF(S64=0,"РОТ")))</f>
        <v>105.700598073999</v>
      </c>
      <c r="U64" s="130">
        <f>O64*R64*'Исходные данные'!$C$40%</f>
        <v>0</v>
      </c>
      <c r="V64" s="130">
        <f ca="1">P64*T64*'Исходные данные'!$C$41%</f>
        <v>3283.7501736631698</v>
      </c>
      <c r="W64" s="130">
        <f t="shared" si="100"/>
        <v>0</v>
      </c>
      <c r="X64" s="131">
        <f t="shared" ca="1" si="101"/>
        <v>3752.8573413293375</v>
      </c>
      <c r="Y64" s="130">
        <f t="shared" si="102"/>
        <v>0</v>
      </c>
      <c r="Z64" s="131"/>
      <c r="AA64" s="130">
        <f t="shared" si="103"/>
        <v>0</v>
      </c>
      <c r="AB64" s="131"/>
      <c r="AC64" s="129">
        <v>2.5</v>
      </c>
      <c r="AD64" s="130">
        <f t="shared" si="104"/>
        <v>0</v>
      </c>
      <c r="AE64" s="130">
        <f t="shared" ca="1" si="105"/>
        <v>41046.877170789623</v>
      </c>
      <c r="AF64" s="35">
        <f t="shared" ca="1" si="106"/>
        <v>0</v>
      </c>
      <c r="AG64" s="73">
        <f t="shared" ca="1" si="106"/>
        <v>6133.4414163248857</v>
      </c>
      <c r="AH64" s="35">
        <f t="shared" ca="1" si="107"/>
        <v>0</v>
      </c>
      <c r="AI64" s="35">
        <f t="shared" ca="1" si="107"/>
        <v>47180.318587114511</v>
      </c>
      <c r="AJ64" s="35">
        <f t="shared" ca="1" si="108"/>
        <v>0</v>
      </c>
      <c r="AK64" s="73">
        <f t="shared" ca="1" si="108"/>
        <v>14154.095576134352</v>
      </c>
      <c r="AL64" s="35">
        <f t="shared" ca="1" si="109"/>
        <v>0</v>
      </c>
      <c r="AM64" s="73">
        <f t="shared" ca="1" si="110"/>
        <v>61334.414163248861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1"/>
        <v>61334.414163248861</v>
      </c>
      <c r="BJ64" s="36">
        <f t="shared" ca="1" si="112"/>
        <v>613.34414163248857</v>
      </c>
      <c r="BK64" s="38">
        <f t="shared" si="113"/>
        <v>0.88761497326203209</v>
      </c>
      <c r="BL64" s="38"/>
      <c r="BM64" s="39"/>
    </row>
    <row r="65" spans="1:65" s="62" customFormat="1" x14ac:dyDescent="0.2">
      <c r="A65" s="59"/>
      <c r="B65" s="53" t="s">
        <v>21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14">SUM(L58:L64)</f>
        <v>405.19646040234278</v>
      </c>
      <c r="M65" s="57">
        <f t="shared" si="114"/>
        <v>0</v>
      </c>
      <c r="N65" s="57">
        <f t="shared" si="114"/>
        <v>8</v>
      </c>
      <c r="O65" s="57">
        <f t="shared" si="114"/>
        <v>0</v>
      </c>
      <c r="P65" s="57">
        <f t="shared" si="114"/>
        <v>2836.3752228163999</v>
      </c>
      <c r="Q65" s="57"/>
      <c r="R65" s="57"/>
      <c r="S65" s="57"/>
      <c r="T65" s="57"/>
      <c r="U65" s="57">
        <f t="shared" si="114"/>
        <v>0</v>
      </c>
      <c r="V65" s="57">
        <f t="shared" ca="1" si="114"/>
        <v>113138.688762137</v>
      </c>
      <c r="W65" s="57">
        <f t="shared" si="114"/>
        <v>0</v>
      </c>
      <c r="X65" s="57">
        <f t="shared" ca="1" si="114"/>
        <v>129301.35858529943</v>
      </c>
      <c r="Y65" s="57">
        <f t="shared" si="114"/>
        <v>0</v>
      </c>
      <c r="Z65" s="57">
        <f t="shared" si="114"/>
        <v>0</v>
      </c>
      <c r="AA65" s="57">
        <f t="shared" si="114"/>
        <v>0</v>
      </c>
      <c r="AB65" s="57">
        <f t="shared" si="114"/>
        <v>0</v>
      </c>
      <c r="AC65" s="57"/>
      <c r="AD65" s="57">
        <f t="shared" si="114"/>
        <v>0</v>
      </c>
      <c r="AE65" s="57">
        <f t="shared" ca="1" si="114"/>
        <v>1414233.6095267124</v>
      </c>
      <c r="AF65" s="57">
        <f t="shared" ca="1" si="114"/>
        <v>0</v>
      </c>
      <c r="AG65" s="57">
        <f t="shared" ca="1" si="114"/>
        <v>211322.26349249724</v>
      </c>
      <c r="AH65" s="57">
        <f t="shared" ca="1" si="114"/>
        <v>0</v>
      </c>
      <c r="AI65" s="57">
        <f t="shared" ca="1" si="114"/>
        <v>1625555.8730192098</v>
      </c>
      <c r="AJ65" s="57">
        <f t="shared" ca="1" si="114"/>
        <v>0</v>
      </c>
      <c r="AK65" s="57">
        <f t="shared" ca="1" si="114"/>
        <v>487666.76190576289</v>
      </c>
      <c r="AL65" s="57">
        <f t="shared" ca="1" si="114"/>
        <v>0</v>
      </c>
      <c r="AM65" s="57">
        <f t="shared" ca="1" si="114"/>
        <v>2113222.6349249724</v>
      </c>
      <c r="AN65" s="57"/>
      <c r="AO65" s="57"/>
      <c r="AP65" s="57">
        <f t="shared" si="114"/>
        <v>0</v>
      </c>
      <c r="AQ65" s="57"/>
      <c r="AR65" s="57"/>
      <c r="AS65" s="57">
        <f t="shared" si="114"/>
        <v>0</v>
      </c>
      <c r="AT65" s="57"/>
      <c r="AU65" s="57"/>
      <c r="AV65" s="57"/>
      <c r="AW65" s="57"/>
      <c r="AX65" s="57"/>
      <c r="AY65" s="57">
        <f t="shared" si="114"/>
        <v>0</v>
      </c>
      <c r="AZ65" s="57"/>
      <c r="BA65" s="57">
        <f t="shared" si="114"/>
        <v>0</v>
      </c>
      <c r="BB65" s="57"/>
      <c r="BC65" s="57">
        <f t="shared" si="114"/>
        <v>0</v>
      </c>
      <c r="BD65" s="57"/>
      <c r="BE65" s="57">
        <f t="shared" si="114"/>
        <v>0</v>
      </c>
      <c r="BF65" s="57"/>
      <c r="BG65" s="57">
        <f t="shared" si="114"/>
        <v>0</v>
      </c>
      <c r="BH65" s="57">
        <f t="shared" si="114"/>
        <v>0</v>
      </c>
      <c r="BI65" s="57">
        <f t="shared" ca="1" si="114"/>
        <v>2113222.6349249724</v>
      </c>
      <c r="BJ65" s="57"/>
      <c r="BK65" s="57"/>
      <c r="BL65" s="57"/>
      <c r="BM65" s="57">
        <f t="shared" si="114"/>
        <v>0</v>
      </c>
    </row>
    <row r="66" spans="1:65" s="51" customFormat="1" x14ac:dyDescent="0.2">
      <c r="A66" s="48"/>
      <c r="B66" s="58" t="s">
        <v>29</v>
      </c>
      <c r="C66" s="58"/>
      <c r="D66" s="58"/>
      <c r="E66" s="58"/>
      <c r="F66" s="49"/>
      <c r="G66" s="50"/>
      <c r="H66" s="50"/>
      <c r="I66" s="50"/>
      <c r="J66" s="78">
        <f>J26+J36+J46+J56+J65</f>
        <v>947.92006105769747</v>
      </c>
      <c r="K66" s="78"/>
      <c r="L66" s="78">
        <f t="shared" ref="L66:BM66" si="115">L26+L36+L46+L56+L65</f>
        <v>987.21866049747337</v>
      </c>
      <c r="M66" s="78">
        <f t="shared" si="115"/>
        <v>17</v>
      </c>
      <c r="N66" s="78">
        <f t="shared" si="115"/>
        <v>26</v>
      </c>
      <c r="O66" s="78">
        <f t="shared" si="115"/>
        <v>844.20623581478844</v>
      </c>
      <c r="P66" s="78">
        <f t="shared" si="115"/>
        <v>6303.895414026787</v>
      </c>
      <c r="Q66" s="78"/>
      <c r="R66" s="78"/>
      <c r="S66" s="78"/>
      <c r="T66" s="78"/>
      <c r="U66" s="78">
        <f t="shared" ca="1" si="115"/>
        <v>0</v>
      </c>
      <c r="V66" s="78">
        <f t="shared" ca="1" si="115"/>
        <v>247921.23333710368</v>
      </c>
      <c r="W66" s="78">
        <f t="shared" ca="1" si="115"/>
        <v>54797.002323863773</v>
      </c>
      <c r="X66" s="78">
        <f t="shared" ca="1" si="115"/>
        <v>283338.5523852614</v>
      </c>
      <c r="Y66" s="78">
        <f t="shared" ca="1" si="115"/>
        <v>19178.950813352327</v>
      </c>
      <c r="Z66" s="78">
        <f t="shared" ca="1" si="115"/>
        <v>33695.636143741678</v>
      </c>
      <c r="AA66" s="78">
        <f t="shared" ca="1" si="115"/>
        <v>13699.250580965943</v>
      </c>
      <c r="AB66" s="78">
        <f t="shared" ca="1" si="115"/>
        <v>51987.552907487159</v>
      </c>
      <c r="AC66" s="78"/>
      <c r="AD66" s="78">
        <f t="shared" ca="1" si="115"/>
        <v>561669.27381960372</v>
      </c>
      <c r="AE66" s="78">
        <f t="shared" ca="1" si="115"/>
        <v>3313223.3893418685</v>
      </c>
      <c r="AF66" s="78">
        <f t="shared" ca="1" si="115"/>
        <v>83927.592639710885</v>
      </c>
      <c r="AG66" s="78">
        <f t="shared" ca="1" si="115"/>
        <v>495079.35702809528</v>
      </c>
      <c r="AH66" s="78">
        <f t="shared" ca="1" si="115"/>
        <v>645596.86645931471</v>
      </c>
      <c r="AI66" s="78">
        <f t="shared" ca="1" si="115"/>
        <v>3808302.7463699635</v>
      </c>
      <c r="AJ66" s="78">
        <f t="shared" ca="1" si="115"/>
        <v>193679.0599377944</v>
      </c>
      <c r="AK66" s="78">
        <f t="shared" ca="1" si="115"/>
        <v>1142490.8239109891</v>
      </c>
      <c r="AL66" s="78">
        <f t="shared" ca="1" si="115"/>
        <v>839275.92639710905</v>
      </c>
      <c r="AM66" s="78">
        <f t="shared" ca="1" si="115"/>
        <v>4950793.5702809524</v>
      </c>
      <c r="AN66" s="78"/>
      <c r="AO66" s="78"/>
      <c r="AP66" s="78">
        <f t="shared" si="115"/>
        <v>44.049649411764705</v>
      </c>
      <c r="AQ66" s="78"/>
      <c r="AR66" s="78"/>
      <c r="AS66" s="78" t="e">
        <f t="shared" si="115"/>
        <v>#REF!</v>
      </c>
      <c r="AT66" s="78"/>
      <c r="AU66" s="78">
        <f>AU26+AU36+AU46+AU56+AU65</f>
        <v>301.39534883720938</v>
      </c>
      <c r="AV66" s="78"/>
      <c r="AW66" s="78">
        <f>AW26+AW36+AW46+AW56+AW65</f>
        <v>301395.3488372094</v>
      </c>
      <c r="AX66" s="78"/>
      <c r="AY66" s="78">
        <f t="shared" si="115"/>
        <v>20427.607051648003</v>
      </c>
      <c r="AZ66" s="78"/>
      <c r="BA66" s="78">
        <f t="shared" si="115"/>
        <v>12968.777514488955</v>
      </c>
      <c r="BB66" s="78"/>
      <c r="BC66" s="78">
        <f t="shared" si="115"/>
        <v>47190.093747302053</v>
      </c>
      <c r="BD66" s="78"/>
      <c r="BE66" s="78">
        <f t="shared" si="115"/>
        <v>7960.4648432948852</v>
      </c>
      <c r="BF66" s="78"/>
      <c r="BG66" s="78">
        <f t="shared" si="115"/>
        <v>3027.7622304518964</v>
      </c>
      <c r="BH66" s="78">
        <f t="shared" si="115"/>
        <v>895072.51928146183</v>
      </c>
      <c r="BI66" s="78" t="e">
        <f t="shared" ca="1" si="115"/>
        <v>#REF!</v>
      </c>
      <c r="BJ66" s="78"/>
      <c r="BK66" s="78"/>
      <c r="BL66" s="78"/>
      <c r="BM66" s="78">
        <f t="shared" si="115"/>
        <v>572.69531246725785</v>
      </c>
    </row>
  </sheetData>
  <mergeCells count="104">
    <mergeCell ref="AA13:AB14"/>
    <mergeCell ref="AC13:AE14"/>
    <mergeCell ref="A13:A17"/>
    <mergeCell ref="B13:E14"/>
    <mergeCell ref="F13:F17"/>
    <mergeCell ref="G13:G17"/>
    <mergeCell ref="H13:I14"/>
    <mergeCell ref="J13:J17"/>
    <mergeCell ref="K13:K17"/>
    <mergeCell ref="L13:L17"/>
    <mergeCell ref="M13:N14"/>
    <mergeCell ref="M15:M17"/>
    <mergeCell ref="N15:N17"/>
    <mergeCell ref="B15:B17"/>
    <mergeCell ref="C15:E15"/>
    <mergeCell ref="H15:H17"/>
    <mergeCell ref="I15:I17"/>
    <mergeCell ref="O13:P14"/>
    <mergeCell ref="Q13:T14"/>
    <mergeCell ref="U13:V14"/>
    <mergeCell ref="Q15:R15"/>
    <mergeCell ref="Y16:Y17"/>
    <mergeCell ref="W15:X15"/>
    <mergeCell ref="V15:V17"/>
    <mergeCell ref="O15:P15"/>
    <mergeCell ref="S15:T15"/>
    <mergeCell ref="U15:U17"/>
    <mergeCell ref="W13:X14"/>
    <mergeCell ref="Y13:Z14"/>
    <mergeCell ref="BI13:BJ14"/>
    <mergeCell ref="BK13:BK17"/>
    <mergeCell ref="BL13:BM14"/>
    <mergeCell ref="BB13:BH14"/>
    <mergeCell ref="AF13:AG14"/>
    <mergeCell ref="AH13:AI14"/>
    <mergeCell ref="AL15:AL17"/>
    <mergeCell ref="AM15:AM17"/>
    <mergeCell ref="AN15:AN17"/>
    <mergeCell ref="AF15:AG15"/>
    <mergeCell ref="AJ13:AK14"/>
    <mergeCell ref="AL13:AM14"/>
    <mergeCell ref="AN13:AS14"/>
    <mergeCell ref="AT13:AW14"/>
    <mergeCell ref="AX13:BA14"/>
    <mergeCell ref="AP15:AP17"/>
    <mergeCell ref="AQ15:AQ17"/>
    <mergeCell ref="AR15:AR17"/>
    <mergeCell ref="AS15:AS17"/>
    <mergeCell ref="AT15:AT17"/>
    <mergeCell ref="W16:W17"/>
    <mergeCell ref="AA16:AA17"/>
    <mergeCell ref="AB16:AB17"/>
    <mergeCell ref="AF16:AF17"/>
    <mergeCell ref="AG16:AG17"/>
    <mergeCell ref="Z16:Z17"/>
    <mergeCell ref="X16:X17"/>
    <mergeCell ref="BM15:BM17"/>
    <mergeCell ref="BD15:BE15"/>
    <mergeCell ref="BF15:BG15"/>
    <mergeCell ref="BH15:BH17"/>
    <mergeCell ref="BI15:BI17"/>
    <mergeCell ref="BJ15:BJ17"/>
    <mergeCell ref="BL15:BL17"/>
    <mergeCell ref="BD16:BD17"/>
    <mergeCell ref="BE16:BE17"/>
    <mergeCell ref="BF16:BF17"/>
    <mergeCell ref="BG16:BG17"/>
    <mergeCell ref="AX15:AY15"/>
    <mergeCell ref="AZ15:BA15"/>
    <mergeCell ref="BB15:BC15"/>
    <mergeCell ref="AX16:AX17"/>
    <mergeCell ref="C16:C17"/>
    <mergeCell ref="D16:D17"/>
    <mergeCell ref="E16:E17"/>
    <mergeCell ref="O16:O17"/>
    <mergeCell ref="P16:P17"/>
    <mergeCell ref="Q16:Q17"/>
    <mergeCell ref="R16:R17"/>
    <mergeCell ref="S16:S17"/>
    <mergeCell ref="T16:T17"/>
    <mergeCell ref="B19:E19"/>
    <mergeCell ref="B27:E27"/>
    <mergeCell ref="B37:E37"/>
    <mergeCell ref="B47:E47"/>
    <mergeCell ref="B57:E57"/>
    <mergeCell ref="BC16:BC17"/>
    <mergeCell ref="BB16:BB17"/>
    <mergeCell ref="AU15:AU17"/>
    <mergeCell ref="AV15:AV17"/>
    <mergeCell ref="AW15:AW17"/>
    <mergeCell ref="B18:E18"/>
    <mergeCell ref="AJ16:AJ17"/>
    <mergeCell ref="AK16:AK17"/>
    <mergeCell ref="AH15:AH17"/>
    <mergeCell ref="AI15:AI17"/>
    <mergeCell ref="AJ15:AK15"/>
    <mergeCell ref="AA15:AB15"/>
    <mergeCell ref="AC15:AC17"/>
    <mergeCell ref="AD15:AD17"/>
    <mergeCell ref="AE15:AE17"/>
    <mergeCell ref="AY16:AY17"/>
    <mergeCell ref="AZ16:AZ17"/>
    <mergeCell ref="BA16:BA17"/>
    <mergeCell ref="AO15:AO17"/>
  </mergeCells>
  <conditionalFormatting sqref="AP20:AP25 AS38:AW40 AS28:AW35 AP28:AP35 AP38:AP40 AX37:AX40 AN57:BM64 AR41:AX45 AN41:AP45 AQ44:AQ45 U58:AM64 U20:AM25 U28:AM35 U38:AM45 AY19:BM25 H19:I66 U48:AM55 AX27:BM36 AS20:AX25 J65:BM66 K27 K19 K37 K47 G65:G66 G19 G26:G27 G36:G37 G46:G47 G56:G57 R37 R27 R19 J19:J64 T27:T33 T19:T22 T37:T40 T47:AM47 U27:AW27 T57:AM57 K36:T36 U19:AX19 K57 U36:AW37 K56:BM56 T25 S19:S25 K26:BM26 S27:S35 O19:P19 R41:R45 S37:S45 O27:P27 K46:BM46 O37:P37 O47:P47 O57:P57 L19:N25 Q19:Q25 L27:N35 Q27:Q35 L37:N45 Q37:Q45 L47:N55 Q47:S55 L57:N64 Q57:S64 AY37:BM45 AN47:AN55 AO51:AO55 AO47 AP47:AP55 AS47:BM55 AQ47:AR47 AQ51:AR55">
    <cfRule type="cellIs" dxfId="11" priority="9" stopIfTrue="1" operator="greaterThan">
      <formula>0</formula>
    </cfRule>
  </conditionalFormatting>
  <conditionalFormatting sqref="AN20:AN25 AN28:AN35 AN38:AN40 K20:K25 K28:K35 K38:K45 K48:K55 K58:K64">
    <cfRule type="cellIs" dxfId="10" priority="10" stopIfTrue="1" operator="greaterThan">
      <formula>0</formula>
    </cfRule>
  </conditionalFormatting>
  <conditionalFormatting sqref="E48:E55 E28:E35 E58:E64 E38:E45 E20:E25">
    <cfRule type="cellIs" dxfId="9" priority="11" stopIfTrue="1" operator="equal">
      <formula>0</formula>
    </cfRule>
  </conditionalFormatting>
  <conditionalFormatting sqref="O20:P25 O28:P35 O38:P45 O48:P55 O58:P64">
    <cfRule type="cellIs" dxfId="8" priority="12" stopIfTrue="1" operator="greaterThan">
      <formula>0</formula>
    </cfRule>
  </conditionalFormatting>
  <conditionalFormatting sqref="AT31:AW31">
    <cfRule type="cellIs" dxfId="7" priority="8" stopIfTrue="1" operator="greaterThan">
      <formula>0</formula>
    </cfRule>
  </conditionalFormatting>
  <conditionalFormatting sqref="K58:K64">
    <cfRule type="cellIs" dxfId="6" priority="7" stopIfTrue="1" operator="greaterThan">
      <formula>0</formula>
    </cfRule>
  </conditionalFormatting>
  <conditionalFormatting sqref="S58:S64">
    <cfRule type="cellIs" dxfId="5" priority="6" stopIfTrue="1" operator="greaterThan">
      <formula>0</formula>
    </cfRule>
  </conditionalFormatting>
  <conditionalFormatting sqref="AN48:AN50">
    <cfRule type="cellIs" dxfId="4" priority="5" stopIfTrue="1" operator="greaterThan">
      <formula>0</formula>
    </cfRule>
  </conditionalFormatting>
  <conditionalFormatting sqref="AN48:AN50">
    <cfRule type="cellIs" dxfId="3" priority="4" stopIfTrue="1" operator="greaterThan">
      <formula>0</formula>
    </cfRule>
  </conditionalFormatting>
  <conditionalFormatting sqref="AN48:AN50">
    <cfRule type="cellIs" dxfId="2" priority="3" stopIfTrue="1" operator="greaterThan">
      <formula>0</formula>
    </cfRule>
  </conditionalFormatting>
  <conditionalFormatting sqref="AN48:AN50">
    <cfRule type="cellIs" dxfId="1" priority="2" stopIfTrue="1" operator="greaterThan">
      <formula>0</formula>
    </cfRule>
  </conditionalFormatting>
  <conditionalFormatting sqref="AN48:AN50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AQ41:AQ43">
      <formula1>$B$107:$B$110</formula1>
    </dataValidation>
    <dataValidation type="list" allowBlank="1" showInputMessage="1" showErrorMessage="1" sqref="AQ27:AR27 AQ57:AR64 AQ51:AR55">
      <formula1>#REF!</formula1>
    </dataValidation>
  </dataValidations>
  <pageMargins left="0.19685039370078741" right="0.19685039370078741" top="0.19685039370078741" bottom="0.19685039370078741" header="0.19685039370078741" footer="0.19685039370078741"/>
  <pageSetup paperSize="9" scale="54" fitToWidth="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sqref="A1:I1"/>
    </sheetView>
  </sheetViews>
  <sheetFormatPr defaultRowHeight="12.75" x14ac:dyDescent="0.2"/>
  <cols>
    <col min="1" max="1" width="3.28515625" customWidth="1"/>
    <col min="2" max="2" width="21.42578125" customWidth="1"/>
  </cols>
  <sheetData>
    <row r="1" spans="1:9" x14ac:dyDescent="0.2">
      <c r="A1" s="542" t="s">
        <v>430</v>
      </c>
      <c r="B1" s="542"/>
      <c r="C1" s="542"/>
      <c r="D1" s="542"/>
      <c r="E1" s="542"/>
      <c r="F1" s="542"/>
      <c r="G1" s="542"/>
      <c r="H1" s="542"/>
      <c r="I1" s="542"/>
    </row>
    <row r="2" spans="1:9" ht="15" x14ac:dyDescent="0.2">
      <c r="A2" s="151"/>
      <c r="B2" s="151"/>
      <c r="C2" s="151"/>
      <c r="D2" s="151"/>
      <c r="E2" s="151"/>
      <c r="F2" s="151"/>
      <c r="G2" s="151"/>
      <c r="H2" s="151"/>
      <c r="I2" s="152" t="s">
        <v>431</v>
      </c>
    </row>
    <row r="3" spans="1:9" ht="38.25" x14ac:dyDescent="0.2">
      <c r="A3" s="127" t="s">
        <v>432</v>
      </c>
      <c r="B3" s="145" t="s">
        <v>433</v>
      </c>
      <c r="C3" s="145">
        <v>2011</v>
      </c>
      <c r="D3" s="145">
        <v>2012</v>
      </c>
      <c r="E3" s="145">
        <v>2013</v>
      </c>
      <c r="F3" s="145">
        <v>2014</v>
      </c>
      <c r="G3" s="145">
        <v>2015</v>
      </c>
      <c r="H3" s="145" t="s">
        <v>434</v>
      </c>
      <c r="I3" s="145" t="s">
        <v>435</v>
      </c>
    </row>
    <row r="4" spans="1:9" x14ac:dyDescent="0.2">
      <c r="A4" s="154"/>
      <c r="B4" s="155" t="s">
        <v>436</v>
      </c>
      <c r="C4" s="156">
        <v>1.1599999999999999</v>
      </c>
      <c r="D4" s="156">
        <v>1.1599999999999999</v>
      </c>
      <c r="E4" s="156">
        <v>1.04</v>
      </c>
      <c r="F4" s="156">
        <v>1.26</v>
      </c>
      <c r="G4" s="156">
        <v>1.18</v>
      </c>
      <c r="H4" s="156">
        <v>1.18</v>
      </c>
      <c r="I4" s="126">
        <v>1.1599999999999999</v>
      </c>
    </row>
    <row r="5" spans="1:9" x14ac:dyDescent="0.2">
      <c r="A5" s="127">
        <v>1</v>
      </c>
      <c r="B5" s="128" t="s">
        <v>437</v>
      </c>
      <c r="C5" s="127">
        <v>1.6</v>
      </c>
      <c r="D5" s="127">
        <v>1.5</v>
      </c>
      <c r="E5" s="127">
        <v>1.2</v>
      </c>
      <c r="F5" s="127">
        <v>1.3</v>
      </c>
      <c r="G5" s="127">
        <v>1.4</v>
      </c>
      <c r="H5" s="127">
        <v>1.4</v>
      </c>
      <c r="I5" s="157"/>
    </row>
    <row r="6" spans="1:9" x14ac:dyDescent="0.2">
      <c r="A6" s="127">
        <v>2</v>
      </c>
      <c r="B6" s="128" t="s">
        <v>438</v>
      </c>
      <c r="C6" s="127">
        <v>0.7</v>
      </c>
      <c r="D6" s="127">
        <v>0.8</v>
      </c>
      <c r="E6" s="127">
        <v>1</v>
      </c>
      <c r="F6" s="127">
        <v>1</v>
      </c>
      <c r="G6" s="127">
        <v>1</v>
      </c>
      <c r="H6" s="127">
        <v>1</v>
      </c>
      <c r="I6" s="126">
        <v>0.91</v>
      </c>
    </row>
    <row r="7" spans="1:9" x14ac:dyDescent="0.2">
      <c r="A7" s="127">
        <v>3</v>
      </c>
      <c r="B7" s="128" t="s">
        <v>439</v>
      </c>
      <c r="C7" s="127">
        <v>1.6</v>
      </c>
      <c r="D7" s="127">
        <v>1.8</v>
      </c>
      <c r="E7" s="127">
        <v>1.4</v>
      </c>
      <c r="F7" s="127">
        <v>2.2999999999999998</v>
      </c>
      <c r="G7" s="127">
        <v>1.6</v>
      </c>
      <c r="H7" s="127">
        <v>1.6</v>
      </c>
      <c r="I7" s="126">
        <v>1.74</v>
      </c>
    </row>
    <row r="8" spans="1:9" x14ac:dyDescent="0.2">
      <c r="A8" s="127">
        <v>4</v>
      </c>
      <c r="B8" s="128" t="s">
        <v>440</v>
      </c>
      <c r="C8" s="127">
        <v>0.5</v>
      </c>
      <c r="D8" s="127">
        <v>0.7</v>
      </c>
      <c r="E8" s="127">
        <v>1.2</v>
      </c>
      <c r="F8" s="127">
        <v>1.6</v>
      </c>
      <c r="G8" s="127">
        <v>1.1000000000000001</v>
      </c>
      <c r="H8" s="127">
        <v>1.1000000000000001</v>
      </c>
      <c r="I8" s="126">
        <v>1.04</v>
      </c>
    </row>
    <row r="9" spans="1:9" x14ac:dyDescent="0.2">
      <c r="A9" s="127">
        <v>5</v>
      </c>
      <c r="B9" s="128" t="s">
        <v>441</v>
      </c>
      <c r="C9" s="158"/>
      <c r="D9" s="158"/>
      <c r="E9" s="158"/>
      <c r="F9" s="158"/>
      <c r="G9" s="158"/>
      <c r="H9" s="158"/>
      <c r="I9" s="157">
        <v>0</v>
      </c>
    </row>
    <row r="10" spans="1:9" x14ac:dyDescent="0.2">
      <c r="A10" s="127">
        <v>6</v>
      </c>
      <c r="B10" s="128" t="s">
        <v>442</v>
      </c>
      <c r="C10" s="127">
        <v>1</v>
      </c>
      <c r="D10" s="127">
        <v>1.5</v>
      </c>
      <c r="E10" s="127">
        <v>0.5</v>
      </c>
      <c r="F10" s="127">
        <v>1.4</v>
      </c>
      <c r="G10" s="127">
        <v>1.5</v>
      </c>
      <c r="H10" s="127">
        <v>1.5</v>
      </c>
      <c r="I10" s="126">
        <v>1.2</v>
      </c>
    </row>
    <row r="11" spans="1:9" x14ac:dyDescent="0.2">
      <c r="A11" s="127">
        <v>7</v>
      </c>
      <c r="B11" s="128" t="s">
        <v>443</v>
      </c>
      <c r="C11" s="127">
        <v>1</v>
      </c>
      <c r="D11" s="127">
        <v>1.2</v>
      </c>
      <c r="E11" s="127">
        <v>0.9</v>
      </c>
      <c r="F11" s="127">
        <v>1.2</v>
      </c>
      <c r="G11" s="127">
        <v>1.3</v>
      </c>
      <c r="H11" s="127">
        <v>1.3</v>
      </c>
      <c r="I11" s="126">
        <v>1.1200000000000001</v>
      </c>
    </row>
    <row r="12" spans="1:9" x14ac:dyDescent="0.2">
      <c r="A12" s="127">
        <v>8</v>
      </c>
      <c r="B12" s="128" t="s">
        <v>444</v>
      </c>
      <c r="C12" s="127">
        <v>1.3</v>
      </c>
      <c r="D12" s="127">
        <v>0.9</v>
      </c>
      <c r="E12" s="127">
        <v>1</v>
      </c>
      <c r="F12" s="127">
        <v>1</v>
      </c>
      <c r="G12" s="127">
        <v>0.7</v>
      </c>
      <c r="H12" s="127">
        <v>0.7</v>
      </c>
      <c r="I12" s="126">
        <v>0.97</v>
      </c>
    </row>
    <row r="13" spans="1:9" x14ac:dyDescent="0.2">
      <c r="A13" s="127">
        <v>9</v>
      </c>
      <c r="B13" s="128" t="s">
        <v>445</v>
      </c>
      <c r="C13" s="127">
        <v>1.4</v>
      </c>
      <c r="D13" s="127">
        <v>1.4</v>
      </c>
      <c r="E13" s="127">
        <v>1.1000000000000001</v>
      </c>
      <c r="F13" s="127">
        <v>1.3</v>
      </c>
      <c r="G13" s="127">
        <v>1.2</v>
      </c>
      <c r="H13" s="127">
        <v>1.2</v>
      </c>
      <c r="I13" s="126">
        <v>1.28</v>
      </c>
    </row>
    <row r="14" spans="1:9" x14ac:dyDescent="0.2">
      <c r="A14" s="127">
        <v>10</v>
      </c>
      <c r="B14" s="128" t="s">
        <v>446</v>
      </c>
      <c r="C14" s="127">
        <v>1.7</v>
      </c>
      <c r="D14" s="127">
        <v>1.8</v>
      </c>
      <c r="E14" s="127">
        <v>0.9</v>
      </c>
      <c r="F14" s="127">
        <v>1.7</v>
      </c>
      <c r="G14" s="127">
        <v>1</v>
      </c>
      <c r="H14" s="127">
        <v>1</v>
      </c>
      <c r="I14" s="126">
        <v>1.41</v>
      </c>
    </row>
    <row r="15" spans="1:9" x14ac:dyDescent="0.2">
      <c r="A15" s="127">
        <v>11</v>
      </c>
      <c r="B15" s="128" t="s">
        <v>447</v>
      </c>
      <c r="C15" s="127">
        <v>0.8</v>
      </c>
      <c r="D15" s="127">
        <v>0.9</v>
      </c>
      <c r="E15" s="127">
        <v>0.7</v>
      </c>
      <c r="F15" s="127">
        <v>1</v>
      </c>
      <c r="G15" s="127">
        <v>1</v>
      </c>
      <c r="H15" s="127">
        <v>1</v>
      </c>
      <c r="I15" s="126">
        <v>0.87</v>
      </c>
    </row>
    <row r="16" spans="1:9" x14ac:dyDescent="0.2">
      <c r="A16" s="127">
        <v>12</v>
      </c>
      <c r="B16" s="128" t="s">
        <v>448</v>
      </c>
      <c r="C16" s="127">
        <v>1.6</v>
      </c>
      <c r="D16" s="127">
        <v>1</v>
      </c>
      <c r="E16" s="127">
        <v>0.8</v>
      </c>
      <c r="F16" s="127">
        <v>0.9</v>
      </c>
      <c r="G16" s="127">
        <v>1.1000000000000001</v>
      </c>
      <c r="H16" s="127">
        <v>1.1000000000000001</v>
      </c>
      <c r="I16" s="126">
        <v>1.08</v>
      </c>
    </row>
    <row r="17" spans="1:9" x14ac:dyDescent="0.2">
      <c r="A17" s="127">
        <v>13</v>
      </c>
      <c r="B17" s="128" t="s">
        <v>449</v>
      </c>
      <c r="C17" s="127">
        <v>0.9</v>
      </c>
      <c r="D17" s="127">
        <v>1.3</v>
      </c>
      <c r="E17" s="127">
        <v>1.1000000000000001</v>
      </c>
      <c r="F17" s="127">
        <v>1.1000000000000001</v>
      </c>
      <c r="G17" s="127">
        <v>1.1000000000000001</v>
      </c>
      <c r="H17" s="127">
        <v>1.1000000000000001</v>
      </c>
      <c r="I17" s="126">
        <v>1.1000000000000001</v>
      </c>
    </row>
    <row r="18" spans="1:9" x14ac:dyDescent="0.2">
      <c r="A18" s="127">
        <v>14</v>
      </c>
      <c r="B18" s="128" t="s">
        <v>450</v>
      </c>
      <c r="C18" s="127">
        <v>2.2000000000000002</v>
      </c>
      <c r="D18" s="127">
        <v>1.8</v>
      </c>
      <c r="E18" s="127">
        <v>2</v>
      </c>
      <c r="F18" s="127">
        <v>2</v>
      </c>
      <c r="G18" s="127">
        <v>1.7</v>
      </c>
      <c r="H18" s="127">
        <v>1.7</v>
      </c>
      <c r="I18" s="126">
        <v>1.93</v>
      </c>
    </row>
    <row r="19" spans="1:9" x14ac:dyDescent="0.2">
      <c r="A19" s="127">
        <v>15</v>
      </c>
      <c r="B19" s="128" t="s">
        <v>451</v>
      </c>
      <c r="C19" s="127">
        <v>0.7</v>
      </c>
      <c r="D19" s="127">
        <v>0.7</v>
      </c>
      <c r="E19" s="127">
        <v>0.9</v>
      </c>
      <c r="F19" s="127">
        <v>1</v>
      </c>
      <c r="G19" s="127">
        <v>1</v>
      </c>
      <c r="H19" s="127">
        <v>1</v>
      </c>
      <c r="I19" s="126">
        <v>0.88</v>
      </c>
    </row>
    <row r="20" spans="1:9" x14ac:dyDescent="0.2">
      <c r="A20" s="127">
        <v>16</v>
      </c>
      <c r="B20" s="128" t="s">
        <v>452</v>
      </c>
      <c r="C20" s="127">
        <v>0.5</v>
      </c>
      <c r="D20" s="127">
        <v>0.5</v>
      </c>
      <c r="E20" s="127">
        <v>0.8</v>
      </c>
      <c r="F20" s="127">
        <v>0.8</v>
      </c>
      <c r="G20" s="127">
        <v>0.9</v>
      </c>
      <c r="H20" s="127">
        <v>0.9</v>
      </c>
      <c r="I20" s="126">
        <v>0.68</v>
      </c>
    </row>
    <row r="21" spans="1:9" x14ac:dyDescent="0.2">
      <c r="A21" s="127">
        <v>17</v>
      </c>
      <c r="B21" s="128" t="s">
        <v>453</v>
      </c>
      <c r="C21" s="127">
        <v>0.9</v>
      </c>
      <c r="D21" s="127">
        <v>0.8</v>
      </c>
      <c r="E21" s="127">
        <v>0.7</v>
      </c>
      <c r="F21" s="127">
        <v>0.9</v>
      </c>
      <c r="G21" s="127">
        <v>0.8</v>
      </c>
      <c r="H21" s="127">
        <v>0.8</v>
      </c>
      <c r="I21" s="126">
        <v>0.82</v>
      </c>
    </row>
    <row r="22" spans="1:9" x14ac:dyDescent="0.2">
      <c r="A22" s="127">
        <v>18</v>
      </c>
      <c r="B22" s="128" t="s">
        <v>454</v>
      </c>
      <c r="C22" s="127">
        <v>1.4</v>
      </c>
      <c r="D22" s="127">
        <v>1.2</v>
      </c>
      <c r="E22" s="127">
        <v>1.3</v>
      </c>
      <c r="F22" s="127">
        <v>1.2</v>
      </c>
      <c r="G22" s="127">
        <v>1.2</v>
      </c>
      <c r="H22" s="127">
        <v>1.2</v>
      </c>
      <c r="I22" s="126">
        <v>1.25</v>
      </c>
    </row>
    <row r="23" spans="1:9" x14ac:dyDescent="0.2">
      <c r="A23" s="127">
        <v>19</v>
      </c>
      <c r="B23" s="128" t="s">
        <v>455</v>
      </c>
      <c r="C23" s="127">
        <v>0.5</v>
      </c>
      <c r="D23" s="127">
        <v>0.5</v>
      </c>
      <c r="E23" s="127">
        <v>0.1</v>
      </c>
      <c r="F23" s="127">
        <v>0.1</v>
      </c>
      <c r="G23" s="127">
        <v>0.1</v>
      </c>
      <c r="H23" s="127">
        <v>0.1</v>
      </c>
      <c r="I23" s="126">
        <v>0.26</v>
      </c>
    </row>
    <row r="24" spans="1:9" x14ac:dyDescent="0.2">
      <c r="A24" s="127">
        <v>20</v>
      </c>
      <c r="B24" s="128" t="s">
        <v>456</v>
      </c>
      <c r="C24" s="127">
        <v>1.5</v>
      </c>
      <c r="D24" s="127">
        <v>1.8</v>
      </c>
      <c r="E24" s="127">
        <v>0.8</v>
      </c>
      <c r="F24" s="127">
        <v>1.4</v>
      </c>
      <c r="G24" s="127">
        <v>1.2</v>
      </c>
      <c r="H24" s="127">
        <v>1.2</v>
      </c>
      <c r="I24" s="126">
        <v>1.33</v>
      </c>
    </row>
    <row r="25" spans="1:9" x14ac:dyDescent="0.2">
      <c r="A25" s="127">
        <v>21</v>
      </c>
      <c r="B25" s="128" t="s">
        <v>457</v>
      </c>
      <c r="C25" s="127">
        <v>1.4</v>
      </c>
      <c r="D25" s="127">
        <v>1.4</v>
      </c>
      <c r="E25" s="127">
        <v>1.1000000000000001</v>
      </c>
      <c r="F25" s="127">
        <v>1.4</v>
      </c>
      <c r="G25" s="127">
        <v>1.2</v>
      </c>
      <c r="H25" s="127">
        <v>1.2</v>
      </c>
      <c r="I25" s="126">
        <v>1.29</v>
      </c>
    </row>
    <row r="26" spans="1:9" x14ac:dyDescent="0.2">
      <c r="A26" s="127">
        <v>22</v>
      </c>
      <c r="B26" s="128" t="s">
        <v>458</v>
      </c>
      <c r="C26" s="127">
        <v>1.3</v>
      </c>
      <c r="D26" s="127">
        <v>1.4</v>
      </c>
      <c r="E26" s="127">
        <v>1.5</v>
      </c>
      <c r="F26" s="127">
        <v>1.3</v>
      </c>
      <c r="G26" s="127">
        <v>1.6</v>
      </c>
      <c r="H26" s="127">
        <v>1.6</v>
      </c>
      <c r="I26" s="126">
        <v>1.42</v>
      </c>
    </row>
    <row r="27" spans="1:9" x14ac:dyDescent="0.2">
      <c r="A27" s="127">
        <v>23</v>
      </c>
      <c r="B27" s="128" t="s">
        <v>459</v>
      </c>
      <c r="C27" s="127">
        <v>0.7</v>
      </c>
      <c r="D27" s="127">
        <v>0.7</v>
      </c>
      <c r="E27" s="127">
        <v>1.1000000000000001</v>
      </c>
      <c r="F27" s="127">
        <v>0.6</v>
      </c>
      <c r="G27" s="127">
        <v>0.5</v>
      </c>
      <c r="H27" s="127">
        <v>0.5</v>
      </c>
      <c r="I27" s="126">
        <v>0.73</v>
      </c>
    </row>
    <row r="28" spans="1:9" x14ac:dyDescent="0.2">
      <c r="A28" s="127">
        <v>24</v>
      </c>
      <c r="B28" s="128" t="s">
        <v>460</v>
      </c>
      <c r="C28" s="127">
        <v>1.4</v>
      </c>
      <c r="D28" s="127">
        <v>1.3</v>
      </c>
      <c r="E28" s="127">
        <v>1.1000000000000001</v>
      </c>
      <c r="F28" s="127">
        <v>1.2</v>
      </c>
      <c r="G28" s="127">
        <v>1.1000000000000001</v>
      </c>
      <c r="H28" s="127">
        <v>1.1000000000000001</v>
      </c>
      <c r="I28" s="126">
        <v>1.21</v>
      </c>
    </row>
    <row r="29" spans="1:9" x14ac:dyDescent="0.2">
      <c r="A29" s="127">
        <v>25</v>
      </c>
      <c r="B29" s="128" t="s">
        <v>461</v>
      </c>
      <c r="C29" s="127">
        <v>1</v>
      </c>
      <c r="D29" s="127">
        <v>1</v>
      </c>
      <c r="E29" s="127">
        <v>0.9</v>
      </c>
      <c r="F29" s="127">
        <v>1.1000000000000001</v>
      </c>
      <c r="G29" s="127">
        <v>1</v>
      </c>
      <c r="H29" s="127">
        <v>1</v>
      </c>
      <c r="I29" s="126">
        <v>0.99</v>
      </c>
    </row>
    <row r="30" spans="1:9" x14ac:dyDescent="0.2">
      <c r="A30" s="159">
        <v>26</v>
      </c>
      <c r="B30" s="160" t="s">
        <v>462</v>
      </c>
      <c r="C30" s="127">
        <v>1.1000000000000001</v>
      </c>
      <c r="D30" s="127">
        <v>0.8</v>
      </c>
      <c r="E30" s="127">
        <v>1.1000000000000001</v>
      </c>
      <c r="F30" s="127">
        <v>1.1000000000000001</v>
      </c>
      <c r="G30" s="127">
        <v>1.5</v>
      </c>
      <c r="H30" s="127">
        <v>1.5</v>
      </c>
      <c r="I30" s="161">
        <v>1.1200000000000001</v>
      </c>
    </row>
    <row r="31" spans="1:9" x14ac:dyDescent="0.2">
      <c r="A31" s="127">
        <v>27</v>
      </c>
      <c r="B31" s="128" t="s">
        <v>463</v>
      </c>
      <c r="C31" s="127">
        <v>1</v>
      </c>
      <c r="D31" s="127">
        <v>0.8</v>
      </c>
      <c r="E31" s="127">
        <v>1</v>
      </c>
      <c r="F31" s="127">
        <v>1.1000000000000001</v>
      </c>
      <c r="G31" s="127">
        <v>0.9</v>
      </c>
      <c r="H31" s="127">
        <v>0.9</v>
      </c>
      <c r="I31" s="126">
        <v>0.95</v>
      </c>
    </row>
    <row r="32" spans="1:9" x14ac:dyDescent="0.2">
      <c r="A32" s="127">
        <v>28</v>
      </c>
      <c r="B32" s="128" t="s">
        <v>464</v>
      </c>
      <c r="C32" s="127">
        <v>0.9</v>
      </c>
      <c r="D32" s="127">
        <v>0.8</v>
      </c>
      <c r="E32" s="127">
        <v>0.8</v>
      </c>
      <c r="F32" s="127">
        <v>0.9</v>
      </c>
      <c r="G32" s="127">
        <v>0.9</v>
      </c>
      <c r="H32" s="127">
        <v>0.9</v>
      </c>
      <c r="I32" s="126">
        <v>0.86</v>
      </c>
    </row>
    <row r="33" spans="1:10" x14ac:dyDescent="0.2">
      <c r="A33" s="127">
        <v>29</v>
      </c>
      <c r="B33" s="128" t="s">
        <v>465</v>
      </c>
      <c r="C33" s="127">
        <v>1.7</v>
      </c>
      <c r="D33" s="127">
        <v>1.5</v>
      </c>
      <c r="E33" s="127">
        <v>1.6</v>
      </c>
      <c r="F33" s="127">
        <v>1.5</v>
      </c>
      <c r="G33" s="127">
        <v>1.5</v>
      </c>
      <c r="H33" s="127">
        <v>1.5</v>
      </c>
      <c r="I33" s="126">
        <v>1.56</v>
      </c>
    </row>
    <row r="34" spans="1:10" x14ac:dyDescent="0.2">
      <c r="A34" s="127">
        <v>30</v>
      </c>
      <c r="B34" s="128" t="s">
        <v>466</v>
      </c>
      <c r="C34" s="127">
        <v>0.6</v>
      </c>
      <c r="D34" s="127">
        <v>0.7</v>
      </c>
      <c r="E34" s="127">
        <v>0.7</v>
      </c>
      <c r="F34" s="127">
        <v>1.3</v>
      </c>
      <c r="G34" s="127">
        <v>1.1000000000000001</v>
      </c>
      <c r="H34" s="127">
        <v>1.1000000000000001</v>
      </c>
      <c r="I34" s="126">
        <v>0.88</v>
      </c>
    </row>
    <row r="35" spans="1:10" x14ac:dyDescent="0.2">
      <c r="A35" s="127">
        <v>31</v>
      </c>
      <c r="B35" s="128" t="s">
        <v>467</v>
      </c>
      <c r="C35" s="127">
        <v>1.5</v>
      </c>
      <c r="D35" s="127">
        <v>1.5</v>
      </c>
      <c r="E35" s="127">
        <v>1.4</v>
      </c>
      <c r="F35" s="127">
        <v>1.3</v>
      </c>
      <c r="G35" s="127">
        <v>1.3</v>
      </c>
      <c r="H35" s="127">
        <v>1.3</v>
      </c>
      <c r="I35" s="126">
        <v>1.43</v>
      </c>
    </row>
    <row r="36" spans="1:10" x14ac:dyDescent="0.2">
      <c r="A36" s="127">
        <v>32</v>
      </c>
      <c r="B36" s="128" t="s">
        <v>468</v>
      </c>
      <c r="C36" s="127">
        <v>0.5</v>
      </c>
      <c r="D36" s="127">
        <v>0.5</v>
      </c>
      <c r="E36" s="127">
        <v>1</v>
      </c>
      <c r="F36" s="127">
        <v>1.1000000000000001</v>
      </c>
      <c r="G36" s="127">
        <v>1.1000000000000001</v>
      </c>
      <c r="H36" s="127">
        <v>1.1000000000000001</v>
      </c>
      <c r="I36" s="126">
        <v>0.83</v>
      </c>
    </row>
    <row r="37" spans="1:10" x14ac:dyDescent="0.2">
      <c r="A37" s="127">
        <v>33</v>
      </c>
      <c r="B37" s="128" t="s">
        <v>469</v>
      </c>
      <c r="C37" s="127">
        <v>2.1</v>
      </c>
      <c r="D37" s="127">
        <v>2.1</v>
      </c>
      <c r="E37" s="127">
        <v>1</v>
      </c>
      <c r="F37" s="127">
        <v>1.4</v>
      </c>
      <c r="G37" s="127">
        <v>1.1000000000000001</v>
      </c>
      <c r="H37" s="127">
        <v>1.1000000000000001</v>
      </c>
      <c r="I37" s="126">
        <v>1.54</v>
      </c>
    </row>
    <row r="38" spans="1:10" x14ac:dyDescent="0.2">
      <c r="A38" s="127">
        <v>34</v>
      </c>
      <c r="B38" s="128" t="s">
        <v>470</v>
      </c>
      <c r="C38" s="127">
        <v>1.3</v>
      </c>
      <c r="D38" s="127">
        <v>1.3</v>
      </c>
      <c r="E38" s="127">
        <v>1.3</v>
      </c>
      <c r="F38" s="127">
        <v>1.3</v>
      </c>
      <c r="G38" s="127">
        <v>1.3</v>
      </c>
      <c r="H38" s="127">
        <v>1.3</v>
      </c>
      <c r="I38" s="126">
        <v>1.25</v>
      </c>
    </row>
    <row r="39" spans="1:10" x14ac:dyDescent="0.2">
      <c r="A39" s="127">
        <v>35</v>
      </c>
      <c r="B39" s="128" t="s">
        <v>471</v>
      </c>
      <c r="C39" s="127">
        <v>1.3</v>
      </c>
      <c r="D39" s="127">
        <v>1.4</v>
      </c>
      <c r="E39" s="127">
        <v>1.9</v>
      </c>
      <c r="F39" s="127">
        <v>1.3</v>
      </c>
      <c r="G39" s="127">
        <v>1.7</v>
      </c>
      <c r="H39" s="127">
        <v>1.7</v>
      </c>
      <c r="I39" s="126">
        <v>1.5</v>
      </c>
    </row>
    <row r="40" spans="1:10" x14ac:dyDescent="0.2">
      <c r="A40" s="127">
        <v>36</v>
      </c>
      <c r="B40" s="128" t="s">
        <v>472</v>
      </c>
      <c r="C40" s="127">
        <v>1.1000000000000001</v>
      </c>
      <c r="D40" s="127">
        <v>1.1000000000000001</v>
      </c>
      <c r="E40" s="127">
        <v>1</v>
      </c>
      <c r="F40" s="127">
        <v>2.9</v>
      </c>
      <c r="G40" s="127">
        <v>2.9</v>
      </c>
      <c r="H40" s="127">
        <v>2.9</v>
      </c>
      <c r="I40" s="126">
        <v>1.8</v>
      </c>
    </row>
    <row r="41" spans="1:10" ht="14.25" x14ac:dyDescent="0.2">
      <c r="A41" s="158"/>
      <c r="B41" s="162"/>
      <c r="C41" s="163"/>
      <c r="D41" s="158"/>
      <c r="E41" s="158"/>
      <c r="F41" s="158"/>
      <c r="G41" s="164"/>
      <c r="H41" s="165"/>
      <c r="I41" s="158"/>
    </row>
    <row r="42" spans="1:10" x14ac:dyDescent="0.2">
      <c r="A42" s="166"/>
      <c r="B42" s="154"/>
      <c r="C42" s="166"/>
      <c r="D42" s="166"/>
      <c r="E42" s="166"/>
      <c r="F42" s="166"/>
      <c r="G42" s="166"/>
      <c r="H42" s="167"/>
      <c r="I42" s="166"/>
    </row>
    <row r="43" spans="1:10" x14ac:dyDescent="0.2">
      <c r="A43" s="168"/>
      <c r="B43" s="169" t="s">
        <v>473</v>
      </c>
      <c r="C43" s="168"/>
      <c r="D43" s="168"/>
      <c r="E43" s="168"/>
      <c r="F43" s="168"/>
      <c r="G43" s="168"/>
      <c r="H43" s="168"/>
      <c r="I43" s="170">
        <v>1.11626817922616</v>
      </c>
      <c r="J43" s="80"/>
    </row>
    <row r="44" spans="1:10" x14ac:dyDescent="0.2">
      <c r="A44" s="167"/>
      <c r="B44" s="169" t="s">
        <v>474</v>
      </c>
      <c r="C44" s="167"/>
      <c r="D44" s="167"/>
      <c r="E44" s="167"/>
      <c r="F44" s="167"/>
      <c r="G44" s="167"/>
      <c r="H44" s="167"/>
      <c r="I44" s="170">
        <v>0.89749931824679419</v>
      </c>
      <c r="J44" s="80"/>
    </row>
    <row r="45" spans="1:10" x14ac:dyDescent="0.2">
      <c r="A45" s="168"/>
      <c r="B45" s="169" t="s">
        <v>475</v>
      </c>
      <c r="C45" s="168"/>
      <c r="D45" s="168"/>
      <c r="E45" s="168"/>
      <c r="F45" s="168"/>
      <c r="G45" s="168"/>
      <c r="H45" s="168"/>
      <c r="I45" s="170">
        <v>1.211841043637808</v>
      </c>
      <c r="J45" s="80"/>
    </row>
    <row r="46" spans="1:10" x14ac:dyDescent="0.2">
      <c r="A46" s="167"/>
      <c r="B46" s="169" t="s">
        <v>476</v>
      </c>
      <c r="C46" s="167"/>
      <c r="D46" s="167"/>
      <c r="E46" s="167"/>
      <c r="F46" s="167"/>
      <c r="G46" s="167"/>
      <c r="H46" s="167"/>
      <c r="I46" s="170">
        <v>1.1528532312613062</v>
      </c>
      <c r="J46" s="80"/>
    </row>
    <row r="47" spans="1:10" x14ac:dyDescent="0.2">
      <c r="A47" s="168"/>
      <c r="B47" s="169" t="s">
        <v>477</v>
      </c>
      <c r="C47" s="168"/>
      <c r="D47" s="168"/>
      <c r="E47" s="168"/>
      <c r="F47" s="168"/>
      <c r="G47" s="168"/>
      <c r="H47" s="168"/>
      <c r="I47" s="170">
        <v>1.2836269963281008</v>
      </c>
      <c r="J47" s="80"/>
    </row>
    <row r="48" spans="1:10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="90" zoomScaleNormal="100" zoomScaleSheetLayoutView="90" workbookViewId="0">
      <selection activeCell="B52" sqref="B52"/>
    </sheetView>
  </sheetViews>
  <sheetFormatPr defaultRowHeight="15.75" x14ac:dyDescent="0.25"/>
  <cols>
    <col min="1" max="1" width="44.85546875" style="70" customWidth="1"/>
    <col min="2" max="2" width="22.140625" style="70" customWidth="1"/>
    <col min="3" max="3" width="20" style="70" customWidth="1"/>
    <col min="4" max="4" width="9.140625" style="70"/>
    <col min="5" max="5" width="23.85546875" style="70" customWidth="1"/>
    <col min="6" max="6" width="26.42578125" style="70" customWidth="1"/>
    <col min="7" max="7" width="16.42578125" style="70" customWidth="1"/>
    <col min="8" max="8" width="14.5703125" style="70" bestFit="1" customWidth="1"/>
    <col min="9" max="9" width="12.28515625" style="70" customWidth="1"/>
    <col min="10" max="11" width="9.140625" style="70" hidden="1" customWidth="1"/>
    <col min="12" max="16384" width="9.140625" style="70"/>
  </cols>
  <sheetData>
    <row r="1" spans="1:6" x14ac:dyDescent="0.25">
      <c r="A1" s="369" t="s">
        <v>600</v>
      </c>
      <c r="B1" s="370"/>
      <c r="C1" s="370"/>
    </row>
    <row r="2" spans="1:6" x14ac:dyDescent="0.25">
      <c r="A2" s="441" t="s">
        <v>575</v>
      </c>
      <c r="B2" s="443" t="s">
        <v>189</v>
      </c>
      <c r="C2" s="445" t="s">
        <v>512</v>
      </c>
      <c r="D2" s="134"/>
      <c r="E2" s="447" t="s">
        <v>189</v>
      </c>
      <c r="F2" s="449" t="s">
        <v>516</v>
      </c>
    </row>
    <row r="3" spans="1:6" x14ac:dyDescent="0.25">
      <c r="A3" s="442"/>
      <c r="B3" s="444"/>
      <c r="C3" s="446"/>
      <c r="D3" s="134"/>
      <c r="E3" s="448"/>
      <c r="F3" s="450"/>
    </row>
    <row r="4" spans="1:6" x14ac:dyDescent="0.25">
      <c r="A4" s="365" t="s">
        <v>583</v>
      </c>
      <c r="B4" s="226">
        <v>40</v>
      </c>
      <c r="C4" s="368">
        <v>40000</v>
      </c>
      <c r="D4" s="134"/>
      <c r="E4" s="226">
        <v>30</v>
      </c>
      <c r="F4" s="368" t="s">
        <v>517</v>
      </c>
    </row>
    <row r="5" spans="1:6" ht="31.5" x14ac:dyDescent="0.25">
      <c r="A5" s="365" t="s">
        <v>513</v>
      </c>
      <c r="B5" s="226">
        <v>250</v>
      </c>
      <c r="C5" s="368">
        <v>1000</v>
      </c>
      <c r="D5" s="134"/>
      <c r="E5" s="226">
        <v>100</v>
      </c>
      <c r="F5" s="368" t="s">
        <v>518</v>
      </c>
    </row>
    <row r="6" spans="1:6" ht="31.5" x14ac:dyDescent="0.25">
      <c r="A6" s="365" t="s">
        <v>514</v>
      </c>
      <c r="B6" s="226">
        <v>5</v>
      </c>
      <c r="C6" s="368">
        <v>33700</v>
      </c>
      <c r="D6" s="134"/>
      <c r="E6" s="226" t="s">
        <v>574</v>
      </c>
      <c r="F6" s="368" t="s">
        <v>519</v>
      </c>
    </row>
    <row r="7" spans="1:6" x14ac:dyDescent="0.25">
      <c r="A7" s="365" t="s">
        <v>515</v>
      </c>
      <c r="B7" s="226">
        <v>0.75</v>
      </c>
      <c r="C7" s="368">
        <v>3500</v>
      </c>
      <c r="D7" s="134"/>
      <c r="E7" s="226">
        <v>0.75</v>
      </c>
      <c r="F7" s="368" t="s">
        <v>520</v>
      </c>
    </row>
    <row r="9" spans="1:6" x14ac:dyDescent="0.25">
      <c r="A9" s="440" t="s">
        <v>587</v>
      </c>
      <c r="B9" s="440"/>
      <c r="C9" s="440"/>
    </row>
    <row r="10" spans="1:6" x14ac:dyDescent="0.25">
      <c r="A10" s="385"/>
      <c r="B10" s="385" t="s">
        <v>588</v>
      </c>
      <c r="C10" s="385" t="s">
        <v>589</v>
      </c>
    </row>
    <row r="11" spans="1:6" hidden="1" x14ac:dyDescent="0.25">
      <c r="A11" s="437" t="s">
        <v>590</v>
      </c>
      <c r="B11" s="438"/>
      <c r="C11" s="439"/>
    </row>
    <row r="12" spans="1:6" hidden="1" x14ac:dyDescent="0.25">
      <c r="A12" s="385" t="s">
        <v>556</v>
      </c>
      <c r="B12" s="385">
        <v>1</v>
      </c>
      <c r="C12" s="385">
        <v>150</v>
      </c>
    </row>
    <row r="13" spans="1:6" hidden="1" x14ac:dyDescent="0.25">
      <c r="A13" s="385" t="s">
        <v>557</v>
      </c>
      <c r="B13" s="385">
        <v>2</v>
      </c>
      <c r="C13" s="385">
        <v>200</v>
      </c>
    </row>
    <row r="14" spans="1:6" hidden="1" x14ac:dyDescent="0.25">
      <c r="A14" s="385" t="s">
        <v>74</v>
      </c>
      <c r="B14" s="385">
        <v>3</v>
      </c>
      <c r="C14" s="385">
        <v>300</v>
      </c>
    </row>
    <row r="15" spans="1:6" hidden="1" x14ac:dyDescent="0.25">
      <c r="A15" s="385" t="s">
        <v>558</v>
      </c>
      <c r="B15" s="385">
        <v>2</v>
      </c>
      <c r="C15" s="385">
        <v>200</v>
      </c>
    </row>
    <row r="16" spans="1:6" hidden="1" x14ac:dyDescent="0.25">
      <c r="A16" s="385" t="s">
        <v>591</v>
      </c>
      <c r="B16" s="385">
        <f>SUM(B12:B15)</f>
        <v>8</v>
      </c>
      <c r="C16" s="385">
        <f>C12*B12+C13*B13+C14*B14+C15*B15</f>
        <v>1850</v>
      </c>
    </row>
    <row r="17" spans="1:3" hidden="1" x14ac:dyDescent="0.25">
      <c r="A17" s="437" t="s">
        <v>592</v>
      </c>
      <c r="B17" s="438"/>
      <c r="C17" s="439"/>
    </row>
    <row r="18" spans="1:3" hidden="1" x14ac:dyDescent="0.25">
      <c r="A18" s="385" t="s">
        <v>556</v>
      </c>
      <c r="B18" s="385">
        <v>1</v>
      </c>
      <c r="C18" s="385">
        <v>150</v>
      </c>
    </row>
    <row r="19" spans="1:3" hidden="1" x14ac:dyDescent="0.25">
      <c r="A19" s="385" t="s">
        <v>557</v>
      </c>
      <c r="B19" s="385">
        <v>2</v>
      </c>
      <c r="C19" s="385">
        <v>300</v>
      </c>
    </row>
    <row r="20" spans="1:3" hidden="1" x14ac:dyDescent="0.25">
      <c r="A20" s="385" t="s">
        <v>74</v>
      </c>
      <c r="B20" s="385">
        <v>2</v>
      </c>
      <c r="C20" s="385">
        <v>350</v>
      </c>
    </row>
    <row r="21" spans="1:3" hidden="1" x14ac:dyDescent="0.25">
      <c r="A21" s="385" t="s">
        <v>558</v>
      </c>
      <c r="B21" s="385">
        <v>1</v>
      </c>
      <c r="C21" s="385">
        <v>250</v>
      </c>
    </row>
    <row r="22" spans="1:3" hidden="1" x14ac:dyDescent="0.25">
      <c r="A22" s="385" t="s">
        <v>591</v>
      </c>
      <c r="B22" s="385">
        <f>SUM(B18:B21)</f>
        <v>6</v>
      </c>
      <c r="C22" s="385">
        <f>C18*B18+C19*B19+C20*B20+C21*B21</f>
        <v>1700</v>
      </c>
    </row>
    <row r="23" spans="1:3" hidden="1" x14ac:dyDescent="0.25">
      <c r="A23" s="437" t="s">
        <v>593</v>
      </c>
      <c r="B23" s="438"/>
      <c r="C23" s="439"/>
    </row>
    <row r="24" spans="1:3" hidden="1" x14ac:dyDescent="0.25">
      <c r="A24" s="385" t="s">
        <v>556</v>
      </c>
      <c r="B24" s="385">
        <v>1</v>
      </c>
      <c r="C24" s="385">
        <v>250</v>
      </c>
    </row>
    <row r="25" spans="1:3" hidden="1" x14ac:dyDescent="0.25">
      <c r="A25" s="385" t="s">
        <v>557</v>
      </c>
      <c r="B25" s="385">
        <v>2</v>
      </c>
      <c r="C25" s="385">
        <v>300</v>
      </c>
    </row>
    <row r="26" spans="1:3" hidden="1" x14ac:dyDescent="0.25">
      <c r="A26" s="385" t="s">
        <v>74</v>
      </c>
      <c r="B26" s="385">
        <v>2</v>
      </c>
      <c r="C26" s="385">
        <v>350</v>
      </c>
    </row>
    <row r="27" spans="1:3" hidden="1" x14ac:dyDescent="0.25">
      <c r="A27" s="385" t="s">
        <v>558</v>
      </c>
      <c r="B27" s="385">
        <v>1</v>
      </c>
      <c r="C27" s="385">
        <v>250</v>
      </c>
    </row>
    <row r="28" spans="1:3" hidden="1" x14ac:dyDescent="0.25">
      <c r="A28" s="385" t="s">
        <v>591</v>
      </c>
      <c r="B28" s="385">
        <f>SUM(B24:B27)</f>
        <v>6</v>
      </c>
      <c r="C28" s="385">
        <f>C24*B24+C25*B25+C26*B26+C27*B27</f>
        <v>1800</v>
      </c>
    </row>
    <row r="29" spans="1:3" hidden="1" x14ac:dyDescent="0.25">
      <c r="A29" s="437" t="s">
        <v>594</v>
      </c>
      <c r="B29" s="438"/>
      <c r="C29" s="439"/>
    </row>
    <row r="30" spans="1:3" hidden="1" x14ac:dyDescent="0.25">
      <c r="A30" s="385" t="s">
        <v>556</v>
      </c>
      <c r="B30" s="385">
        <v>1</v>
      </c>
      <c r="C30" s="385">
        <v>250</v>
      </c>
    </row>
    <row r="31" spans="1:3" hidden="1" x14ac:dyDescent="0.25">
      <c r="A31" s="385" t="s">
        <v>557</v>
      </c>
      <c r="B31" s="385">
        <v>1</v>
      </c>
      <c r="C31" s="385">
        <v>300</v>
      </c>
    </row>
    <row r="32" spans="1:3" hidden="1" x14ac:dyDescent="0.25">
      <c r="A32" s="385" t="s">
        <v>74</v>
      </c>
      <c r="B32" s="385">
        <v>1</v>
      </c>
      <c r="C32" s="385">
        <v>350</v>
      </c>
    </row>
    <row r="33" spans="1:3" hidden="1" x14ac:dyDescent="0.25">
      <c r="A33" s="385" t="s">
        <v>558</v>
      </c>
      <c r="B33" s="385">
        <v>1</v>
      </c>
      <c r="C33" s="385">
        <v>250</v>
      </c>
    </row>
    <row r="34" spans="1:3" hidden="1" x14ac:dyDescent="0.25">
      <c r="A34" s="385" t="s">
        <v>591</v>
      </c>
      <c r="B34" s="385">
        <f>SUM(B30:B33)</f>
        <v>4</v>
      </c>
      <c r="C34" s="385">
        <f>C30*B30+C31*B31+C32*B32+C33*B33</f>
        <v>1150</v>
      </c>
    </row>
    <row r="35" spans="1:3" hidden="1" x14ac:dyDescent="0.25">
      <c r="A35" s="437" t="s">
        <v>595</v>
      </c>
      <c r="B35" s="438"/>
      <c r="C35" s="439"/>
    </row>
    <row r="36" spans="1:3" x14ac:dyDescent="0.25">
      <c r="A36" s="385" t="s">
        <v>556</v>
      </c>
      <c r="B36" s="385">
        <v>1</v>
      </c>
      <c r="C36" s="385">
        <v>250</v>
      </c>
    </row>
    <row r="37" spans="1:3" x14ac:dyDescent="0.25">
      <c r="A37" s="385" t="s">
        <v>557</v>
      </c>
      <c r="B37" s="385">
        <v>1</v>
      </c>
      <c r="C37" s="385">
        <v>300</v>
      </c>
    </row>
    <row r="38" spans="1:3" x14ac:dyDescent="0.25">
      <c r="A38" s="385" t="s">
        <v>74</v>
      </c>
      <c r="B38" s="385">
        <v>2</v>
      </c>
      <c r="C38" s="385">
        <v>350</v>
      </c>
    </row>
    <row r="39" spans="1:3" x14ac:dyDescent="0.25">
      <c r="A39" s="385" t="s">
        <v>558</v>
      </c>
      <c r="B39" s="385">
        <v>1</v>
      </c>
      <c r="C39" s="385">
        <v>250</v>
      </c>
    </row>
    <row r="40" spans="1:3" x14ac:dyDescent="0.25">
      <c r="A40" s="385" t="s">
        <v>591</v>
      </c>
      <c r="B40" s="385">
        <f>SUM(B36:B39)</f>
        <v>5</v>
      </c>
      <c r="C40" s="385">
        <f>C36*B36+C37*B37+C38*B38+C39*B39</f>
        <v>1500</v>
      </c>
    </row>
  </sheetData>
  <mergeCells count="11">
    <mergeCell ref="A2:A3"/>
    <mergeCell ref="B2:B3"/>
    <mergeCell ref="C2:C3"/>
    <mergeCell ref="E2:E3"/>
    <mergeCell ref="F2:F3"/>
    <mergeCell ref="A35:C35"/>
    <mergeCell ref="A9:C9"/>
    <mergeCell ref="A11:C11"/>
    <mergeCell ref="A17:C17"/>
    <mergeCell ref="A23:C23"/>
    <mergeCell ref="A29:C29"/>
  </mergeCells>
  <pageMargins left="0.7" right="0.7" top="0.75" bottom="0.75" header="0.3" footer="0.3"/>
  <pageSetup paperSize="9" orientation="portrait" verticalDpi="0" r:id="rId1"/>
  <headerFooter>
    <oddFooter>&amp;LОтдел СЭР села ЯНИИСХ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view="pageBreakPreview" topLeftCell="A103" zoomScale="80" zoomScaleNormal="100" zoomScaleSheetLayoutView="80" workbookViewId="0">
      <selection activeCell="P113" sqref="P113"/>
    </sheetView>
  </sheetViews>
  <sheetFormatPr defaultRowHeight="15.75" x14ac:dyDescent="0.25"/>
  <cols>
    <col min="1" max="1" width="35" style="71" customWidth="1"/>
    <col min="2" max="2" width="28" style="72" customWidth="1"/>
    <col min="3" max="3" width="17.140625" style="70" customWidth="1"/>
    <col min="4" max="4" width="16.42578125" style="70" customWidth="1"/>
    <col min="5" max="5" width="13.42578125" style="70" customWidth="1"/>
    <col min="6" max="6" width="16.42578125" style="70" customWidth="1"/>
    <col min="7" max="7" width="12.42578125" style="70" customWidth="1"/>
    <col min="8" max="8" width="13.140625" style="70" customWidth="1"/>
    <col min="9" max="10" width="9.140625" style="70"/>
    <col min="11" max="11" width="0" style="70" hidden="1" customWidth="1"/>
    <col min="12" max="16384" width="9.140625" style="70"/>
  </cols>
  <sheetData>
    <row r="1" spans="1:11" x14ac:dyDescent="0.25">
      <c r="A1" s="457" t="s">
        <v>601</v>
      </c>
      <c r="B1" s="457"/>
      <c r="C1" s="457"/>
      <c r="D1" s="457"/>
      <c r="E1" s="457"/>
      <c r="F1" s="457"/>
      <c r="G1" s="457"/>
      <c r="H1" s="457"/>
    </row>
    <row r="2" spans="1:11" x14ac:dyDescent="0.25">
      <c r="A2" s="194" t="s">
        <v>582</v>
      </c>
      <c r="B2" s="349"/>
      <c r="C2" s="229"/>
      <c r="D2" s="229"/>
      <c r="E2" s="229"/>
      <c r="F2" s="229"/>
    </row>
    <row r="3" spans="1:11" ht="31.5" x14ac:dyDescent="0.25">
      <c r="A3" s="350" t="s">
        <v>504</v>
      </c>
      <c r="B3" s="351">
        <f>B4*B9</f>
        <v>40605</v>
      </c>
      <c r="C3" s="351" t="s">
        <v>505</v>
      </c>
      <c r="D3" s="229"/>
      <c r="E3" s="229"/>
      <c r="F3" s="229"/>
    </row>
    <row r="4" spans="1:11" ht="63" x14ac:dyDescent="0.25">
      <c r="A4" s="350" t="s">
        <v>672</v>
      </c>
      <c r="B4" s="352">
        <v>16242</v>
      </c>
      <c r="C4" s="351" t="s">
        <v>505</v>
      </c>
      <c r="D4" s="229"/>
      <c r="E4" s="229"/>
      <c r="F4" s="229"/>
    </row>
    <row r="5" spans="1:11" ht="31.5" x14ac:dyDescent="0.25">
      <c r="A5" s="353" t="s">
        <v>506</v>
      </c>
      <c r="B5" s="354">
        <v>1973</v>
      </c>
      <c r="C5" s="355" t="s">
        <v>507</v>
      </c>
      <c r="D5" s="229"/>
      <c r="E5" s="229"/>
      <c r="F5" s="229"/>
    </row>
    <row r="6" spans="1:11" x14ac:dyDescent="0.25">
      <c r="A6" s="353" t="s">
        <v>508</v>
      </c>
      <c r="B6" s="356">
        <f>B5/12</f>
        <v>164.41666666666666</v>
      </c>
      <c r="C6" s="355" t="s">
        <v>507</v>
      </c>
      <c r="D6" s="229"/>
      <c r="E6" s="229"/>
      <c r="F6" s="229"/>
    </row>
    <row r="7" spans="1:11" ht="47.25" x14ac:dyDescent="0.25">
      <c r="A7" s="350" t="s">
        <v>673</v>
      </c>
      <c r="B7" s="357">
        <v>247</v>
      </c>
      <c r="C7" s="351" t="s">
        <v>509</v>
      </c>
      <c r="D7" s="229"/>
      <c r="E7" s="229"/>
      <c r="F7" s="229"/>
    </row>
    <row r="8" spans="1:11" ht="31.5" x14ac:dyDescent="0.25">
      <c r="A8" s="353" t="s">
        <v>510</v>
      </c>
      <c r="B8" s="358">
        <f>B7/12</f>
        <v>20.583333333333332</v>
      </c>
      <c r="C8" s="355" t="s">
        <v>509</v>
      </c>
      <c r="D8" s="229"/>
      <c r="E8" s="229"/>
      <c r="F8" s="229"/>
    </row>
    <row r="9" spans="1:11" ht="31.5" x14ac:dyDescent="0.25">
      <c r="A9" s="353" t="s">
        <v>18</v>
      </c>
      <c r="B9" s="348">
        <v>2.5</v>
      </c>
      <c r="C9" s="347"/>
      <c r="D9" s="229"/>
      <c r="E9" s="229"/>
      <c r="F9" s="229"/>
    </row>
    <row r="10" spans="1:11" x14ac:dyDescent="0.25">
      <c r="A10" s="359" t="s">
        <v>511</v>
      </c>
      <c r="B10" s="426">
        <f>B6/B8</f>
        <v>7.9878542510121457</v>
      </c>
      <c r="C10" s="347"/>
      <c r="D10" s="229"/>
      <c r="E10" s="229"/>
      <c r="F10" s="229"/>
    </row>
    <row r="11" spans="1:11" x14ac:dyDescent="0.25">
      <c r="A11" s="391"/>
      <c r="B11" s="392"/>
      <c r="C11" s="393"/>
      <c r="D11" s="390"/>
      <c r="E11" s="390"/>
      <c r="F11" s="390"/>
    </row>
    <row r="12" spans="1:11" x14ac:dyDescent="0.25">
      <c r="A12" s="458" t="s">
        <v>155</v>
      </c>
      <c r="B12" s="458"/>
      <c r="C12" s="458"/>
      <c r="D12" s="458"/>
      <c r="E12" s="458"/>
      <c r="F12" s="458"/>
      <c r="G12" s="458"/>
      <c r="H12" s="458"/>
    </row>
    <row r="13" spans="1:11" s="134" customFormat="1" x14ac:dyDescent="0.2">
      <c r="A13" s="456" t="s">
        <v>156</v>
      </c>
      <c r="B13" s="456" t="s">
        <v>157</v>
      </c>
      <c r="C13" s="456" t="s">
        <v>158</v>
      </c>
      <c r="D13" s="456"/>
      <c r="E13" s="456"/>
      <c r="F13" s="456"/>
      <c r="G13" s="456"/>
      <c r="H13" s="456"/>
      <c r="J13" s="195"/>
    </row>
    <row r="14" spans="1:11" s="134" customFormat="1" x14ac:dyDescent="0.2">
      <c r="A14" s="456"/>
      <c r="B14" s="456"/>
      <c r="C14" s="389">
        <v>1</v>
      </c>
      <c r="D14" s="389">
        <v>2</v>
      </c>
      <c r="E14" s="389">
        <v>3</v>
      </c>
      <c r="F14" s="389">
        <v>4</v>
      </c>
      <c r="G14" s="389">
        <v>5</v>
      </c>
      <c r="H14" s="389">
        <v>6</v>
      </c>
    </row>
    <row r="15" spans="1:11" ht="17.25" customHeight="1" x14ac:dyDescent="0.25">
      <c r="A15" s="451" t="s">
        <v>402</v>
      </c>
      <c r="B15" s="67" t="s">
        <v>159</v>
      </c>
      <c r="C15" s="135">
        <v>1.18</v>
      </c>
      <c r="D15" s="135">
        <v>1.28</v>
      </c>
      <c r="E15" s="135">
        <v>1.4</v>
      </c>
      <c r="F15" s="135">
        <v>1.58</v>
      </c>
      <c r="G15" s="135">
        <v>1.82</v>
      </c>
      <c r="H15" s="135">
        <v>2.12</v>
      </c>
      <c r="K15" s="68">
        <v>666</v>
      </c>
    </row>
    <row r="16" spans="1:11" ht="16.5" customHeight="1" x14ac:dyDescent="0.25">
      <c r="A16" s="451"/>
      <c r="B16" s="69" t="s">
        <v>160</v>
      </c>
      <c r="C16" s="135">
        <f>$B$3/$B$9*C15</f>
        <v>19165.559999999998</v>
      </c>
      <c r="D16" s="135">
        <f>$B$3/$B$9*D15</f>
        <v>20789.760000000002</v>
      </c>
      <c r="E16" s="135">
        <f t="shared" ref="E16:H16" si="0">$B$3/$B$9*E15</f>
        <v>22738.799999999999</v>
      </c>
      <c r="F16" s="135">
        <f t="shared" si="0"/>
        <v>25662.36</v>
      </c>
      <c r="G16" s="135">
        <f t="shared" si="0"/>
        <v>29560.440000000002</v>
      </c>
      <c r="H16" s="135">
        <f t="shared" si="0"/>
        <v>34433.040000000001</v>
      </c>
    </row>
    <row r="17" spans="1:8" ht="33" customHeight="1" x14ac:dyDescent="0.25">
      <c r="A17" s="451"/>
      <c r="B17" s="69" t="s">
        <v>161</v>
      </c>
      <c r="C17" s="135">
        <f>C16/$B$8</f>
        <v>931.12032388663965</v>
      </c>
      <c r="D17" s="135">
        <f>D16/$B$8</f>
        <v>1010.0288259109313</v>
      </c>
      <c r="E17" s="135">
        <f t="shared" ref="E17:H17" si="1">E16/$B$8</f>
        <v>1104.719028340081</v>
      </c>
      <c r="F17" s="135">
        <f t="shared" si="1"/>
        <v>1246.7543319838057</v>
      </c>
      <c r="G17" s="135">
        <f t="shared" si="1"/>
        <v>1436.1347368421054</v>
      </c>
      <c r="H17" s="135">
        <f t="shared" si="1"/>
        <v>1672.8602429149798</v>
      </c>
    </row>
    <row r="18" spans="1:8" x14ac:dyDescent="0.25">
      <c r="A18" s="451"/>
      <c r="B18" s="69" t="s">
        <v>162</v>
      </c>
      <c r="C18" s="136">
        <f>C16/$B$6</f>
        <v>116.56701469842878</v>
      </c>
      <c r="D18" s="136">
        <f t="shared" ref="D18:G18" si="2">D16/$B$6</f>
        <v>126.44557526609226</v>
      </c>
      <c r="E18" s="136">
        <f t="shared" si="2"/>
        <v>138.29984794728838</v>
      </c>
      <c r="F18" s="136">
        <f t="shared" si="2"/>
        <v>156.08125696908263</v>
      </c>
      <c r="G18" s="136">
        <f t="shared" si="2"/>
        <v>179.78980233147493</v>
      </c>
      <c r="H18" s="136">
        <f>H16/$B$6</f>
        <v>209.42548403446528</v>
      </c>
    </row>
    <row r="19" spans="1:8" ht="15.75" customHeight="1" x14ac:dyDescent="0.25">
      <c r="A19" s="452" t="s">
        <v>400</v>
      </c>
      <c r="B19" s="67" t="s">
        <v>159</v>
      </c>
      <c r="C19" s="135">
        <v>1.3</v>
      </c>
      <c r="D19" s="135">
        <v>1.4</v>
      </c>
      <c r="E19" s="135">
        <v>1.56</v>
      </c>
      <c r="F19" s="135">
        <v>1.76</v>
      </c>
      <c r="G19" s="135">
        <v>2</v>
      </c>
      <c r="H19" s="135">
        <v>2.34</v>
      </c>
    </row>
    <row r="20" spans="1:8" x14ac:dyDescent="0.25">
      <c r="A20" s="453"/>
      <c r="B20" s="69" t="s">
        <v>160</v>
      </c>
      <c r="C20" s="135">
        <f>$B$3/$B$9*C19</f>
        <v>21114.600000000002</v>
      </c>
      <c r="D20" s="135">
        <f t="shared" ref="D20:H20" si="3">$B$3/$B$9*D19</f>
        <v>22738.799999999999</v>
      </c>
      <c r="E20" s="135">
        <f t="shared" si="3"/>
        <v>25337.52</v>
      </c>
      <c r="F20" s="135">
        <f t="shared" si="3"/>
        <v>28585.920000000002</v>
      </c>
      <c r="G20" s="135">
        <f t="shared" si="3"/>
        <v>32484</v>
      </c>
      <c r="H20" s="135">
        <f t="shared" si="3"/>
        <v>38006.28</v>
      </c>
    </row>
    <row r="21" spans="1:8" ht="31.5" x14ac:dyDescent="0.25">
      <c r="A21" s="453"/>
      <c r="B21" s="69" t="s">
        <v>161</v>
      </c>
      <c r="C21" s="135">
        <f>C20/$B$8</f>
        <v>1025.8105263157897</v>
      </c>
      <c r="D21" s="135">
        <f t="shared" ref="D21:H21" si="4">D20/$B$8</f>
        <v>1104.719028340081</v>
      </c>
      <c r="E21" s="135">
        <f t="shared" si="4"/>
        <v>1230.9726315789474</v>
      </c>
      <c r="F21" s="135">
        <f t="shared" si="4"/>
        <v>1388.7896356275305</v>
      </c>
      <c r="G21" s="135">
        <f t="shared" si="4"/>
        <v>1578.17004048583</v>
      </c>
      <c r="H21" s="135">
        <f t="shared" si="4"/>
        <v>1846.4589473684211</v>
      </c>
    </row>
    <row r="22" spans="1:8" x14ac:dyDescent="0.25">
      <c r="A22" s="454"/>
      <c r="B22" s="69" t="s">
        <v>162</v>
      </c>
      <c r="C22" s="136">
        <f>C20/$B$6</f>
        <v>128.42128737962497</v>
      </c>
      <c r="D22" s="136">
        <f t="shared" ref="D22:H22" si="5">D20/$B$6</f>
        <v>138.29984794728838</v>
      </c>
      <c r="E22" s="136">
        <f t="shared" si="5"/>
        <v>154.10554485554994</v>
      </c>
      <c r="F22" s="136">
        <f t="shared" si="5"/>
        <v>173.86266599087685</v>
      </c>
      <c r="G22" s="136">
        <f t="shared" si="5"/>
        <v>197.57121135326915</v>
      </c>
      <c r="H22" s="136">
        <f t="shared" si="5"/>
        <v>231.15831728332489</v>
      </c>
    </row>
    <row r="23" spans="1:8" ht="15.75" customHeight="1" x14ac:dyDescent="0.25">
      <c r="A23" s="452" t="s">
        <v>401</v>
      </c>
      <c r="B23" s="67" t="s">
        <v>159</v>
      </c>
      <c r="C23" s="135">
        <v>1.44</v>
      </c>
      <c r="D23" s="135">
        <v>1.56</v>
      </c>
      <c r="E23" s="135">
        <v>1.72</v>
      </c>
      <c r="F23" s="135">
        <v>1.94</v>
      </c>
      <c r="G23" s="135">
        <v>2.2200000000000002</v>
      </c>
      <c r="H23" s="135">
        <v>2.58</v>
      </c>
    </row>
    <row r="24" spans="1:8" x14ac:dyDescent="0.25">
      <c r="A24" s="453"/>
      <c r="B24" s="69" t="s">
        <v>160</v>
      </c>
      <c r="C24" s="135">
        <f>$B$3/$B$9*C23</f>
        <v>23388.48</v>
      </c>
      <c r="D24" s="135">
        <f t="shared" ref="D24:H24" si="6">$B$3/$B$9*D23</f>
        <v>25337.52</v>
      </c>
      <c r="E24" s="135">
        <f t="shared" si="6"/>
        <v>27936.239999999998</v>
      </c>
      <c r="F24" s="135">
        <f t="shared" si="6"/>
        <v>31509.48</v>
      </c>
      <c r="G24" s="135">
        <f t="shared" si="6"/>
        <v>36057.240000000005</v>
      </c>
      <c r="H24" s="135">
        <f t="shared" si="6"/>
        <v>41904.36</v>
      </c>
    </row>
    <row r="25" spans="1:8" ht="31.5" x14ac:dyDescent="0.25">
      <c r="A25" s="453"/>
      <c r="B25" s="69" t="s">
        <v>161</v>
      </c>
      <c r="C25" s="135">
        <f>C24/$B$8</f>
        <v>1136.2824291497975</v>
      </c>
      <c r="D25" s="135">
        <f t="shared" ref="D25:H25" si="7">D24/$B$8</f>
        <v>1230.9726315789474</v>
      </c>
      <c r="E25" s="135">
        <f t="shared" si="7"/>
        <v>1357.2262348178137</v>
      </c>
      <c r="F25" s="135">
        <f t="shared" si="7"/>
        <v>1530.8249392712551</v>
      </c>
      <c r="G25" s="135">
        <f t="shared" si="7"/>
        <v>1751.7687449392715</v>
      </c>
      <c r="H25" s="135">
        <f t="shared" si="7"/>
        <v>2035.8393522267208</v>
      </c>
    </row>
    <row r="26" spans="1:8" x14ac:dyDescent="0.25">
      <c r="A26" s="454"/>
      <c r="B26" s="69" t="s">
        <v>162</v>
      </c>
      <c r="C26" s="136">
        <f>C24/$B$6</f>
        <v>142.25127217435377</v>
      </c>
      <c r="D26" s="136">
        <f t="shared" ref="D26:H26" si="8">D24/$B$6</f>
        <v>154.10554485554994</v>
      </c>
      <c r="E26" s="136">
        <f t="shared" si="8"/>
        <v>169.91124176381146</v>
      </c>
      <c r="F26" s="136">
        <f t="shared" si="8"/>
        <v>191.64407501267107</v>
      </c>
      <c r="G26" s="136">
        <f t="shared" si="8"/>
        <v>219.30404460212878</v>
      </c>
      <c r="H26" s="136">
        <f t="shared" si="8"/>
        <v>254.86686264571719</v>
      </c>
    </row>
    <row r="27" spans="1:8" ht="16.5" customHeight="1" x14ac:dyDescent="0.25">
      <c r="A27" s="452" t="s">
        <v>403</v>
      </c>
      <c r="B27" s="67" t="s">
        <v>159</v>
      </c>
      <c r="C27" s="135">
        <v>1.0269999999999999</v>
      </c>
      <c r="D27" s="135">
        <v>1.1180000000000001</v>
      </c>
      <c r="E27" s="135">
        <v>1.2150000000000001</v>
      </c>
      <c r="F27" s="135">
        <v>1.343</v>
      </c>
      <c r="G27" s="135">
        <v>1.512</v>
      </c>
      <c r="H27" s="135">
        <v>1.7609999999999999</v>
      </c>
    </row>
    <row r="28" spans="1:8" x14ac:dyDescent="0.25">
      <c r="A28" s="453"/>
      <c r="B28" s="69" t="s">
        <v>160</v>
      </c>
      <c r="C28" s="135">
        <f>$B$3/$B$9*C27</f>
        <v>16680.534</v>
      </c>
      <c r="D28" s="135">
        <f t="shared" ref="D28:H28" si="9">$B$3/$B$9*D27</f>
        <v>18158.556</v>
      </c>
      <c r="E28" s="135">
        <f t="shared" si="9"/>
        <v>19734.030000000002</v>
      </c>
      <c r="F28" s="135">
        <f t="shared" si="9"/>
        <v>21813.006000000001</v>
      </c>
      <c r="G28" s="135">
        <f t="shared" si="9"/>
        <v>24557.903999999999</v>
      </c>
      <c r="H28" s="135">
        <f t="shared" si="9"/>
        <v>28602.161999999997</v>
      </c>
    </row>
    <row r="29" spans="1:8" ht="20.25" customHeight="1" x14ac:dyDescent="0.25">
      <c r="A29" s="453"/>
      <c r="B29" s="69" t="s">
        <v>161</v>
      </c>
      <c r="C29" s="135">
        <f>C28/$B$8</f>
        <v>810.39031578947368</v>
      </c>
      <c r="D29" s="135">
        <f t="shared" ref="D29:H29" si="10">D28/$B$8</f>
        <v>882.19705263157903</v>
      </c>
      <c r="E29" s="135">
        <f t="shared" si="10"/>
        <v>958.73829959514183</v>
      </c>
      <c r="F29" s="135">
        <f t="shared" si="10"/>
        <v>1059.7411821862349</v>
      </c>
      <c r="G29" s="135">
        <f t="shared" si="10"/>
        <v>1193.0965506072876</v>
      </c>
      <c r="H29" s="135">
        <f t="shared" si="10"/>
        <v>1389.5787206477733</v>
      </c>
    </row>
    <row r="30" spans="1:8" x14ac:dyDescent="0.25">
      <c r="A30" s="453"/>
      <c r="B30" s="133" t="s">
        <v>162</v>
      </c>
      <c r="C30" s="136">
        <f>C28/$B$6</f>
        <v>101.4528170299037</v>
      </c>
      <c r="D30" s="136">
        <f t="shared" ref="D30:H30" si="11">D28/$B$6</f>
        <v>110.44230714647746</v>
      </c>
      <c r="E30" s="136">
        <f t="shared" si="11"/>
        <v>120.02451089711101</v>
      </c>
      <c r="F30" s="136">
        <f t="shared" si="11"/>
        <v>132.66906842372023</v>
      </c>
      <c r="G30" s="136">
        <f t="shared" si="11"/>
        <v>149.36383578307147</v>
      </c>
      <c r="H30" s="136">
        <f t="shared" si="11"/>
        <v>173.96145159655347</v>
      </c>
    </row>
    <row r="31" spans="1:8" ht="16.5" customHeight="1" x14ac:dyDescent="0.25">
      <c r="A31" s="452" t="s">
        <v>404</v>
      </c>
      <c r="B31" s="67" t="s">
        <v>159</v>
      </c>
      <c r="C31" s="135">
        <v>1</v>
      </c>
      <c r="D31" s="135">
        <v>1.07</v>
      </c>
      <c r="E31" s="135">
        <v>1.1499999999999999</v>
      </c>
      <c r="F31" s="135">
        <v>1.25</v>
      </c>
      <c r="G31" s="135">
        <v>1.38</v>
      </c>
      <c r="H31" s="135">
        <v>1.58</v>
      </c>
    </row>
    <row r="32" spans="1:8" x14ac:dyDescent="0.25">
      <c r="A32" s="453"/>
      <c r="B32" s="69" t="s">
        <v>160</v>
      </c>
      <c r="C32" s="135">
        <f>$B$3/$B$9*C31</f>
        <v>16242</v>
      </c>
      <c r="D32" s="135">
        <f t="shared" ref="D32:H32" si="12">$B$3/$B$9*D31</f>
        <v>17378.940000000002</v>
      </c>
      <c r="E32" s="135">
        <f t="shared" si="12"/>
        <v>18678.3</v>
      </c>
      <c r="F32" s="135">
        <f t="shared" si="12"/>
        <v>20302.5</v>
      </c>
      <c r="G32" s="135">
        <f t="shared" si="12"/>
        <v>22413.96</v>
      </c>
      <c r="H32" s="135">
        <f t="shared" si="12"/>
        <v>25662.36</v>
      </c>
    </row>
    <row r="33" spans="1:8" ht="31.5" x14ac:dyDescent="0.25">
      <c r="A33" s="453"/>
      <c r="B33" s="69" t="s">
        <v>161</v>
      </c>
      <c r="C33" s="135">
        <f>C32/$B$8</f>
        <v>789.08502024291499</v>
      </c>
      <c r="D33" s="135">
        <f t="shared" ref="D33:H33" si="13">D32/$B$8</f>
        <v>844.32097165991922</v>
      </c>
      <c r="E33" s="135">
        <f t="shared" si="13"/>
        <v>907.44777327935219</v>
      </c>
      <c r="F33" s="135">
        <f t="shared" si="13"/>
        <v>986.35627530364377</v>
      </c>
      <c r="G33" s="135">
        <f t="shared" si="13"/>
        <v>1088.9373279352226</v>
      </c>
      <c r="H33" s="135">
        <f t="shared" si="13"/>
        <v>1246.7543319838057</v>
      </c>
    </row>
    <row r="34" spans="1:8" x14ac:dyDescent="0.25">
      <c r="A34" s="454"/>
      <c r="B34" s="227" t="s">
        <v>162</v>
      </c>
      <c r="C34" s="136">
        <f>C32/$B$6</f>
        <v>98.785605676634574</v>
      </c>
      <c r="D34" s="136">
        <f t="shared" ref="D34:H34" si="14">D32/$B$6</f>
        <v>105.700598073999</v>
      </c>
      <c r="E34" s="136">
        <f t="shared" si="14"/>
        <v>113.60344652812975</v>
      </c>
      <c r="F34" s="136">
        <f t="shared" si="14"/>
        <v>123.48200709579322</v>
      </c>
      <c r="G34" s="136">
        <f t="shared" si="14"/>
        <v>136.32413583375569</v>
      </c>
      <c r="H34" s="136">
        <f t="shared" si="14"/>
        <v>156.08125696908263</v>
      </c>
    </row>
    <row r="37" spans="1:8" x14ac:dyDescent="0.25">
      <c r="A37" s="455" t="s">
        <v>165</v>
      </c>
      <c r="B37" s="455"/>
      <c r="C37" s="455"/>
      <c r="D37" s="455"/>
    </row>
    <row r="39" spans="1:8" ht="75.75" customHeight="1" x14ac:dyDescent="0.25">
      <c r="A39" s="456" t="s">
        <v>166</v>
      </c>
      <c r="B39" s="456"/>
      <c r="C39" s="456" t="s">
        <v>171</v>
      </c>
      <c r="D39" s="456"/>
    </row>
    <row r="40" spans="1:8" ht="32.25" customHeight="1" x14ac:dyDescent="0.25">
      <c r="A40" s="451" t="s">
        <v>167</v>
      </c>
      <c r="B40" s="451"/>
      <c r="C40" s="463"/>
      <c r="D40" s="463"/>
      <c r="E40" s="70">
        <v>26</v>
      </c>
    </row>
    <row r="41" spans="1:8" ht="31.5" customHeight="1" x14ac:dyDescent="0.25">
      <c r="A41" s="451" t="s">
        <v>168</v>
      </c>
      <c r="B41" s="451"/>
      <c r="C41" s="463">
        <v>35</v>
      </c>
      <c r="D41" s="463"/>
      <c r="E41" s="70">
        <v>27</v>
      </c>
    </row>
    <row r="42" spans="1:8" ht="60.75" customHeight="1" x14ac:dyDescent="0.25">
      <c r="A42" s="451" t="s">
        <v>169</v>
      </c>
      <c r="B42" s="451"/>
      <c r="C42" s="463">
        <v>50</v>
      </c>
      <c r="D42" s="463"/>
      <c r="E42" s="70">
        <v>28</v>
      </c>
    </row>
    <row r="43" spans="1:8" ht="28.5" customHeight="1" x14ac:dyDescent="0.25">
      <c r="A43" s="451" t="s">
        <v>172</v>
      </c>
      <c r="B43" s="451"/>
      <c r="C43" s="463">
        <v>30</v>
      </c>
      <c r="D43" s="463"/>
      <c r="E43" s="70">
        <v>29</v>
      </c>
    </row>
    <row r="44" spans="1:8" ht="29.25" customHeight="1" x14ac:dyDescent="0.25">
      <c r="A44" s="451" t="s">
        <v>170</v>
      </c>
      <c r="B44" s="451"/>
      <c r="C44" s="463">
        <v>100</v>
      </c>
      <c r="D44" s="463"/>
      <c r="E44" s="70">
        <v>30</v>
      </c>
    </row>
    <row r="46" spans="1:8" ht="21.75" customHeight="1" x14ac:dyDescent="0.25">
      <c r="A46" s="465" t="s">
        <v>163</v>
      </c>
      <c r="B46" s="465"/>
      <c r="C46" s="465"/>
      <c r="D46" s="465"/>
    </row>
    <row r="48" spans="1:8" ht="31.5" x14ac:dyDescent="0.25">
      <c r="A48" s="226" t="s">
        <v>175</v>
      </c>
      <c r="B48" s="76" t="s">
        <v>176</v>
      </c>
    </row>
    <row r="49" spans="1:14" x14ac:dyDescent="0.25">
      <c r="A49" s="227" t="s">
        <v>177</v>
      </c>
      <c r="B49" s="76">
        <v>10</v>
      </c>
    </row>
    <row r="50" spans="1:14" x14ac:dyDescent="0.25">
      <c r="A50" s="75" t="s">
        <v>178</v>
      </c>
      <c r="B50" s="76">
        <v>15</v>
      </c>
    </row>
    <row r="51" spans="1:14" x14ac:dyDescent="0.25">
      <c r="A51" s="227" t="s">
        <v>179</v>
      </c>
      <c r="B51" s="76">
        <v>20</v>
      </c>
    </row>
    <row r="52" spans="1:14" x14ac:dyDescent="0.25">
      <c r="A52" s="227" t="s">
        <v>180</v>
      </c>
      <c r="B52" s="76">
        <v>25</v>
      </c>
    </row>
    <row r="53" spans="1:14" x14ac:dyDescent="0.25">
      <c r="A53" s="227" t="s">
        <v>181</v>
      </c>
      <c r="B53" s="76">
        <v>30</v>
      </c>
    </row>
    <row r="54" spans="1:14" x14ac:dyDescent="0.25">
      <c r="A54" s="371"/>
      <c r="B54" s="372"/>
    </row>
    <row r="55" spans="1:14" x14ac:dyDescent="0.25">
      <c r="A55" s="371"/>
      <c r="B55" s="372"/>
    </row>
    <row r="56" spans="1:14" x14ac:dyDescent="0.25">
      <c r="A56" s="464" t="s">
        <v>581</v>
      </c>
      <c r="B56" s="464"/>
      <c r="C56" s="464"/>
    </row>
    <row r="57" spans="1:14" x14ac:dyDescent="0.25">
      <c r="A57" s="70"/>
      <c r="B57" s="70"/>
    </row>
    <row r="58" spans="1:14" s="134" customFormat="1" ht="15.75" customHeight="1" x14ac:dyDescent="0.25">
      <c r="A58" s="360" t="s">
        <v>182</v>
      </c>
      <c r="B58" s="228" t="s">
        <v>154</v>
      </c>
      <c r="C58" s="228" t="s">
        <v>153</v>
      </c>
      <c r="D58" s="364"/>
      <c r="E58" s="364"/>
      <c r="F58" s="364"/>
      <c r="G58" s="364"/>
      <c r="H58" s="364"/>
      <c r="I58" s="364"/>
      <c r="J58" s="364"/>
      <c r="K58" s="364" t="s">
        <v>9</v>
      </c>
      <c r="L58" s="364" t="s">
        <v>8</v>
      </c>
      <c r="M58" s="364"/>
      <c r="N58" s="364"/>
    </row>
    <row r="59" spans="1:14" x14ac:dyDescent="0.25">
      <c r="A59" s="365" t="s">
        <v>152</v>
      </c>
      <c r="B59" s="366">
        <v>0.82</v>
      </c>
      <c r="C59" s="228">
        <v>0.84</v>
      </c>
      <c r="D59" s="367"/>
      <c r="E59" s="367"/>
      <c r="F59" s="367"/>
      <c r="G59" s="367" t="s">
        <v>10</v>
      </c>
      <c r="H59" s="367" t="s">
        <v>4</v>
      </c>
      <c r="I59" s="367" t="s">
        <v>5</v>
      </c>
      <c r="J59" s="367" t="s">
        <v>6</v>
      </c>
      <c r="K59" s="367" t="s">
        <v>7</v>
      </c>
      <c r="L59" s="367"/>
      <c r="M59" s="367"/>
      <c r="N59" s="367"/>
    </row>
    <row r="60" spans="1:14" x14ac:dyDescent="0.25">
      <c r="A60" s="371"/>
      <c r="B60" s="372"/>
    </row>
    <row r="61" spans="1:14" customFormat="1" ht="12.75" x14ac:dyDescent="0.2">
      <c r="A61" s="395" t="s">
        <v>603</v>
      </c>
    </row>
    <row r="62" spans="1:14" customFormat="1" ht="12.75" x14ac:dyDescent="0.2">
      <c r="A62" s="394" t="s">
        <v>604</v>
      </c>
      <c r="B62" s="394" t="s">
        <v>605</v>
      </c>
    </row>
    <row r="63" spans="1:14" customFormat="1" ht="12.75" x14ac:dyDescent="0.2">
      <c r="A63" s="396" t="s">
        <v>606</v>
      </c>
      <c r="B63" s="397">
        <v>13680</v>
      </c>
    </row>
    <row r="64" spans="1:14" customFormat="1" ht="12.75" x14ac:dyDescent="0.2">
      <c r="A64" s="128" t="s">
        <v>607</v>
      </c>
      <c r="B64" s="398">
        <f>130*100</f>
        <v>13000</v>
      </c>
    </row>
    <row r="65" spans="1:9" customFormat="1" ht="12.75" x14ac:dyDescent="0.2">
      <c r="A65" s="128" t="s">
        <v>608</v>
      </c>
      <c r="B65" s="397">
        <f>220*100</f>
        <v>22000</v>
      </c>
    </row>
    <row r="66" spans="1:9" customFormat="1" ht="12.75" x14ac:dyDescent="0.2"/>
    <row r="67" spans="1:9" customFormat="1" x14ac:dyDescent="0.25">
      <c r="A67" s="395" t="s">
        <v>674</v>
      </c>
      <c r="B67" s="399"/>
      <c r="C67" s="399"/>
      <c r="D67" s="399"/>
      <c r="E67" s="70"/>
      <c r="F67" s="70"/>
      <c r="G67" s="70"/>
    </row>
    <row r="68" spans="1:9" customFormat="1" ht="22.5" customHeight="1" x14ac:dyDescent="0.25">
      <c r="A68" s="127" t="s">
        <v>521</v>
      </c>
      <c r="B68" s="127" t="s">
        <v>609</v>
      </c>
      <c r="C68" s="127" t="s">
        <v>610</v>
      </c>
      <c r="D68" s="127" t="s">
        <v>611</v>
      </c>
      <c r="E68" s="400"/>
      <c r="F68" s="401"/>
      <c r="G68" s="401"/>
    </row>
    <row r="69" spans="1:9" customFormat="1" ht="18.75" customHeight="1" x14ac:dyDescent="0.25">
      <c r="A69" s="127" t="s">
        <v>612</v>
      </c>
      <c r="B69" s="127">
        <v>75</v>
      </c>
      <c r="C69" s="428">
        <f>B69/B59</f>
        <v>91.463414634146346</v>
      </c>
      <c r="D69" s="427">
        <f>B69/C59</f>
        <v>89.285714285714292</v>
      </c>
      <c r="E69" s="402"/>
      <c r="F69" s="401"/>
      <c r="G69" s="401"/>
    </row>
    <row r="70" spans="1:9" x14ac:dyDescent="0.25">
      <c r="A70" s="361"/>
      <c r="B70" s="362"/>
      <c r="C70" s="362"/>
      <c r="D70" s="362"/>
      <c r="E70" s="362"/>
      <c r="F70" s="362"/>
    </row>
    <row r="71" spans="1:9" customFormat="1" ht="12.75" x14ac:dyDescent="0.2">
      <c r="A71" s="395" t="s">
        <v>613</v>
      </c>
    </row>
    <row r="72" spans="1:9" customFormat="1" ht="25.5" x14ac:dyDescent="0.2">
      <c r="A72" s="127"/>
      <c r="B72" s="127" t="s">
        <v>614</v>
      </c>
      <c r="C72" s="127" t="s">
        <v>103</v>
      </c>
      <c r="D72" s="127" t="s">
        <v>615</v>
      </c>
      <c r="E72" s="127" t="s">
        <v>616</v>
      </c>
      <c r="F72" s="127" t="s">
        <v>617</v>
      </c>
      <c r="G72" s="127" t="s">
        <v>618</v>
      </c>
      <c r="H72" s="127" t="s">
        <v>619</v>
      </c>
      <c r="I72" s="127" t="s">
        <v>620</v>
      </c>
    </row>
    <row r="73" spans="1:9" customFormat="1" ht="12.75" customHeight="1" x14ac:dyDescent="0.2">
      <c r="A73" s="466" t="s">
        <v>621</v>
      </c>
      <c r="B73" s="467"/>
      <c r="C73" s="467"/>
      <c r="D73" s="467"/>
      <c r="E73" s="467"/>
      <c r="F73" s="467"/>
      <c r="G73" s="467"/>
      <c r="H73" s="467"/>
      <c r="I73" s="468"/>
    </row>
    <row r="74" spans="1:9" customFormat="1" ht="12.75" customHeight="1" x14ac:dyDescent="0.2">
      <c r="A74" s="403" t="s">
        <v>606</v>
      </c>
      <c r="B74" s="127">
        <v>4.4000000000000004</v>
      </c>
      <c r="C74" s="127">
        <v>4.2</v>
      </c>
      <c r="D74" s="127">
        <v>4.0999999999999996</v>
      </c>
      <c r="E74" s="127">
        <v>3.6</v>
      </c>
      <c r="F74" s="127">
        <v>3.5</v>
      </c>
      <c r="G74" s="127">
        <v>3.5</v>
      </c>
      <c r="H74" s="127">
        <v>4.0999999999999996</v>
      </c>
      <c r="I74" s="127">
        <v>4.0999999999999996</v>
      </c>
    </row>
    <row r="75" spans="1:9" customFormat="1" ht="12.75" customHeight="1" x14ac:dyDescent="0.2">
      <c r="A75" s="404" t="s">
        <v>607</v>
      </c>
      <c r="B75" s="127">
        <v>0.9</v>
      </c>
      <c r="C75" s="127">
        <v>0.9</v>
      </c>
      <c r="D75" s="127">
        <v>0.4</v>
      </c>
      <c r="E75" s="127">
        <v>0.4</v>
      </c>
      <c r="F75" s="127">
        <v>0.6</v>
      </c>
      <c r="G75" s="127">
        <v>1</v>
      </c>
      <c r="H75" s="127">
        <v>1</v>
      </c>
      <c r="I75" s="127">
        <v>0.7</v>
      </c>
    </row>
    <row r="76" spans="1:9" customFormat="1" ht="12.75" customHeight="1" x14ac:dyDescent="0.2">
      <c r="A76" s="405" t="s">
        <v>608</v>
      </c>
      <c r="B76" s="127">
        <v>0</v>
      </c>
      <c r="C76" s="127">
        <v>0</v>
      </c>
      <c r="D76" s="127">
        <v>0.2</v>
      </c>
      <c r="E76" s="127">
        <v>0.02</v>
      </c>
      <c r="F76" s="127">
        <v>0.4</v>
      </c>
      <c r="G76" s="127">
        <v>0.1</v>
      </c>
      <c r="H76" s="127">
        <v>0.1</v>
      </c>
      <c r="I76" s="127">
        <v>0</v>
      </c>
    </row>
    <row r="77" spans="1:9" customFormat="1" ht="13.5" customHeight="1" x14ac:dyDescent="0.2">
      <c r="A77" s="466" t="s">
        <v>622</v>
      </c>
      <c r="B77" s="467"/>
      <c r="C77" s="467"/>
      <c r="D77" s="467"/>
      <c r="E77" s="467"/>
      <c r="F77" s="467"/>
      <c r="G77" s="467"/>
      <c r="H77" s="467"/>
      <c r="I77" s="468"/>
    </row>
    <row r="78" spans="1:9" customFormat="1" ht="12.75" customHeight="1" x14ac:dyDescent="0.2">
      <c r="A78" s="403" t="s">
        <v>606</v>
      </c>
      <c r="B78" s="127">
        <f>B74*$B$63/100</f>
        <v>601.92000000000007</v>
      </c>
      <c r="C78" s="127">
        <f t="shared" ref="C78:I78" si="15">C74*$B$63/100</f>
        <v>574.55999999999995</v>
      </c>
      <c r="D78" s="127">
        <f t="shared" si="15"/>
        <v>560.87999999999988</v>
      </c>
      <c r="E78" s="127">
        <f t="shared" si="15"/>
        <v>492.48</v>
      </c>
      <c r="F78" s="127">
        <f t="shared" si="15"/>
        <v>478.8</v>
      </c>
      <c r="G78" s="127">
        <f t="shared" si="15"/>
        <v>478.8</v>
      </c>
      <c r="H78" s="127">
        <f t="shared" si="15"/>
        <v>560.87999999999988</v>
      </c>
      <c r="I78" s="127">
        <f t="shared" si="15"/>
        <v>560.87999999999988</v>
      </c>
    </row>
    <row r="79" spans="1:9" customFormat="1" ht="12.75" customHeight="1" x14ac:dyDescent="0.2">
      <c r="A79" s="404" t="s">
        <v>607</v>
      </c>
      <c r="B79" s="406">
        <f>B75*$B$64/100</f>
        <v>117</v>
      </c>
      <c r="C79" s="406">
        <f t="shared" ref="C79:I79" si="16">C75*$B$64/100</f>
        <v>117</v>
      </c>
      <c r="D79" s="406">
        <f t="shared" si="16"/>
        <v>52</v>
      </c>
      <c r="E79" s="406">
        <f t="shared" si="16"/>
        <v>52</v>
      </c>
      <c r="F79" s="406">
        <f t="shared" si="16"/>
        <v>78</v>
      </c>
      <c r="G79" s="406">
        <f t="shared" si="16"/>
        <v>130</v>
      </c>
      <c r="H79" s="406">
        <f t="shared" si="16"/>
        <v>130</v>
      </c>
      <c r="I79" s="406">
        <f t="shared" si="16"/>
        <v>91</v>
      </c>
    </row>
    <row r="80" spans="1:9" customFormat="1" ht="12.75" customHeight="1" x14ac:dyDescent="0.2">
      <c r="A80" s="405" t="s">
        <v>608</v>
      </c>
      <c r="B80" s="406">
        <f>B76*$B$65/100</f>
        <v>0</v>
      </c>
      <c r="C80" s="406">
        <f t="shared" ref="C80:I80" si="17">C76*$B$65/100</f>
        <v>0</v>
      </c>
      <c r="D80" s="406">
        <f t="shared" si="17"/>
        <v>44</v>
      </c>
      <c r="E80" s="406">
        <f t="shared" si="17"/>
        <v>4.4000000000000004</v>
      </c>
      <c r="F80" s="406">
        <f t="shared" si="17"/>
        <v>88</v>
      </c>
      <c r="G80" s="406">
        <f t="shared" si="17"/>
        <v>22</v>
      </c>
      <c r="H80" s="406">
        <f t="shared" si="17"/>
        <v>22</v>
      </c>
      <c r="I80" s="406">
        <f t="shared" si="17"/>
        <v>0</v>
      </c>
    </row>
    <row r="81" spans="1:9" customFormat="1" ht="12.75" customHeight="1" x14ac:dyDescent="0.2">
      <c r="A81" s="407" t="s">
        <v>623</v>
      </c>
      <c r="B81" s="145">
        <f t="shared" ref="B81:I81" si="18">B78+B79+B80</f>
        <v>718.92000000000007</v>
      </c>
      <c r="C81" s="145">
        <f t="shared" si="18"/>
        <v>691.56</v>
      </c>
      <c r="D81" s="145">
        <f t="shared" si="18"/>
        <v>656.87999999999988</v>
      </c>
      <c r="E81" s="145">
        <f t="shared" si="18"/>
        <v>548.88</v>
      </c>
      <c r="F81" s="145">
        <f t="shared" si="18"/>
        <v>644.79999999999995</v>
      </c>
      <c r="G81" s="145">
        <f t="shared" si="18"/>
        <v>630.79999999999995</v>
      </c>
      <c r="H81" s="145">
        <f t="shared" si="18"/>
        <v>712.87999999999988</v>
      </c>
      <c r="I81" s="145">
        <f t="shared" si="18"/>
        <v>651.87999999999988</v>
      </c>
    </row>
    <row r="82" spans="1:9" customFormat="1" ht="15.75" customHeight="1" x14ac:dyDescent="0.2">
      <c r="A82" s="466" t="s">
        <v>624</v>
      </c>
      <c r="B82" s="467"/>
      <c r="C82" s="467"/>
      <c r="D82" s="467"/>
      <c r="E82" s="467"/>
      <c r="F82" s="467"/>
      <c r="G82" s="467"/>
      <c r="H82" s="467"/>
      <c r="I82" s="468"/>
    </row>
    <row r="83" spans="1:9" customFormat="1" ht="12.75" customHeight="1" x14ac:dyDescent="0.2">
      <c r="A83" s="127" t="s">
        <v>625</v>
      </c>
      <c r="B83" s="406">
        <f>B81+$C$69*100</f>
        <v>9865.2614634146339</v>
      </c>
      <c r="C83" s="406">
        <f t="shared" ref="C83:I83" si="19">C81+$C$69*100</f>
        <v>9837.9014634146333</v>
      </c>
      <c r="D83" s="406">
        <f t="shared" si="19"/>
        <v>9803.221463414633</v>
      </c>
      <c r="E83" s="406">
        <f t="shared" si="19"/>
        <v>9695.221463414633</v>
      </c>
      <c r="F83" s="406">
        <f t="shared" si="19"/>
        <v>9791.1414634146331</v>
      </c>
      <c r="G83" s="406">
        <f t="shared" si="19"/>
        <v>9777.1414634146331</v>
      </c>
      <c r="H83" s="406">
        <f t="shared" si="19"/>
        <v>9859.221463414633</v>
      </c>
      <c r="I83" s="406">
        <f t="shared" si="19"/>
        <v>9798.221463414633</v>
      </c>
    </row>
    <row r="84" spans="1:9" customFormat="1" ht="12.75" x14ac:dyDescent="0.2">
      <c r="A84" s="127" t="s">
        <v>626</v>
      </c>
      <c r="B84" s="406">
        <f>B81+$D$69*100</f>
        <v>9647.4914285714294</v>
      </c>
      <c r="C84" s="406">
        <f t="shared" ref="C84:I84" si="20">C81+$D$69*100</f>
        <v>9620.1314285714288</v>
      </c>
      <c r="D84" s="406">
        <f t="shared" si="20"/>
        <v>9585.4514285714286</v>
      </c>
      <c r="E84" s="406">
        <f t="shared" si="20"/>
        <v>9477.4514285714286</v>
      </c>
      <c r="F84" s="406">
        <f t="shared" si="20"/>
        <v>9573.3714285714286</v>
      </c>
      <c r="G84" s="406">
        <f t="shared" si="20"/>
        <v>9559.3714285714286</v>
      </c>
      <c r="H84" s="406">
        <f t="shared" si="20"/>
        <v>9641.4514285714286</v>
      </c>
      <c r="I84" s="406">
        <f t="shared" si="20"/>
        <v>9580.4514285714286</v>
      </c>
    </row>
    <row r="85" spans="1:9" x14ac:dyDescent="0.25">
      <c r="A85" s="361"/>
      <c r="B85" s="362"/>
      <c r="C85" s="362"/>
      <c r="D85" s="362"/>
      <c r="E85" s="362"/>
      <c r="F85" s="362"/>
    </row>
    <row r="86" spans="1:9" ht="15.75" customHeight="1" x14ac:dyDescent="0.25">
      <c r="A86" s="395" t="s">
        <v>627</v>
      </c>
      <c r="B86"/>
      <c r="C86"/>
      <c r="D86"/>
      <c r="E86"/>
      <c r="F86"/>
      <c r="G86"/>
      <c r="H86"/>
    </row>
    <row r="87" spans="1:9" ht="26.25" customHeight="1" x14ac:dyDescent="0.25">
      <c r="A87" s="127"/>
      <c r="B87" s="127" t="s">
        <v>628</v>
      </c>
      <c r="C87" s="127" t="s">
        <v>617</v>
      </c>
      <c r="D87" s="127" t="s">
        <v>614</v>
      </c>
      <c r="E87" s="127" t="s">
        <v>618</v>
      </c>
      <c r="F87" s="127" t="s">
        <v>619</v>
      </c>
      <c r="G87" s="127" t="s">
        <v>620</v>
      </c>
      <c r="H87" s="127" t="s">
        <v>138</v>
      </c>
    </row>
    <row r="88" spans="1:9" x14ac:dyDescent="0.25">
      <c r="A88" s="408" t="s">
        <v>629</v>
      </c>
      <c r="B88" s="409">
        <f>B90+B91+B92</f>
        <v>99.992314269119987</v>
      </c>
      <c r="C88" s="409">
        <f t="shared" ref="C88:H88" si="21">C90+C91+C92</f>
        <v>101.43277978079999</v>
      </c>
      <c r="D88" s="409">
        <f t="shared" si="21"/>
        <v>134.08333137888002</v>
      </c>
      <c r="E88" s="409">
        <f t="shared" si="21"/>
        <v>98.911965135359992</v>
      </c>
      <c r="F88" s="409">
        <f t="shared" si="21"/>
        <v>116.4376288608</v>
      </c>
      <c r="G88" s="409">
        <f t="shared" si="21"/>
        <v>156.29050801727996</v>
      </c>
      <c r="H88" s="409">
        <f t="shared" si="21"/>
        <v>180.53834413055998</v>
      </c>
    </row>
    <row r="89" spans="1:9" x14ac:dyDescent="0.25">
      <c r="A89" s="410" t="s">
        <v>630</v>
      </c>
      <c r="B89" s="406"/>
      <c r="C89" s="406"/>
      <c r="D89" s="406"/>
      <c r="E89" s="406"/>
      <c r="F89" s="406"/>
      <c r="G89" s="406"/>
      <c r="H89" s="406"/>
    </row>
    <row r="90" spans="1:9" x14ac:dyDescent="0.25">
      <c r="A90" s="411" t="s">
        <v>631</v>
      </c>
      <c r="B90" s="406">
        <v>17.28558614016</v>
      </c>
      <c r="C90" s="406">
        <v>15.725081835839996</v>
      </c>
      <c r="D90" s="406">
        <v>23.767680942719998</v>
      </c>
      <c r="E90" s="406">
        <v>13.804461153599998</v>
      </c>
      <c r="F90" s="406">
        <v>17.525663725439994</v>
      </c>
      <c r="G90" s="406">
        <v>26.76865075872</v>
      </c>
      <c r="H90" s="406">
        <v>24.007758527999997</v>
      </c>
    </row>
    <row r="91" spans="1:9" ht="23.25" customHeight="1" x14ac:dyDescent="0.25">
      <c r="A91" s="411" t="s">
        <v>632</v>
      </c>
      <c r="B91" s="406">
        <v>69.62249973119998</v>
      </c>
      <c r="C91" s="406">
        <v>72.02327558399999</v>
      </c>
      <c r="D91" s="406">
        <v>93.630258259200019</v>
      </c>
      <c r="E91" s="406">
        <v>72.02327558399999</v>
      </c>
      <c r="F91" s="406">
        <v>84.027154848000009</v>
      </c>
      <c r="G91" s="406">
        <v>110.43568922879999</v>
      </c>
      <c r="H91" s="406">
        <v>132.04267190399997</v>
      </c>
    </row>
    <row r="92" spans="1:9" x14ac:dyDescent="0.25">
      <c r="A92" s="411" t="s">
        <v>633</v>
      </c>
      <c r="B92" s="406">
        <v>13.08422839776</v>
      </c>
      <c r="C92" s="406">
        <v>13.684422360959999</v>
      </c>
      <c r="D92" s="406">
        <v>16.685392176960001</v>
      </c>
      <c r="E92" s="406">
        <v>13.08422839776</v>
      </c>
      <c r="F92" s="406">
        <v>14.884810287360001</v>
      </c>
      <c r="G92" s="406">
        <v>19.08616802976</v>
      </c>
      <c r="H92" s="406">
        <v>24.487913698559996</v>
      </c>
    </row>
    <row r="93" spans="1:9" ht="19.5" customHeight="1" x14ac:dyDescent="0.25">
      <c r="A93" s="412" t="s">
        <v>634</v>
      </c>
      <c r="B93" s="409">
        <f>B95+B96+B97</f>
        <v>8.0425991068799991</v>
      </c>
      <c r="C93" s="409">
        <f t="shared" ref="C93:H93" si="22">C95+C96+C97</f>
        <v>11.283646508159999</v>
      </c>
      <c r="D93" s="409">
        <f t="shared" si="22"/>
        <v>15.00484908</v>
      </c>
      <c r="E93" s="409">
        <f t="shared" si="22"/>
        <v>16.685392176959997</v>
      </c>
      <c r="F93" s="409">
        <f t="shared" si="22"/>
        <v>19.206206822399999</v>
      </c>
      <c r="G93" s="409">
        <f t="shared" si="22"/>
        <v>22.927409394239998</v>
      </c>
      <c r="H93" s="409">
        <f t="shared" si="22"/>
        <v>25.32818524704</v>
      </c>
    </row>
    <row r="94" spans="1:9" x14ac:dyDescent="0.25">
      <c r="A94" s="410" t="s">
        <v>630</v>
      </c>
      <c r="B94" s="406"/>
      <c r="C94" s="406"/>
      <c r="D94" s="406"/>
      <c r="E94" s="406"/>
      <c r="F94" s="406"/>
      <c r="G94" s="406"/>
      <c r="H94" s="406"/>
    </row>
    <row r="95" spans="1:9" x14ac:dyDescent="0.25">
      <c r="A95" s="411" t="s">
        <v>635</v>
      </c>
      <c r="B95" s="406">
        <v>2.0406594748799995</v>
      </c>
      <c r="C95" s="406">
        <v>2.2807370601599994</v>
      </c>
      <c r="D95" s="406">
        <v>3.0009698159999996</v>
      </c>
      <c r="E95" s="406">
        <v>2.2807370601599994</v>
      </c>
      <c r="F95" s="406">
        <v>1.8005818895999999</v>
      </c>
      <c r="G95" s="406">
        <v>2.5208146454400007</v>
      </c>
      <c r="H95" s="406">
        <v>2.5208146454400007</v>
      </c>
    </row>
    <row r="96" spans="1:9" ht="18.75" customHeight="1" x14ac:dyDescent="0.25">
      <c r="A96" s="411" t="s">
        <v>632</v>
      </c>
      <c r="B96" s="406">
        <v>4.8015517055999997</v>
      </c>
      <c r="C96" s="406">
        <v>7.2023275583999995</v>
      </c>
      <c r="D96" s="406">
        <v>9.6031034111999993</v>
      </c>
      <c r="E96" s="406">
        <v>12.003879263999998</v>
      </c>
      <c r="F96" s="406">
        <v>14.404655116799999</v>
      </c>
      <c r="G96" s="406">
        <v>16.805430969599996</v>
      </c>
      <c r="H96" s="406">
        <v>19.206206822399999</v>
      </c>
    </row>
    <row r="97" spans="1:11" x14ac:dyDescent="0.25">
      <c r="A97" s="411" t="s">
        <v>633</v>
      </c>
      <c r="B97" s="406">
        <v>1.2003879263999999</v>
      </c>
      <c r="C97" s="406">
        <v>1.8005818895999999</v>
      </c>
      <c r="D97" s="406">
        <v>2.4007758527999998</v>
      </c>
      <c r="E97" s="406">
        <v>2.4007758527999998</v>
      </c>
      <c r="F97" s="406">
        <v>3.0009698159999996</v>
      </c>
      <c r="G97" s="406">
        <v>3.6011637791999997</v>
      </c>
      <c r="H97" s="406">
        <v>3.6011637791999997</v>
      </c>
    </row>
    <row r="98" spans="1:11" ht="16.5" customHeight="1" x14ac:dyDescent="0.25">
      <c r="A98" s="413" t="s">
        <v>636</v>
      </c>
      <c r="B98" s="409">
        <v>11.043568922879997</v>
      </c>
      <c r="C98" s="409">
        <v>8.0425991068799991</v>
      </c>
      <c r="D98" s="409">
        <v>0</v>
      </c>
      <c r="E98" s="409">
        <v>5.7618620467199984</v>
      </c>
      <c r="F98" s="409">
        <v>5.5217844614399985</v>
      </c>
      <c r="G98" s="409">
        <v>3.4811249865599989</v>
      </c>
      <c r="H98" s="409">
        <v>5.5217844614399985</v>
      </c>
    </row>
    <row r="99" spans="1:11" ht="15.75" customHeight="1" x14ac:dyDescent="0.25">
      <c r="A99" s="414" t="s">
        <v>623</v>
      </c>
      <c r="B99" s="409">
        <f>B88+B93+B98</f>
        <v>119.07848229887999</v>
      </c>
      <c r="C99" s="409">
        <f t="shared" ref="C99:H99" si="23">C88+C93+C98</f>
        <v>120.75902539584</v>
      </c>
      <c r="D99" s="409">
        <f t="shared" si="23"/>
        <v>149.08818045888</v>
      </c>
      <c r="E99" s="409">
        <f t="shared" si="23"/>
        <v>121.35921935903998</v>
      </c>
      <c r="F99" s="409">
        <f t="shared" si="23"/>
        <v>141.16562014464</v>
      </c>
      <c r="G99" s="409">
        <f t="shared" si="23"/>
        <v>182.69904239807994</v>
      </c>
      <c r="H99" s="409">
        <f t="shared" si="23"/>
        <v>211.38831383903999</v>
      </c>
    </row>
    <row r="100" spans="1:11" x14ac:dyDescent="0.25">
      <c r="A100" s="415"/>
      <c r="B100" s="416"/>
      <c r="C100" s="416"/>
      <c r="D100" s="416"/>
      <c r="E100" s="416"/>
      <c r="F100" s="416"/>
      <c r="G100" s="416"/>
      <c r="H100" s="416"/>
    </row>
    <row r="101" spans="1:11" customFormat="1" x14ac:dyDescent="0.25">
      <c r="A101" s="395" t="s">
        <v>637</v>
      </c>
      <c r="J101" s="70"/>
      <c r="K101" s="70"/>
    </row>
    <row r="102" spans="1:11" customFormat="1" ht="25.5" x14ac:dyDescent="0.25">
      <c r="A102" s="417" t="s">
        <v>182</v>
      </c>
      <c r="B102" s="417" t="s">
        <v>638</v>
      </c>
      <c r="J102" s="70"/>
      <c r="K102" s="70"/>
    </row>
    <row r="103" spans="1:11" customFormat="1" x14ac:dyDescent="0.25">
      <c r="A103" s="459" t="s">
        <v>639</v>
      </c>
      <c r="B103" s="459"/>
      <c r="J103" s="70"/>
      <c r="K103" s="70"/>
    </row>
    <row r="104" spans="1:11" customFormat="1" x14ac:dyDescent="0.25">
      <c r="A104" s="418" t="s">
        <v>640</v>
      </c>
      <c r="B104" s="417">
        <v>7.2</v>
      </c>
      <c r="C104" s="419"/>
      <c r="J104" s="70"/>
      <c r="K104" s="70"/>
    </row>
    <row r="105" spans="1:11" customFormat="1" x14ac:dyDescent="0.25">
      <c r="A105" s="459" t="s">
        <v>641</v>
      </c>
      <c r="B105" s="459"/>
      <c r="C105" s="419"/>
      <c r="J105" s="70"/>
      <c r="K105" s="70"/>
    </row>
    <row r="106" spans="1:11" customFormat="1" x14ac:dyDescent="0.25">
      <c r="A106" s="418" t="s">
        <v>642</v>
      </c>
      <c r="B106" s="417">
        <v>2.1</v>
      </c>
      <c r="C106" s="419"/>
      <c r="J106" s="70"/>
      <c r="K106" s="70"/>
    </row>
    <row r="107" spans="1:11" customFormat="1" x14ac:dyDescent="0.25">
      <c r="A107" s="418" t="s">
        <v>643</v>
      </c>
      <c r="B107" s="417">
        <v>4.9000000000000004</v>
      </c>
      <c r="C107" s="419"/>
      <c r="J107" s="70"/>
      <c r="K107" s="70"/>
    </row>
    <row r="108" spans="1:11" customFormat="1" x14ac:dyDescent="0.25">
      <c r="A108" s="418" t="s">
        <v>105</v>
      </c>
      <c r="B108" s="417">
        <v>5.0999999999999996</v>
      </c>
      <c r="C108" s="419"/>
      <c r="J108" s="70"/>
      <c r="K108" s="70"/>
    </row>
    <row r="109" spans="1:11" customFormat="1" x14ac:dyDescent="0.25">
      <c r="A109" s="418" t="s">
        <v>138</v>
      </c>
      <c r="B109" s="417">
        <v>1.5</v>
      </c>
      <c r="C109" s="419"/>
      <c r="J109" s="70"/>
      <c r="K109" s="70"/>
    </row>
    <row r="110" spans="1:11" customFormat="1" ht="12.75" x14ac:dyDescent="0.2">
      <c r="A110" s="418" t="s">
        <v>644</v>
      </c>
      <c r="B110" s="417">
        <v>2.1</v>
      </c>
      <c r="C110" s="419"/>
    </row>
    <row r="111" spans="1:11" customFormat="1" ht="12.75" x14ac:dyDescent="0.2">
      <c r="A111" s="418" t="s">
        <v>645</v>
      </c>
      <c r="B111" s="417">
        <v>2.1</v>
      </c>
      <c r="C111" s="419"/>
    </row>
    <row r="112" spans="1:11" customFormat="1" ht="12.75" x14ac:dyDescent="0.2">
      <c r="A112" s="418" t="s">
        <v>532</v>
      </c>
      <c r="B112" s="417">
        <v>11.6</v>
      </c>
      <c r="C112" s="419"/>
    </row>
    <row r="113" spans="1:11" customFormat="1" ht="12.75" x14ac:dyDescent="0.2">
      <c r="A113" s="418" t="s">
        <v>183</v>
      </c>
      <c r="B113" s="417">
        <v>14.7</v>
      </c>
      <c r="C113" s="419"/>
    </row>
    <row r="114" spans="1:11" customFormat="1" ht="12.75" x14ac:dyDescent="0.2">
      <c r="A114" s="418" t="s">
        <v>184</v>
      </c>
      <c r="B114" s="417">
        <v>15</v>
      </c>
      <c r="C114" s="419"/>
    </row>
    <row r="115" spans="1:11" customFormat="1" ht="12.75" x14ac:dyDescent="0.2">
      <c r="A115" s="418" t="s">
        <v>646</v>
      </c>
      <c r="B115" s="417">
        <v>2.7</v>
      </c>
    </row>
    <row r="116" spans="1:11" customFormat="1" ht="12.75" x14ac:dyDescent="0.2">
      <c r="A116" s="420"/>
      <c r="B116" s="421"/>
    </row>
    <row r="117" spans="1:11" customFormat="1" ht="12.75" x14ac:dyDescent="0.2">
      <c r="A117" s="395" t="s">
        <v>647</v>
      </c>
    </row>
    <row r="118" spans="1:11" customFormat="1" ht="12.75" x14ac:dyDescent="0.2">
      <c r="A118" s="422"/>
      <c r="B118" s="460" t="s">
        <v>648</v>
      </c>
      <c r="C118" s="460"/>
      <c r="D118" s="460"/>
      <c r="E118" s="460"/>
      <c r="F118" s="460"/>
      <c r="G118" s="460"/>
      <c r="H118" s="460"/>
      <c r="I118" s="460"/>
      <c r="J118" s="460"/>
      <c r="K118" s="460"/>
    </row>
    <row r="119" spans="1:11" customFormat="1" ht="12.75" x14ac:dyDescent="0.2">
      <c r="A119" s="423" t="s">
        <v>649</v>
      </c>
      <c r="B119" s="417">
        <v>1</v>
      </c>
      <c r="C119" s="417">
        <v>2</v>
      </c>
      <c r="D119" s="417">
        <v>3</v>
      </c>
      <c r="E119" s="417">
        <v>4</v>
      </c>
      <c r="F119" s="417">
        <v>5</v>
      </c>
      <c r="G119" s="417">
        <v>6</v>
      </c>
      <c r="H119" s="417">
        <v>7</v>
      </c>
      <c r="I119" s="417">
        <v>8</v>
      </c>
      <c r="J119" s="417">
        <v>9</v>
      </c>
      <c r="K119" s="417">
        <v>10</v>
      </c>
    </row>
    <row r="120" spans="1:11" customFormat="1" ht="12.75" x14ac:dyDescent="0.2">
      <c r="A120" s="417" t="s">
        <v>650</v>
      </c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</row>
    <row r="121" spans="1:11" customFormat="1" ht="12.75" x14ac:dyDescent="0.2">
      <c r="A121" s="418" t="s">
        <v>651</v>
      </c>
      <c r="B121" s="417">
        <v>1.2</v>
      </c>
      <c r="C121" s="417">
        <v>1.2</v>
      </c>
      <c r="D121" s="417">
        <v>1.1399999999999999</v>
      </c>
      <c r="E121" s="417">
        <v>1.08</v>
      </c>
      <c r="F121" s="417">
        <v>1.03</v>
      </c>
      <c r="G121" s="417">
        <v>0.96</v>
      </c>
      <c r="H121" s="417">
        <v>0.92</v>
      </c>
      <c r="I121" s="417">
        <v>0.88</v>
      </c>
      <c r="J121" s="417">
        <v>0.84</v>
      </c>
      <c r="K121" s="417">
        <v>0.75</v>
      </c>
    </row>
    <row r="122" spans="1:11" customFormat="1" ht="12.75" x14ac:dyDescent="0.2">
      <c r="A122" s="418" t="s">
        <v>652</v>
      </c>
      <c r="B122" s="417">
        <v>1.1599999999999999</v>
      </c>
      <c r="C122" s="417">
        <v>1.1499999999999999</v>
      </c>
      <c r="D122" s="417" t="s">
        <v>653</v>
      </c>
      <c r="E122" s="417">
        <v>1.06</v>
      </c>
      <c r="F122" s="417">
        <v>1.03</v>
      </c>
      <c r="G122" s="417">
        <v>1</v>
      </c>
      <c r="H122" s="417">
        <v>0.96</v>
      </c>
      <c r="I122" s="417">
        <v>0.92</v>
      </c>
      <c r="J122" s="417">
        <v>0.84</v>
      </c>
      <c r="K122" s="417">
        <v>0.73</v>
      </c>
    </row>
    <row r="123" spans="1:11" customFormat="1" ht="12.75" x14ac:dyDescent="0.2">
      <c r="A123" s="418" t="s">
        <v>654</v>
      </c>
      <c r="B123" s="417">
        <v>1.1200000000000001</v>
      </c>
      <c r="C123" s="417">
        <v>1.1000000000000001</v>
      </c>
      <c r="D123" s="417">
        <v>1.07</v>
      </c>
      <c r="E123" s="417">
        <v>1.04</v>
      </c>
      <c r="F123" s="417">
        <v>1</v>
      </c>
      <c r="G123" s="417">
        <v>0.95</v>
      </c>
      <c r="H123" s="417">
        <v>0.9</v>
      </c>
      <c r="I123" s="417">
        <v>0.82</v>
      </c>
      <c r="J123" s="417"/>
      <c r="K123" s="417"/>
    </row>
    <row r="124" spans="1:11" customFormat="1" ht="12.75" x14ac:dyDescent="0.2">
      <c r="A124" s="418" t="s">
        <v>646</v>
      </c>
      <c r="B124" s="394">
        <v>1.1399999999999999</v>
      </c>
      <c r="C124" s="394">
        <v>1.1000000000000001</v>
      </c>
      <c r="D124" s="394">
        <v>1</v>
      </c>
      <c r="E124" s="394">
        <v>1.03</v>
      </c>
      <c r="F124" s="394">
        <v>1</v>
      </c>
      <c r="G124" s="394">
        <v>0.96</v>
      </c>
      <c r="H124" s="394">
        <v>0.9</v>
      </c>
      <c r="I124" s="394">
        <v>0.82</v>
      </c>
      <c r="J124" s="394"/>
      <c r="K124" s="394"/>
    </row>
    <row r="125" spans="1:11" x14ac:dyDescent="0.25">
      <c r="A125" s="415"/>
      <c r="B125" s="416"/>
      <c r="C125" s="416"/>
      <c r="D125" s="416"/>
      <c r="E125" s="416"/>
      <c r="F125" s="416"/>
      <c r="G125" s="416"/>
      <c r="H125" s="416"/>
      <c r="J125" s="415"/>
      <c r="K125" s="416"/>
    </row>
    <row r="126" spans="1:11" customFormat="1" ht="12.75" x14ac:dyDescent="0.2">
      <c r="A126" s="424" t="s">
        <v>655</v>
      </c>
    </row>
    <row r="127" spans="1:11" customFormat="1" ht="33" customHeight="1" x14ac:dyDescent="0.2">
      <c r="A127" s="417" t="s">
        <v>656</v>
      </c>
      <c r="B127" s="423" t="s">
        <v>183</v>
      </c>
      <c r="C127" s="423" t="s">
        <v>532</v>
      </c>
      <c r="D127" s="423" t="s">
        <v>103</v>
      </c>
      <c r="E127" s="423" t="s">
        <v>643</v>
      </c>
      <c r="F127" s="423" t="s">
        <v>619</v>
      </c>
      <c r="G127" s="423" t="s">
        <v>620</v>
      </c>
      <c r="H127" s="423" t="s">
        <v>657</v>
      </c>
      <c r="I127" s="423" t="s">
        <v>658</v>
      </c>
    </row>
    <row r="128" spans="1:11" customFormat="1" ht="12.75" x14ac:dyDescent="0.2">
      <c r="A128" s="417" t="s">
        <v>659</v>
      </c>
      <c r="B128" s="417">
        <v>0.5</v>
      </c>
      <c r="C128" s="417">
        <v>0.36</v>
      </c>
      <c r="D128" s="417">
        <v>0.54</v>
      </c>
      <c r="E128" s="417">
        <v>0.62</v>
      </c>
      <c r="F128" s="417">
        <v>0.62</v>
      </c>
      <c r="G128" s="417">
        <v>0.48</v>
      </c>
      <c r="H128" s="417">
        <v>0.43</v>
      </c>
      <c r="I128" s="417">
        <v>0.66</v>
      </c>
    </row>
    <row r="129" spans="1:9" customFormat="1" ht="12.75" x14ac:dyDescent="0.2">
      <c r="A129" s="417" t="s">
        <v>660</v>
      </c>
      <c r="B129" s="417">
        <v>0.61</v>
      </c>
      <c r="C129" s="417">
        <v>0.5</v>
      </c>
      <c r="D129" s="417">
        <v>0.67</v>
      </c>
      <c r="E129" s="417">
        <v>0.73</v>
      </c>
      <c r="F129" s="417">
        <v>0.71</v>
      </c>
      <c r="G129" s="417">
        <v>0.62</v>
      </c>
      <c r="H129" s="417">
        <v>0.57999999999999996</v>
      </c>
      <c r="I129" s="417">
        <v>0.74</v>
      </c>
    </row>
    <row r="130" spans="1:9" customFormat="1" ht="12.75" x14ac:dyDescent="0.2">
      <c r="A130" s="417" t="s">
        <v>661</v>
      </c>
      <c r="B130" s="417">
        <v>0.75</v>
      </c>
      <c r="C130" s="417">
        <v>0.69</v>
      </c>
      <c r="D130" s="417">
        <v>0.79</v>
      </c>
      <c r="E130" s="417">
        <v>0.83</v>
      </c>
      <c r="F130" s="417">
        <v>0.81</v>
      </c>
      <c r="G130" s="417">
        <v>0.74</v>
      </c>
      <c r="H130" s="417">
        <v>0.72</v>
      </c>
      <c r="I130" s="417">
        <v>0.85</v>
      </c>
    </row>
    <row r="131" spans="1:9" customFormat="1" ht="12.75" x14ac:dyDescent="0.2">
      <c r="A131" s="417" t="s">
        <v>662</v>
      </c>
      <c r="B131" s="417">
        <v>0.88</v>
      </c>
      <c r="C131" s="417">
        <v>0.86</v>
      </c>
      <c r="D131" s="417">
        <v>0.89</v>
      </c>
      <c r="E131" s="417">
        <v>0.92</v>
      </c>
      <c r="F131" s="417">
        <v>0.92</v>
      </c>
      <c r="G131" s="417">
        <v>0.88</v>
      </c>
      <c r="H131" s="417">
        <v>0.86</v>
      </c>
      <c r="I131" s="417">
        <v>0.93</v>
      </c>
    </row>
    <row r="132" spans="1:9" customFormat="1" ht="12.75" x14ac:dyDescent="0.2">
      <c r="A132" s="417" t="s">
        <v>663</v>
      </c>
      <c r="B132" s="417">
        <v>1</v>
      </c>
      <c r="C132" s="417">
        <v>1</v>
      </c>
      <c r="D132" s="417">
        <v>1</v>
      </c>
      <c r="E132" s="417">
        <v>1</v>
      </c>
      <c r="F132" s="417">
        <v>1</v>
      </c>
      <c r="G132" s="417">
        <v>1</v>
      </c>
      <c r="H132" s="417">
        <v>1</v>
      </c>
      <c r="I132" s="425">
        <v>1</v>
      </c>
    </row>
    <row r="133" spans="1:9" customFormat="1" ht="12.75" x14ac:dyDescent="0.2">
      <c r="A133" s="417" t="s">
        <v>664</v>
      </c>
      <c r="B133" s="417">
        <v>1.1000000000000001</v>
      </c>
      <c r="C133" s="417">
        <v>1.08</v>
      </c>
      <c r="D133" s="417">
        <v>1.07</v>
      </c>
      <c r="E133" s="417">
        <v>1.08</v>
      </c>
      <c r="F133" s="417">
        <v>1.08</v>
      </c>
      <c r="G133" s="417">
        <v>1.1100000000000001</v>
      </c>
      <c r="H133" s="417">
        <v>1.1299999999999999</v>
      </c>
      <c r="I133" s="417">
        <v>1.08</v>
      </c>
    </row>
    <row r="134" spans="1:9" customFormat="1" ht="12.75" x14ac:dyDescent="0.2">
      <c r="A134" s="417" t="s">
        <v>665</v>
      </c>
      <c r="B134" s="417">
        <v>1.18</v>
      </c>
      <c r="C134" s="417">
        <v>1.1599999999999999</v>
      </c>
      <c r="D134" s="417">
        <v>1.1399999999999999</v>
      </c>
      <c r="E134" s="417">
        <v>1.1499999999999999</v>
      </c>
      <c r="F134" s="417">
        <v>1.1200000000000001</v>
      </c>
      <c r="G134" s="417">
        <v>1.22</v>
      </c>
      <c r="H134" s="417">
        <v>1.25</v>
      </c>
      <c r="I134" s="417">
        <v>1.1299999999999999</v>
      </c>
    </row>
    <row r="135" spans="1:9" customFormat="1" ht="12.75" x14ac:dyDescent="0.2">
      <c r="A135" s="417" t="s">
        <v>666</v>
      </c>
      <c r="B135" s="417">
        <v>1.24</v>
      </c>
      <c r="C135" s="417">
        <v>1.23</v>
      </c>
      <c r="D135" s="417">
        <v>1.19</v>
      </c>
      <c r="E135" s="417">
        <v>1.21</v>
      </c>
      <c r="F135" s="417">
        <v>1.17</v>
      </c>
      <c r="G135" s="417">
        <v>1.31</v>
      </c>
      <c r="H135" s="417">
        <v>1.32</v>
      </c>
      <c r="I135" s="417">
        <v>1.18</v>
      </c>
    </row>
    <row r="136" spans="1:9" customFormat="1" ht="12.75" x14ac:dyDescent="0.2">
      <c r="A136" s="417" t="s">
        <v>667</v>
      </c>
      <c r="B136" s="417">
        <v>1.28</v>
      </c>
      <c r="C136" s="417">
        <v>1.26</v>
      </c>
      <c r="D136" s="417">
        <v>1.22</v>
      </c>
      <c r="E136" s="417">
        <v>1.26</v>
      </c>
      <c r="F136" s="417">
        <v>1.2</v>
      </c>
      <c r="G136" s="417">
        <v>1.39</v>
      </c>
      <c r="H136" s="417">
        <v>1.39</v>
      </c>
      <c r="I136" s="417">
        <v>1.22</v>
      </c>
    </row>
    <row r="137" spans="1:9" customFormat="1" ht="12.75" x14ac:dyDescent="0.2">
      <c r="A137" s="417" t="s">
        <v>668</v>
      </c>
      <c r="B137" s="417">
        <v>1.32</v>
      </c>
      <c r="C137" s="417">
        <v>1.3</v>
      </c>
      <c r="D137" s="417">
        <v>1.25</v>
      </c>
      <c r="E137" s="417">
        <v>1.3</v>
      </c>
      <c r="F137" s="417">
        <v>1.22</v>
      </c>
      <c r="G137" s="417" t="s">
        <v>669</v>
      </c>
      <c r="H137" s="417">
        <v>1.43</v>
      </c>
      <c r="I137" s="417">
        <v>1.26</v>
      </c>
    </row>
    <row r="138" spans="1:9" customFormat="1" ht="12.75" x14ac:dyDescent="0.2">
      <c r="A138" s="417" t="s">
        <v>670</v>
      </c>
      <c r="B138" s="417">
        <v>1.35</v>
      </c>
      <c r="C138" s="417" t="s">
        <v>669</v>
      </c>
      <c r="D138" s="417">
        <v>1.27</v>
      </c>
      <c r="E138" s="417" t="s">
        <v>669</v>
      </c>
      <c r="F138" s="417">
        <v>1.24</v>
      </c>
      <c r="G138" s="417" t="s">
        <v>669</v>
      </c>
      <c r="H138" s="417" t="s">
        <v>669</v>
      </c>
      <c r="I138" s="417" t="s">
        <v>669</v>
      </c>
    </row>
    <row r="139" spans="1:9" customFormat="1" ht="12.75" x14ac:dyDescent="0.2">
      <c r="A139" s="417" t="s">
        <v>671</v>
      </c>
      <c r="B139" s="417" t="s">
        <v>669</v>
      </c>
      <c r="C139" s="417" t="s">
        <v>669</v>
      </c>
      <c r="D139" s="417">
        <v>1.29</v>
      </c>
      <c r="E139" s="417" t="s">
        <v>669</v>
      </c>
      <c r="F139" s="417">
        <v>1.26</v>
      </c>
      <c r="G139" s="417" t="s">
        <v>669</v>
      </c>
      <c r="H139" s="417" t="s">
        <v>669</v>
      </c>
      <c r="I139" s="417" t="s">
        <v>669</v>
      </c>
    </row>
    <row r="141" spans="1:9" x14ac:dyDescent="0.25">
      <c r="A141" s="363" t="s">
        <v>580</v>
      </c>
      <c r="B141" s="134"/>
      <c r="C141" s="134"/>
    </row>
    <row r="142" spans="1:9" x14ac:dyDescent="0.25">
      <c r="A142" s="227" t="s">
        <v>331</v>
      </c>
      <c r="B142" s="461" t="s">
        <v>579</v>
      </c>
      <c r="C142" s="462"/>
    </row>
    <row r="143" spans="1:9" x14ac:dyDescent="0.25">
      <c r="A143" s="227" t="s">
        <v>575</v>
      </c>
      <c r="B143" s="461">
        <v>100</v>
      </c>
      <c r="C143" s="462"/>
    </row>
  </sheetData>
  <mergeCells count="33">
    <mergeCell ref="B142:C142"/>
    <mergeCell ref="C40:D40"/>
    <mergeCell ref="A39:B39"/>
    <mergeCell ref="B143:C143"/>
    <mergeCell ref="A56:C56"/>
    <mergeCell ref="C41:D41"/>
    <mergeCell ref="A46:D46"/>
    <mergeCell ref="C42:D42"/>
    <mergeCell ref="C43:D43"/>
    <mergeCell ref="C44:D44"/>
    <mergeCell ref="A42:B42"/>
    <mergeCell ref="A43:B43"/>
    <mergeCell ref="A44:B44"/>
    <mergeCell ref="A73:I73"/>
    <mergeCell ref="A77:I77"/>
    <mergeCell ref="A82:I82"/>
    <mergeCell ref="A103:B103"/>
    <mergeCell ref="A19:A22"/>
    <mergeCell ref="A23:A26"/>
    <mergeCell ref="A105:B105"/>
    <mergeCell ref="B118:K118"/>
    <mergeCell ref="A41:B41"/>
    <mergeCell ref="A1:H1"/>
    <mergeCell ref="A12:H12"/>
    <mergeCell ref="A13:A14"/>
    <mergeCell ref="C13:H13"/>
    <mergeCell ref="B13:B14"/>
    <mergeCell ref="A15:A18"/>
    <mergeCell ref="A27:A30"/>
    <mergeCell ref="A31:A34"/>
    <mergeCell ref="A37:D37"/>
    <mergeCell ref="A40:B40"/>
    <mergeCell ref="C39:D39"/>
  </mergeCells>
  <phoneticPr fontId="4" type="noConversion"/>
  <pageMargins left="0.74803149606299213" right="0.74803149606299213" top="0.59055118110236227" bottom="0.98425196850393704" header="0.51181102362204722" footer="0.51181102362204722"/>
  <pageSetup paperSize="9" scale="28" orientation="portrait" r:id="rId1"/>
  <headerFooter alignWithMargins="0">
    <oddFooter>&amp;LОтдел СЭР села ЯНИИСХ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101"/>
  <sheetViews>
    <sheetView view="pageBreakPreview" zoomScaleNormal="100" zoomScaleSheetLayoutView="100" workbookViewId="0">
      <pane xSplit="1" ySplit="6" topLeftCell="B7" activePane="bottomRight" state="frozen"/>
      <selection activeCell="N31" sqref="N31"/>
      <selection pane="topRight" activeCell="N31" sqref="N31"/>
      <selection pane="bottomLeft" activeCell="N31" sqref="N31"/>
      <selection pane="bottomRight"/>
    </sheetView>
  </sheetViews>
  <sheetFormatPr defaultColWidth="9.140625" defaultRowHeight="11.25" x14ac:dyDescent="0.2"/>
  <cols>
    <col min="1" max="1" width="37.5703125" style="202" customWidth="1"/>
    <col min="2" max="2" width="21.5703125" style="201" customWidth="1"/>
    <col min="3" max="3" width="12.140625" style="203" customWidth="1"/>
    <col min="4" max="4" width="8.5703125" style="204" customWidth="1"/>
    <col min="5" max="5" width="7.28515625" style="201" customWidth="1"/>
    <col min="6" max="6" width="11.28515625" style="201" customWidth="1"/>
    <col min="7" max="7" width="9.7109375" style="201" customWidth="1"/>
    <col min="8" max="8" width="9.42578125" style="201" bestFit="1" customWidth="1"/>
    <col min="9" max="16384" width="9.140625" style="201"/>
  </cols>
  <sheetData>
    <row r="1" spans="1:10" ht="15.75" x14ac:dyDescent="0.2">
      <c r="A1" s="200" t="s">
        <v>602</v>
      </c>
      <c r="B1" s="200"/>
      <c r="C1" s="200"/>
      <c r="D1" s="200"/>
      <c r="E1" s="200"/>
      <c r="F1" s="200"/>
      <c r="G1" s="200"/>
    </row>
    <row r="2" spans="1:10" ht="15.75" x14ac:dyDescent="0.2">
      <c r="E2" s="205"/>
      <c r="F2" s="205"/>
      <c r="G2" s="205"/>
    </row>
    <row r="3" spans="1:10" ht="3.75" customHeight="1" x14ac:dyDescent="0.2"/>
    <row r="4" spans="1:10" s="206" customFormat="1" ht="24" customHeight="1" x14ac:dyDescent="0.2">
      <c r="A4" s="473" t="s">
        <v>216</v>
      </c>
      <c r="B4" s="473" t="s">
        <v>217</v>
      </c>
      <c r="C4" s="476" t="s">
        <v>11</v>
      </c>
      <c r="D4" s="469" t="s">
        <v>522</v>
      </c>
      <c r="E4" s="472" t="s">
        <v>585</v>
      </c>
      <c r="F4" s="469" t="s">
        <v>586</v>
      </c>
      <c r="G4" s="469" t="s">
        <v>523</v>
      </c>
    </row>
    <row r="5" spans="1:10" s="206" customFormat="1" ht="21.75" customHeight="1" x14ac:dyDescent="0.2">
      <c r="A5" s="474"/>
      <c r="B5" s="474"/>
      <c r="C5" s="477"/>
      <c r="D5" s="470"/>
      <c r="E5" s="472"/>
      <c r="F5" s="470"/>
      <c r="G5" s="470"/>
    </row>
    <row r="6" spans="1:10" s="206" customFormat="1" ht="24" customHeight="1" x14ac:dyDescent="0.2">
      <c r="A6" s="475"/>
      <c r="B6" s="475"/>
      <c r="C6" s="478"/>
      <c r="D6" s="471"/>
      <c r="E6" s="472"/>
      <c r="F6" s="471"/>
      <c r="G6" s="471"/>
    </row>
    <row r="7" spans="1:10" x14ac:dyDescent="0.2">
      <c r="A7" s="207" t="s">
        <v>223</v>
      </c>
      <c r="B7" s="208" t="s">
        <v>103</v>
      </c>
      <c r="C7" s="209">
        <v>463022.03</v>
      </c>
      <c r="D7" s="210">
        <v>8</v>
      </c>
      <c r="E7" s="375">
        <f>(100/D7)</f>
        <v>12.5</v>
      </c>
      <c r="F7" s="376">
        <v>1000</v>
      </c>
      <c r="G7" s="211">
        <f>((C7*E7%)/F7)*100%</f>
        <v>57.877753750000004</v>
      </c>
      <c r="H7" s="212"/>
      <c r="I7" s="212"/>
      <c r="J7" s="212"/>
    </row>
    <row r="8" spans="1:10" x14ac:dyDescent="0.2">
      <c r="A8" s="207" t="s">
        <v>224</v>
      </c>
      <c r="B8" s="208" t="s">
        <v>225</v>
      </c>
      <c r="C8" s="209">
        <v>901423.73</v>
      </c>
      <c r="D8" s="210">
        <v>10</v>
      </c>
      <c r="E8" s="375">
        <f t="shared" ref="E8:E71" si="0">(100/D8)</f>
        <v>10</v>
      </c>
      <c r="F8" s="208">
        <v>1200</v>
      </c>
      <c r="G8" s="211">
        <f t="shared" ref="G8:G71" si="1">((C8*E8%)/F8)*100%</f>
        <v>75.11864416666667</v>
      </c>
    </row>
    <row r="9" spans="1:10" x14ac:dyDescent="0.2">
      <c r="A9" s="207" t="s">
        <v>226</v>
      </c>
      <c r="B9" s="208" t="s">
        <v>227</v>
      </c>
      <c r="C9" s="209">
        <v>386694.9</v>
      </c>
      <c r="D9" s="210">
        <v>10</v>
      </c>
      <c r="E9" s="375">
        <f t="shared" si="0"/>
        <v>10</v>
      </c>
      <c r="F9" s="208">
        <v>1200</v>
      </c>
      <c r="G9" s="211">
        <f t="shared" si="1"/>
        <v>32.224575000000002</v>
      </c>
    </row>
    <row r="10" spans="1:10" x14ac:dyDescent="0.2">
      <c r="A10" s="207" t="s">
        <v>228</v>
      </c>
      <c r="B10" s="208" t="s">
        <v>105</v>
      </c>
      <c r="C10" s="377">
        <v>920000</v>
      </c>
      <c r="D10" s="210">
        <v>10</v>
      </c>
      <c r="E10" s="375">
        <f t="shared" si="0"/>
        <v>10</v>
      </c>
      <c r="F10" s="376">
        <v>1320</v>
      </c>
      <c r="G10" s="211">
        <f t="shared" si="1"/>
        <v>69.696969696969703</v>
      </c>
    </row>
    <row r="11" spans="1:10" x14ac:dyDescent="0.2">
      <c r="A11" s="207" t="s">
        <v>0</v>
      </c>
      <c r="B11" s="208" t="s">
        <v>184</v>
      </c>
      <c r="C11" s="377">
        <v>3256245</v>
      </c>
      <c r="D11" s="210">
        <v>10</v>
      </c>
      <c r="E11" s="375">
        <f t="shared" si="0"/>
        <v>10</v>
      </c>
      <c r="F11" s="376">
        <v>1790</v>
      </c>
      <c r="G11" s="211">
        <f t="shared" si="1"/>
        <v>181.91312849162011</v>
      </c>
    </row>
    <row r="12" spans="1:10" x14ac:dyDescent="0.2">
      <c r="A12" s="207" t="s">
        <v>229</v>
      </c>
      <c r="B12" s="208" t="s">
        <v>107</v>
      </c>
      <c r="C12" s="209">
        <v>679601.69</v>
      </c>
      <c r="D12" s="210">
        <v>10</v>
      </c>
      <c r="E12" s="375">
        <f t="shared" si="0"/>
        <v>10</v>
      </c>
      <c r="F12" s="376">
        <v>1100</v>
      </c>
      <c r="G12" s="211">
        <f t="shared" si="1"/>
        <v>61.781971818181816</v>
      </c>
    </row>
    <row r="13" spans="1:10" x14ac:dyDescent="0.2">
      <c r="A13" s="207" t="s">
        <v>229</v>
      </c>
      <c r="B13" s="208" t="s">
        <v>138</v>
      </c>
      <c r="C13" s="209">
        <v>345762.7</v>
      </c>
      <c r="D13" s="210">
        <v>8</v>
      </c>
      <c r="E13" s="375">
        <f t="shared" si="0"/>
        <v>12.5</v>
      </c>
      <c r="F13" s="208">
        <v>760</v>
      </c>
      <c r="G13" s="211">
        <f t="shared" si="1"/>
        <v>56.86886513157895</v>
      </c>
    </row>
    <row r="14" spans="1:10" x14ac:dyDescent="0.2">
      <c r="A14" s="213" t="s">
        <v>524</v>
      </c>
      <c r="B14" s="214" t="s">
        <v>183</v>
      </c>
      <c r="C14" s="215">
        <v>901423.73</v>
      </c>
      <c r="D14" s="210">
        <v>10</v>
      </c>
      <c r="E14" s="375">
        <f t="shared" si="0"/>
        <v>10</v>
      </c>
      <c r="F14" s="376">
        <v>1100</v>
      </c>
      <c r="G14" s="211">
        <f t="shared" si="1"/>
        <v>81.947611818181826</v>
      </c>
    </row>
    <row r="15" spans="1:10" x14ac:dyDescent="0.2">
      <c r="A15" s="207" t="s">
        <v>393</v>
      </c>
      <c r="B15" s="208" t="s">
        <v>360</v>
      </c>
      <c r="C15" s="209">
        <f>C13</f>
        <v>345762.7</v>
      </c>
      <c r="D15" s="210">
        <v>8</v>
      </c>
      <c r="E15" s="375">
        <f t="shared" si="0"/>
        <v>12.5</v>
      </c>
      <c r="F15" s="208">
        <v>1200</v>
      </c>
      <c r="G15" s="211">
        <f t="shared" si="1"/>
        <v>36.016947916666666</v>
      </c>
    </row>
    <row r="16" spans="1:10" x14ac:dyDescent="0.2">
      <c r="A16" s="207" t="s">
        <v>525</v>
      </c>
      <c r="B16" s="208" t="s">
        <v>526</v>
      </c>
      <c r="C16" s="209">
        <v>3743397</v>
      </c>
      <c r="D16" s="210">
        <v>10</v>
      </c>
      <c r="E16" s="375">
        <f t="shared" si="0"/>
        <v>10</v>
      </c>
      <c r="F16" s="208">
        <v>150</v>
      </c>
      <c r="G16" s="211">
        <f t="shared" si="1"/>
        <v>2495.598</v>
      </c>
    </row>
    <row r="17" spans="1:7" ht="11.25" customHeight="1" x14ac:dyDescent="0.2">
      <c r="A17" s="207" t="s">
        <v>230</v>
      </c>
      <c r="B17" s="208" t="s">
        <v>114</v>
      </c>
      <c r="C17" s="209">
        <v>1200366.1000000001</v>
      </c>
      <c r="D17" s="210">
        <v>10</v>
      </c>
      <c r="E17" s="375">
        <f t="shared" si="0"/>
        <v>10</v>
      </c>
      <c r="F17" s="208">
        <v>115</v>
      </c>
      <c r="G17" s="211">
        <f t="shared" si="1"/>
        <v>1043.7966086956524</v>
      </c>
    </row>
    <row r="18" spans="1:7" x14ac:dyDescent="0.2">
      <c r="A18" s="207" t="s">
        <v>527</v>
      </c>
      <c r="B18" s="208" t="s">
        <v>528</v>
      </c>
      <c r="C18" s="209">
        <v>1800000</v>
      </c>
      <c r="D18" s="210">
        <v>10</v>
      </c>
      <c r="E18" s="375">
        <f t="shared" si="0"/>
        <v>10</v>
      </c>
      <c r="F18" s="208">
        <v>150</v>
      </c>
      <c r="G18" s="211">
        <f t="shared" si="1"/>
        <v>1200</v>
      </c>
    </row>
    <row r="19" spans="1:7" x14ac:dyDescent="0.2">
      <c r="A19" s="207" t="s">
        <v>231</v>
      </c>
      <c r="B19" s="216" t="s">
        <v>394</v>
      </c>
      <c r="C19" s="217">
        <v>630760</v>
      </c>
      <c r="D19" s="210">
        <v>10</v>
      </c>
      <c r="E19" s="375">
        <f t="shared" si="0"/>
        <v>10</v>
      </c>
      <c r="F19" s="208">
        <v>1200</v>
      </c>
      <c r="G19" s="211">
        <f t="shared" si="1"/>
        <v>52.563333333333333</v>
      </c>
    </row>
    <row r="20" spans="1:7" x14ac:dyDescent="0.2">
      <c r="A20" s="207" t="s">
        <v>232</v>
      </c>
      <c r="B20" s="208" t="s">
        <v>209</v>
      </c>
      <c r="C20" s="209">
        <v>15000</v>
      </c>
      <c r="D20" s="210">
        <v>8</v>
      </c>
      <c r="E20" s="375">
        <f t="shared" si="0"/>
        <v>12.5</v>
      </c>
      <c r="F20" s="208">
        <v>160</v>
      </c>
      <c r="G20" s="211">
        <f t="shared" si="1"/>
        <v>11.71875</v>
      </c>
    </row>
    <row r="21" spans="1:7" x14ac:dyDescent="0.2">
      <c r="A21" s="207" t="s">
        <v>233</v>
      </c>
      <c r="B21" s="208" t="s">
        <v>234</v>
      </c>
      <c r="C21" s="209">
        <v>101694.9</v>
      </c>
      <c r="D21" s="210">
        <v>8</v>
      </c>
      <c r="E21" s="375">
        <f t="shared" si="0"/>
        <v>12.5</v>
      </c>
      <c r="F21" s="376">
        <v>280</v>
      </c>
      <c r="G21" s="211">
        <f t="shared" si="1"/>
        <v>45.399508928571429</v>
      </c>
    </row>
    <row r="22" spans="1:7" ht="11.25" customHeight="1" x14ac:dyDescent="0.2">
      <c r="A22" s="207" t="s">
        <v>387</v>
      </c>
      <c r="B22" s="207" t="s">
        <v>387</v>
      </c>
      <c r="C22" s="209">
        <f>C21</f>
        <v>101694.9</v>
      </c>
      <c r="D22" s="210">
        <v>8</v>
      </c>
      <c r="E22" s="375">
        <f t="shared" si="0"/>
        <v>12.5</v>
      </c>
      <c r="F22" s="376">
        <v>280</v>
      </c>
      <c r="G22" s="211">
        <f t="shared" si="1"/>
        <v>45.399508928571429</v>
      </c>
    </row>
    <row r="23" spans="1:7" x14ac:dyDescent="0.2">
      <c r="A23" s="207" t="s">
        <v>235</v>
      </c>
      <c r="B23" s="208" t="s">
        <v>236</v>
      </c>
      <c r="C23" s="209">
        <v>122033.8</v>
      </c>
      <c r="D23" s="210">
        <v>9</v>
      </c>
      <c r="E23" s="375">
        <f t="shared" si="0"/>
        <v>11.111111111111111</v>
      </c>
      <c r="F23" s="376">
        <v>280</v>
      </c>
      <c r="G23" s="211">
        <f t="shared" si="1"/>
        <v>48.426111111111105</v>
      </c>
    </row>
    <row r="24" spans="1:7" x14ac:dyDescent="0.2">
      <c r="A24" s="207" t="s">
        <v>237</v>
      </c>
      <c r="B24" s="208" t="s">
        <v>116</v>
      </c>
      <c r="C24" s="209">
        <v>1230426.27</v>
      </c>
      <c r="D24" s="210">
        <v>8</v>
      </c>
      <c r="E24" s="375">
        <f t="shared" si="0"/>
        <v>12.5</v>
      </c>
      <c r="F24" s="376">
        <v>280</v>
      </c>
      <c r="G24" s="211">
        <f t="shared" si="1"/>
        <v>549.29744196428567</v>
      </c>
    </row>
    <row r="25" spans="1:7" x14ac:dyDescent="0.2">
      <c r="A25" s="207" t="s">
        <v>238</v>
      </c>
      <c r="B25" s="208" t="s">
        <v>115</v>
      </c>
      <c r="C25" s="209">
        <v>73863.56</v>
      </c>
      <c r="D25" s="210">
        <v>10</v>
      </c>
      <c r="E25" s="375">
        <f t="shared" si="0"/>
        <v>10</v>
      </c>
      <c r="F25" s="378">
        <v>590</v>
      </c>
      <c r="G25" s="211">
        <f t="shared" si="1"/>
        <v>12.519247457627118</v>
      </c>
    </row>
    <row r="26" spans="1:7" x14ac:dyDescent="0.2">
      <c r="A26" s="207" t="s">
        <v>389</v>
      </c>
      <c r="B26" s="208" t="s">
        <v>388</v>
      </c>
      <c r="C26" s="209">
        <f>C25</f>
        <v>73863.56</v>
      </c>
      <c r="D26" s="210">
        <v>10</v>
      </c>
      <c r="E26" s="375">
        <f t="shared" si="0"/>
        <v>10</v>
      </c>
      <c r="F26" s="379">
        <f>F25</f>
        <v>590</v>
      </c>
      <c r="G26" s="211">
        <f t="shared" si="1"/>
        <v>12.519247457627118</v>
      </c>
    </row>
    <row r="27" spans="1:7" x14ac:dyDescent="0.2">
      <c r="A27" s="207" t="s">
        <v>239</v>
      </c>
      <c r="B27" s="208" t="s">
        <v>191</v>
      </c>
      <c r="C27" s="209">
        <v>371186.4</v>
      </c>
      <c r="D27" s="373">
        <v>8</v>
      </c>
      <c r="E27" s="375">
        <f t="shared" si="0"/>
        <v>12.5</v>
      </c>
      <c r="F27" s="374">
        <v>135</v>
      </c>
      <c r="G27" s="211">
        <f t="shared" si="1"/>
        <v>343.69111111111113</v>
      </c>
    </row>
    <row r="28" spans="1:7" x14ac:dyDescent="0.2">
      <c r="A28" s="207" t="s">
        <v>240</v>
      </c>
      <c r="B28" s="208" t="s">
        <v>195</v>
      </c>
      <c r="C28" s="209">
        <v>369491.53</v>
      </c>
      <c r="D28" s="210">
        <v>8</v>
      </c>
      <c r="E28" s="375">
        <f t="shared" si="0"/>
        <v>12.5</v>
      </c>
      <c r="F28" s="374">
        <v>120</v>
      </c>
      <c r="G28" s="211">
        <f t="shared" si="1"/>
        <v>384.88701041666667</v>
      </c>
    </row>
    <row r="29" spans="1:7" x14ac:dyDescent="0.2">
      <c r="A29" s="207" t="s">
        <v>241</v>
      </c>
      <c r="B29" s="208" t="s">
        <v>193</v>
      </c>
      <c r="C29" s="209">
        <v>166779.6</v>
      </c>
      <c r="D29" s="210">
        <v>7</v>
      </c>
      <c r="E29" s="375">
        <f t="shared" si="0"/>
        <v>14.285714285714286</v>
      </c>
      <c r="F29" s="374">
        <v>168</v>
      </c>
      <c r="G29" s="211">
        <f t="shared" si="1"/>
        <v>141.81938775510207</v>
      </c>
    </row>
    <row r="30" spans="1:7" x14ac:dyDescent="0.2">
      <c r="A30" s="207" t="s">
        <v>242</v>
      </c>
      <c r="B30" s="208" t="s">
        <v>192</v>
      </c>
      <c r="C30" s="209">
        <v>82627.12</v>
      </c>
      <c r="D30" s="210">
        <v>5</v>
      </c>
      <c r="E30" s="375">
        <f t="shared" si="0"/>
        <v>20</v>
      </c>
      <c r="F30" s="374">
        <v>115</v>
      </c>
      <c r="G30" s="211">
        <f t="shared" si="1"/>
        <v>143.69933913043477</v>
      </c>
    </row>
    <row r="31" spans="1:7" x14ac:dyDescent="0.2">
      <c r="A31" s="207" t="s">
        <v>243</v>
      </c>
      <c r="B31" s="208" t="s">
        <v>194</v>
      </c>
      <c r="C31" s="209">
        <v>494067.8</v>
      </c>
      <c r="D31" s="210">
        <v>6</v>
      </c>
      <c r="E31" s="375">
        <f>(100/D31)</f>
        <v>16.666666666666668</v>
      </c>
      <c r="F31" s="374">
        <v>120</v>
      </c>
      <c r="G31" s="211">
        <f t="shared" si="1"/>
        <v>686.20527777777784</v>
      </c>
    </row>
    <row r="32" spans="1:7" x14ac:dyDescent="0.2">
      <c r="A32" s="218" t="s">
        <v>244</v>
      </c>
      <c r="B32" s="219" t="s">
        <v>149</v>
      </c>
      <c r="C32" s="209">
        <v>573559.30000000005</v>
      </c>
      <c r="D32" s="210">
        <v>8</v>
      </c>
      <c r="E32" s="375">
        <f t="shared" si="0"/>
        <v>12.5</v>
      </c>
      <c r="F32" s="374">
        <v>600</v>
      </c>
      <c r="G32" s="211">
        <f t="shared" si="1"/>
        <v>119.49152083333334</v>
      </c>
    </row>
    <row r="33" spans="1:7" x14ac:dyDescent="0.2">
      <c r="A33" s="207" t="s">
        <v>245</v>
      </c>
      <c r="B33" s="208" t="s">
        <v>120</v>
      </c>
      <c r="C33" s="209">
        <v>92542.399999999994</v>
      </c>
      <c r="D33" s="210">
        <v>5</v>
      </c>
      <c r="E33" s="375">
        <f t="shared" si="0"/>
        <v>20</v>
      </c>
      <c r="F33" s="378">
        <v>190</v>
      </c>
      <c r="G33" s="211">
        <f t="shared" si="1"/>
        <v>97.41305263157895</v>
      </c>
    </row>
    <row r="34" spans="1:7" x14ac:dyDescent="0.2">
      <c r="A34" s="207" t="s">
        <v>391</v>
      </c>
      <c r="B34" s="208" t="s">
        <v>390</v>
      </c>
      <c r="C34" s="209">
        <f>C33</f>
        <v>92542.399999999994</v>
      </c>
      <c r="D34" s="210">
        <v>5</v>
      </c>
      <c r="E34" s="375">
        <f t="shared" si="0"/>
        <v>20</v>
      </c>
      <c r="F34" s="378">
        <v>190</v>
      </c>
      <c r="G34" s="211">
        <f t="shared" si="1"/>
        <v>97.41305263157895</v>
      </c>
    </row>
    <row r="35" spans="1:7" x14ac:dyDescent="0.2">
      <c r="A35" s="207" t="s">
        <v>1</v>
      </c>
      <c r="B35" s="208" t="s">
        <v>415</v>
      </c>
      <c r="C35" s="209">
        <v>600000</v>
      </c>
      <c r="D35" s="210">
        <v>5</v>
      </c>
      <c r="E35" s="375">
        <f t="shared" si="0"/>
        <v>20</v>
      </c>
      <c r="F35" s="378">
        <v>190</v>
      </c>
      <c r="G35" s="211">
        <f t="shared" si="1"/>
        <v>631.57894736842104</v>
      </c>
    </row>
    <row r="36" spans="1:7" x14ac:dyDescent="0.2">
      <c r="A36" s="207" t="s">
        <v>246</v>
      </c>
      <c r="B36" s="208" t="s">
        <v>111</v>
      </c>
      <c r="C36" s="209">
        <v>280000</v>
      </c>
      <c r="D36" s="210">
        <v>5</v>
      </c>
      <c r="E36" s="375">
        <f t="shared" si="0"/>
        <v>20</v>
      </c>
      <c r="F36" s="378">
        <v>190</v>
      </c>
      <c r="G36" s="211">
        <f t="shared" si="1"/>
        <v>294.73684210526318</v>
      </c>
    </row>
    <row r="37" spans="1:7" x14ac:dyDescent="0.2">
      <c r="A37" s="207" t="s">
        <v>247</v>
      </c>
      <c r="B37" s="208" t="s">
        <v>248</v>
      </c>
      <c r="C37" s="209">
        <v>66101.600000000006</v>
      </c>
      <c r="D37" s="210">
        <v>5</v>
      </c>
      <c r="E37" s="375">
        <f t="shared" si="0"/>
        <v>20</v>
      </c>
      <c r="F37" s="378">
        <v>190</v>
      </c>
      <c r="G37" s="211">
        <f t="shared" si="1"/>
        <v>69.580631578947376</v>
      </c>
    </row>
    <row r="38" spans="1:7" x14ac:dyDescent="0.2">
      <c r="A38" s="207" t="s">
        <v>249</v>
      </c>
      <c r="B38" s="208" t="s">
        <v>124</v>
      </c>
      <c r="C38" s="209">
        <v>172881.36</v>
      </c>
      <c r="D38" s="373">
        <v>2</v>
      </c>
      <c r="E38" s="375">
        <f t="shared" si="0"/>
        <v>50</v>
      </c>
      <c r="F38" s="374">
        <v>600</v>
      </c>
      <c r="G38" s="211">
        <f t="shared" si="1"/>
        <v>144.06779999999998</v>
      </c>
    </row>
    <row r="39" spans="1:7" x14ac:dyDescent="0.2">
      <c r="A39" s="207" t="s">
        <v>250</v>
      </c>
      <c r="B39" s="208" t="s">
        <v>251</v>
      </c>
      <c r="C39" s="209">
        <v>71237.2</v>
      </c>
      <c r="D39" s="210">
        <v>6</v>
      </c>
      <c r="E39" s="375">
        <f t="shared" si="0"/>
        <v>16.666666666666668</v>
      </c>
      <c r="F39" s="378">
        <v>122</v>
      </c>
      <c r="G39" s="211">
        <f t="shared" si="1"/>
        <v>97.318579234972674</v>
      </c>
    </row>
    <row r="40" spans="1:7" x14ac:dyDescent="0.2">
      <c r="A40" s="207" t="s">
        <v>252</v>
      </c>
      <c r="B40" s="208" t="s">
        <v>200</v>
      </c>
      <c r="C40" s="209">
        <v>29118.6</v>
      </c>
      <c r="D40" s="210">
        <v>6</v>
      </c>
      <c r="E40" s="375">
        <f t="shared" si="0"/>
        <v>16.666666666666668</v>
      </c>
      <c r="F40" s="378">
        <v>122</v>
      </c>
      <c r="G40" s="211">
        <f t="shared" si="1"/>
        <v>39.779508196721316</v>
      </c>
    </row>
    <row r="41" spans="1:7" x14ac:dyDescent="0.2">
      <c r="A41" s="207" t="s">
        <v>253</v>
      </c>
      <c r="B41" s="208" t="s">
        <v>211</v>
      </c>
      <c r="C41" s="209">
        <v>14872.8</v>
      </c>
      <c r="D41" s="210">
        <v>5</v>
      </c>
      <c r="E41" s="375">
        <f t="shared" si="0"/>
        <v>20</v>
      </c>
      <c r="F41" s="378">
        <v>168</v>
      </c>
      <c r="G41" s="211">
        <f t="shared" si="1"/>
        <v>17.705714285714286</v>
      </c>
    </row>
    <row r="42" spans="1:7" x14ac:dyDescent="0.2">
      <c r="A42" s="218" t="s">
        <v>254</v>
      </c>
      <c r="B42" s="219" t="s">
        <v>204</v>
      </c>
      <c r="C42" s="209">
        <v>22033.8</v>
      </c>
      <c r="D42" s="210">
        <v>6</v>
      </c>
      <c r="E42" s="375">
        <f t="shared" si="0"/>
        <v>16.666666666666668</v>
      </c>
      <c r="F42" s="378">
        <v>122</v>
      </c>
      <c r="G42" s="211">
        <f t="shared" si="1"/>
        <v>30.100819672131149</v>
      </c>
    </row>
    <row r="43" spans="1:7" x14ac:dyDescent="0.2">
      <c r="A43" s="207" t="s">
        <v>249</v>
      </c>
      <c r="B43" s="208" t="s">
        <v>145</v>
      </c>
      <c r="C43" s="209">
        <v>88135.5</v>
      </c>
      <c r="D43" s="373">
        <v>2</v>
      </c>
      <c r="E43" s="375">
        <f t="shared" si="0"/>
        <v>50</v>
      </c>
      <c r="F43" s="374">
        <v>600</v>
      </c>
      <c r="G43" s="211">
        <f t="shared" si="1"/>
        <v>73.446250000000006</v>
      </c>
    </row>
    <row r="44" spans="1:7" x14ac:dyDescent="0.2">
      <c r="A44" s="207" t="s">
        <v>255</v>
      </c>
      <c r="B44" s="208" t="s">
        <v>132</v>
      </c>
      <c r="C44" s="209">
        <v>99679.66</v>
      </c>
      <c r="D44" s="210">
        <v>10</v>
      </c>
      <c r="E44" s="375">
        <f t="shared" si="0"/>
        <v>10</v>
      </c>
      <c r="F44" s="374">
        <v>675</v>
      </c>
      <c r="G44" s="211">
        <f t="shared" si="1"/>
        <v>14.767357037037037</v>
      </c>
    </row>
    <row r="45" spans="1:7" x14ac:dyDescent="0.2">
      <c r="A45" s="213" t="s">
        <v>529</v>
      </c>
      <c r="B45" s="214" t="s">
        <v>530</v>
      </c>
      <c r="C45" s="215">
        <v>40645</v>
      </c>
      <c r="D45" s="210">
        <v>8</v>
      </c>
      <c r="E45" s="375">
        <f t="shared" si="0"/>
        <v>12.5</v>
      </c>
      <c r="F45" s="378">
        <v>112</v>
      </c>
      <c r="G45" s="211">
        <f t="shared" si="1"/>
        <v>45.362723214285715</v>
      </c>
    </row>
    <row r="46" spans="1:7" x14ac:dyDescent="0.2">
      <c r="A46" s="207" t="s">
        <v>256</v>
      </c>
      <c r="B46" s="208" t="s">
        <v>151</v>
      </c>
      <c r="C46" s="209">
        <v>40644.92</v>
      </c>
      <c r="D46" s="210">
        <v>8</v>
      </c>
      <c r="E46" s="375">
        <f t="shared" si="0"/>
        <v>12.5</v>
      </c>
      <c r="F46" s="378">
        <v>112</v>
      </c>
      <c r="G46" s="211">
        <f t="shared" si="1"/>
        <v>45.362633928571427</v>
      </c>
    </row>
    <row r="47" spans="1:7" x14ac:dyDescent="0.2">
      <c r="A47" s="207" t="s">
        <v>257</v>
      </c>
      <c r="B47" s="208" t="s">
        <v>190</v>
      </c>
      <c r="C47" s="209">
        <v>77118.600000000006</v>
      </c>
      <c r="D47" s="210">
        <v>8</v>
      </c>
      <c r="E47" s="375">
        <f t="shared" si="0"/>
        <v>12.5</v>
      </c>
      <c r="F47" s="378">
        <v>112</v>
      </c>
      <c r="G47" s="211">
        <f t="shared" si="1"/>
        <v>86.069866071428578</v>
      </c>
    </row>
    <row r="48" spans="1:7" x14ac:dyDescent="0.2">
      <c r="A48" s="218" t="s">
        <v>258</v>
      </c>
      <c r="B48" s="219" t="s">
        <v>128</v>
      </c>
      <c r="C48" s="209">
        <v>208474.5</v>
      </c>
      <c r="D48" s="210">
        <v>8</v>
      </c>
      <c r="E48" s="375">
        <f t="shared" si="0"/>
        <v>12.5</v>
      </c>
      <c r="F48" s="374">
        <v>120</v>
      </c>
      <c r="G48" s="211">
        <f t="shared" si="1"/>
        <v>217.16093749999999</v>
      </c>
    </row>
    <row r="49" spans="1:7" x14ac:dyDescent="0.2">
      <c r="A49" s="207" t="s">
        <v>259</v>
      </c>
      <c r="B49" s="208" t="s">
        <v>133</v>
      </c>
      <c r="C49" s="377">
        <v>150000</v>
      </c>
      <c r="D49" s="210">
        <v>7</v>
      </c>
      <c r="E49" s="375">
        <f t="shared" si="0"/>
        <v>14.285714285714286</v>
      </c>
      <c r="F49" s="374">
        <v>135</v>
      </c>
      <c r="G49" s="211">
        <f t="shared" si="1"/>
        <v>158.73015873015876</v>
      </c>
    </row>
    <row r="50" spans="1:7" x14ac:dyDescent="0.2">
      <c r="A50" s="207" t="s">
        <v>260</v>
      </c>
      <c r="B50" s="208" t="s">
        <v>210</v>
      </c>
      <c r="C50" s="209">
        <v>18220.34</v>
      </c>
      <c r="D50" s="210">
        <v>5</v>
      </c>
      <c r="E50" s="375">
        <f t="shared" si="0"/>
        <v>20</v>
      </c>
      <c r="F50" s="374">
        <v>120</v>
      </c>
      <c r="G50" s="211">
        <f t="shared" si="1"/>
        <v>30.367233333333335</v>
      </c>
    </row>
    <row r="51" spans="1:7" x14ac:dyDescent="0.2">
      <c r="A51" s="207" t="s">
        <v>261</v>
      </c>
      <c r="B51" s="208" t="s">
        <v>262</v>
      </c>
      <c r="C51" s="209">
        <v>511102.54</v>
      </c>
      <c r="D51" s="210">
        <v>8</v>
      </c>
      <c r="E51" s="375">
        <f t="shared" si="0"/>
        <v>12.5</v>
      </c>
      <c r="F51" s="374">
        <v>200</v>
      </c>
      <c r="G51" s="211">
        <f t="shared" si="1"/>
        <v>319.43908749999997</v>
      </c>
    </row>
    <row r="52" spans="1:7" x14ac:dyDescent="0.2">
      <c r="A52" s="207" t="s">
        <v>263</v>
      </c>
      <c r="B52" s="208" t="s">
        <v>264</v>
      </c>
      <c r="C52" s="209">
        <v>74745.8</v>
      </c>
      <c r="D52" s="210">
        <v>8</v>
      </c>
      <c r="E52" s="375">
        <f t="shared" si="0"/>
        <v>12.5</v>
      </c>
      <c r="F52" s="378">
        <v>185</v>
      </c>
      <c r="G52" s="211">
        <f t="shared" si="1"/>
        <v>50.50391891891892</v>
      </c>
    </row>
    <row r="53" spans="1:7" x14ac:dyDescent="0.2">
      <c r="A53" s="207" t="s">
        <v>265</v>
      </c>
      <c r="B53" s="208" t="s">
        <v>121</v>
      </c>
      <c r="C53" s="209">
        <v>66101.600000000006</v>
      </c>
      <c r="D53" s="210">
        <v>8</v>
      </c>
      <c r="E53" s="375">
        <f t="shared" si="0"/>
        <v>12.5</v>
      </c>
      <c r="F53" s="374">
        <v>160</v>
      </c>
      <c r="G53" s="211">
        <f t="shared" si="1"/>
        <v>51.641875000000006</v>
      </c>
    </row>
    <row r="54" spans="1:7" x14ac:dyDescent="0.2">
      <c r="A54" s="207" t="s">
        <v>266</v>
      </c>
      <c r="B54" s="208" t="s">
        <v>150</v>
      </c>
      <c r="C54" s="209">
        <v>69525.399999999994</v>
      </c>
      <c r="D54" s="210">
        <v>8</v>
      </c>
      <c r="E54" s="375">
        <f t="shared" si="0"/>
        <v>12.5</v>
      </c>
      <c r="F54" s="374">
        <v>200</v>
      </c>
      <c r="G54" s="211">
        <f t="shared" si="1"/>
        <v>43.453374999999994</v>
      </c>
    </row>
    <row r="55" spans="1:7" x14ac:dyDescent="0.2">
      <c r="A55" s="207"/>
      <c r="B55" s="208" t="s">
        <v>416</v>
      </c>
      <c r="C55" s="209">
        <v>600000</v>
      </c>
      <c r="D55" s="210">
        <v>8</v>
      </c>
      <c r="E55" s="375">
        <f t="shared" si="0"/>
        <v>12.5</v>
      </c>
      <c r="F55" s="374">
        <v>65</v>
      </c>
      <c r="G55" s="211">
        <f t="shared" si="1"/>
        <v>1153.8461538461538</v>
      </c>
    </row>
    <row r="56" spans="1:7" x14ac:dyDescent="0.2">
      <c r="A56" s="207" t="s">
        <v>267</v>
      </c>
      <c r="B56" s="208" t="s">
        <v>130</v>
      </c>
      <c r="C56" s="209">
        <v>52203.4</v>
      </c>
      <c r="D56" s="210">
        <v>8</v>
      </c>
      <c r="E56" s="375">
        <f t="shared" si="0"/>
        <v>12.5</v>
      </c>
      <c r="F56" s="374">
        <v>195</v>
      </c>
      <c r="G56" s="211">
        <f t="shared" si="1"/>
        <v>33.463717948717949</v>
      </c>
    </row>
    <row r="57" spans="1:7" x14ac:dyDescent="0.2">
      <c r="A57" s="218" t="s">
        <v>268</v>
      </c>
      <c r="B57" s="219" t="s">
        <v>199</v>
      </c>
      <c r="C57" s="209">
        <v>19491.5</v>
      </c>
      <c r="D57" s="210">
        <v>5</v>
      </c>
      <c r="E57" s="375">
        <f t="shared" si="0"/>
        <v>20</v>
      </c>
      <c r="F57" s="374">
        <v>130</v>
      </c>
      <c r="G57" s="211">
        <f t="shared" si="1"/>
        <v>29.986923076923077</v>
      </c>
    </row>
    <row r="58" spans="1:7" x14ac:dyDescent="0.2">
      <c r="A58" s="207" t="s">
        <v>269</v>
      </c>
      <c r="B58" s="208" t="s">
        <v>197</v>
      </c>
      <c r="C58" s="209">
        <v>1423728.81</v>
      </c>
      <c r="D58" s="210">
        <v>7</v>
      </c>
      <c r="E58" s="375">
        <f t="shared" si="0"/>
        <v>14.285714285714286</v>
      </c>
      <c r="F58" s="374">
        <v>130</v>
      </c>
      <c r="G58" s="211">
        <f t="shared" si="1"/>
        <v>1564.5371538461543</v>
      </c>
    </row>
    <row r="59" spans="1:7" x14ac:dyDescent="0.2">
      <c r="A59" s="207" t="s">
        <v>2</v>
      </c>
      <c r="B59" s="208" t="s">
        <v>425</v>
      </c>
      <c r="C59" s="209">
        <v>450000</v>
      </c>
      <c r="D59" s="210">
        <v>8</v>
      </c>
      <c r="E59" s="375">
        <f t="shared" si="0"/>
        <v>12.5</v>
      </c>
      <c r="F59" s="374">
        <v>80</v>
      </c>
      <c r="G59" s="211">
        <f t="shared" si="1"/>
        <v>703.125</v>
      </c>
    </row>
    <row r="60" spans="1:7" x14ac:dyDescent="0.2">
      <c r="A60" s="207" t="s">
        <v>270</v>
      </c>
      <c r="B60" s="208" t="s">
        <v>136</v>
      </c>
      <c r="C60" s="209">
        <v>41864.400000000001</v>
      </c>
      <c r="D60" s="210">
        <v>8</v>
      </c>
      <c r="E60" s="375">
        <f t="shared" si="0"/>
        <v>12.5</v>
      </c>
      <c r="F60" s="374">
        <v>125</v>
      </c>
      <c r="G60" s="211">
        <f t="shared" si="1"/>
        <v>41.864400000000003</v>
      </c>
    </row>
    <row r="61" spans="1:7" x14ac:dyDescent="0.2">
      <c r="A61" s="207" t="s">
        <v>271</v>
      </c>
      <c r="B61" s="208" t="s">
        <v>134</v>
      </c>
      <c r="C61" s="209">
        <v>65254.2</v>
      </c>
      <c r="D61" s="210">
        <v>8</v>
      </c>
      <c r="E61" s="375">
        <f t="shared" si="0"/>
        <v>12.5</v>
      </c>
      <c r="F61" s="374">
        <v>160</v>
      </c>
      <c r="G61" s="211">
        <f t="shared" si="1"/>
        <v>50.979843750000001</v>
      </c>
    </row>
    <row r="62" spans="1:7" x14ac:dyDescent="0.2">
      <c r="A62" s="207" t="s">
        <v>272</v>
      </c>
      <c r="B62" s="208" t="s">
        <v>273</v>
      </c>
      <c r="C62" s="209">
        <v>233898.31</v>
      </c>
      <c r="D62" s="210">
        <v>8</v>
      </c>
      <c r="E62" s="375">
        <f t="shared" si="0"/>
        <v>12.5</v>
      </c>
      <c r="F62" s="378">
        <v>160</v>
      </c>
      <c r="G62" s="211">
        <f t="shared" si="1"/>
        <v>182.73305468749999</v>
      </c>
    </row>
    <row r="63" spans="1:7" x14ac:dyDescent="0.2">
      <c r="A63" s="207" t="s">
        <v>272</v>
      </c>
      <c r="B63" s="208" t="s">
        <v>196</v>
      </c>
      <c r="C63" s="209">
        <v>320338.98</v>
      </c>
      <c r="D63" s="210">
        <v>8</v>
      </c>
      <c r="E63" s="375">
        <f t="shared" si="0"/>
        <v>12.5</v>
      </c>
      <c r="F63" s="378">
        <v>160</v>
      </c>
      <c r="G63" s="211">
        <f t="shared" si="1"/>
        <v>250.26482812499998</v>
      </c>
    </row>
    <row r="64" spans="1:7" x14ac:dyDescent="0.2">
      <c r="A64" s="207" t="s">
        <v>274</v>
      </c>
      <c r="B64" s="208" t="s">
        <v>126</v>
      </c>
      <c r="C64" s="209">
        <v>90666.95</v>
      </c>
      <c r="D64" s="210">
        <v>7</v>
      </c>
      <c r="E64" s="375">
        <f t="shared" si="0"/>
        <v>14.285714285714286</v>
      </c>
      <c r="F64" s="378">
        <v>120</v>
      </c>
      <c r="G64" s="211">
        <f t="shared" si="1"/>
        <v>107.93684523809524</v>
      </c>
    </row>
    <row r="65" spans="1:7" x14ac:dyDescent="0.2">
      <c r="A65" s="207" t="s">
        <v>275</v>
      </c>
      <c r="B65" s="208" t="s">
        <v>143</v>
      </c>
      <c r="C65" s="209">
        <v>61016.9</v>
      </c>
      <c r="D65" s="210">
        <v>7</v>
      </c>
      <c r="E65" s="375">
        <f t="shared" si="0"/>
        <v>14.285714285714286</v>
      </c>
      <c r="F65" s="378">
        <v>120</v>
      </c>
      <c r="G65" s="211">
        <f t="shared" si="1"/>
        <v>72.639166666666668</v>
      </c>
    </row>
    <row r="66" spans="1:7" x14ac:dyDescent="0.2">
      <c r="A66" s="207" t="s">
        <v>276</v>
      </c>
      <c r="B66" s="208" t="s">
        <v>112</v>
      </c>
      <c r="C66" s="209">
        <v>165254.24</v>
      </c>
      <c r="D66" s="210">
        <v>6</v>
      </c>
      <c r="E66" s="375">
        <f t="shared" si="0"/>
        <v>16.666666666666668</v>
      </c>
      <c r="F66" s="374">
        <v>140</v>
      </c>
      <c r="G66" s="211">
        <f t="shared" si="1"/>
        <v>196.73123809523813</v>
      </c>
    </row>
    <row r="67" spans="1:7" x14ac:dyDescent="0.2">
      <c r="A67" s="207" t="s">
        <v>277</v>
      </c>
      <c r="B67" s="219" t="s">
        <v>139</v>
      </c>
      <c r="C67" s="209">
        <v>172881.3</v>
      </c>
      <c r="D67" s="210">
        <v>10</v>
      </c>
      <c r="E67" s="375">
        <f t="shared" si="0"/>
        <v>10</v>
      </c>
      <c r="F67" s="374">
        <v>125</v>
      </c>
      <c r="G67" s="211">
        <f t="shared" si="1"/>
        <v>138.30504000000002</v>
      </c>
    </row>
    <row r="68" spans="1:7" x14ac:dyDescent="0.2">
      <c r="A68" s="218" t="s">
        <v>278</v>
      </c>
      <c r="B68" s="219" t="s">
        <v>144</v>
      </c>
      <c r="C68" s="209">
        <v>16400</v>
      </c>
      <c r="D68" s="210">
        <v>5</v>
      </c>
      <c r="E68" s="375">
        <f t="shared" si="0"/>
        <v>20</v>
      </c>
      <c r="F68" s="374">
        <v>26</v>
      </c>
      <c r="G68" s="211">
        <f t="shared" si="1"/>
        <v>126.15384615384616</v>
      </c>
    </row>
    <row r="69" spans="1:7" x14ac:dyDescent="0.2">
      <c r="A69" s="207" t="s">
        <v>279</v>
      </c>
      <c r="B69" s="208" t="s">
        <v>137</v>
      </c>
      <c r="C69" s="209">
        <v>82627.12</v>
      </c>
      <c r="D69" s="210">
        <v>7</v>
      </c>
      <c r="E69" s="375">
        <f t="shared" si="0"/>
        <v>14.285714285714286</v>
      </c>
      <c r="F69" s="374">
        <v>600</v>
      </c>
      <c r="G69" s="211">
        <f t="shared" si="1"/>
        <v>19.673123809523812</v>
      </c>
    </row>
    <row r="70" spans="1:7" x14ac:dyDescent="0.2">
      <c r="A70" s="207" t="s">
        <v>3</v>
      </c>
      <c r="B70" s="208" t="s">
        <v>418</v>
      </c>
      <c r="C70" s="209">
        <v>190000</v>
      </c>
      <c r="D70" s="210">
        <v>7</v>
      </c>
      <c r="E70" s="375">
        <f t="shared" si="0"/>
        <v>14.285714285714286</v>
      </c>
      <c r="F70" s="374">
        <v>600</v>
      </c>
      <c r="G70" s="211">
        <f t="shared" si="1"/>
        <v>45.238095238095241</v>
      </c>
    </row>
    <row r="71" spans="1:7" x14ac:dyDescent="0.2">
      <c r="A71" s="207" t="s">
        <v>280</v>
      </c>
      <c r="B71" s="208" t="s">
        <v>206</v>
      </c>
      <c r="C71" s="209">
        <v>70736.44</v>
      </c>
      <c r="D71" s="210">
        <v>7</v>
      </c>
      <c r="E71" s="375">
        <f t="shared" si="0"/>
        <v>14.285714285714286</v>
      </c>
      <c r="F71" s="374">
        <v>600</v>
      </c>
      <c r="G71" s="211">
        <f t="shared" si="1"/>
        <v>16.842009523809526</v>
      </c>
    </row>
    <row r="72" spans="1:7" x14ac:dyDescent="0.2">
      <c r="A72" s="207" t="s">
        <v>281</v>
      </c>
      <c r="B72" s="208" t="s">
        <v>113</v>
      </c>
      <c r="C72" s="209">
        <v>29139.83</v>
      </c>
      <c r="D72" s="210">
        <v>8</v>
      </c>
      <c r="E72" s="375">
        <f t="shared" ref="E72:E98" si="2">(100/D72)</f>
        <v>12.5</v>
      </c>
      <c r="F72" s="378">
        <v>215</v>
      </c>
      <c r="G72" s="211">
        <f t="shared" ref="G72:G98" si="3">((C72*E72%)/F72)*100%</f>
        <v>16.941761627906978</v>
      </c>
    </row>
    <row r="73" spans="1:7" x14ac:dyDescent="0.2">
      <c r="A73" s="207" t="s">
        <v>392</v>
      </c>
      <c r="B73" s="208" t="s">
        <v>377</v>
      </c>
      <c r="C73" s="209">
        <f>C72</f>
        <v>29139.83</v>
      </c>
      <c r="D73" s="210">
        <v>8</v>
      </c>
      <c r="E73" s="375">
        <f t="shared" si="2"/>
        <v>12.5</v>
      </c>
      <c r="F73" s="379">
        <v>215</v>
      </c>
      <c r="G73" s="211">
        <f t="shared" si="3"/>
        <v>16.941761627906978</v>
      </c>
    </row>
    <row r="74" spans="1:7" x14ac:dyDescent="0.2">
      <c r="A74" s="207" t="s">
        <v>282</v>
      </c>
      <c r="B74" s="208" t="s">
        <v>283</v>
      </c>
      <c r="C74" s="209">
        <v>181779.66</v>
      </c>
      <c r="D74" s="210">
        <v>6</v>
      </c>
      <c r="E74" s="375">
        <f t="shared" si="2"/>
        <v>16.666666666666668</v>
      </c>
      <c r="F74" s="379">
        <f>F73</f>
        <v>215</v>
      </c>
      <c r="G74" s="211">
        <f t="shared" si="3"/>
        <v>140.9144651162791</v>
      </c>
    </row>
    <row r="75" spans="1:7" x14ac:dyDescent="0.2">
      <c r="A75" s="218" t="s">
        <v>284</v>
      </c>
      <c r="B75" s="219" t="s">
        <v>207</v>
      </c>
      <c r="C75" s="209">
        <v>66101.600000000006</v>
      </c>
      <c r="D75" s="210">
        <v>6</v>
      </c>
      <c r="E75" s="375">
        <f t="shared" si="2"/>
        <v>16.666666666666668</v>
      </c>
      <c r="F75" s="378">
        <v>120</v>
      </c>
      <c r="G75" s="211">
        <f t="shared" si="3"/>
        <v>91.807777777777801</v>
      </c>
    </row>
    <row r="76" spans="1:7" x14ac:dyDescent="0.2">
      <c r="A76" s="207" t="s">
        <v>243</v>
      </c>
      <c r="B76" s="208" t="s">
        <v>285</v>
      </c>
      <c r="C76" s="209">
        <v>132203.39000000001</v>
      </c>
      <c r="D76" s="210">
        <v>6</v>
      </c>
      <c r="E76" s="375">
        <f t="shared" si="2"/>
        <v>16.666666666666668</v>
      </c>
      <c r="F76" s="378">
        <v>120</v>
      </c>
      <c r="G76" s="211">
        <f t="shared" si="3"/>
        <v>183.6158194444445</v>
      </c>
    </row>
    <row r="77" spans="1:7" x14ac:dyDescent="0.2">
      <c r="A77" s="218" t="s">
        <v>286</v>
      </c>
      <c r="B77" s="219" t="s">
        <v>205</v>
      </c>
      <c r="C77" s="209">
        <v>152542.29999999999</v>
      </c>
      <c r="D77" s="210">
        <v>6</v>
      </c>
      <c r="E77" s="375">
        <f t="shared" si="2"/>
        <v>16.666666666666668</v>
      </c>
      <c r="F77" s="378">
        <v>120</v>
      </c>
      <c r="G77" s="211">
        <f t="shared" si="3"/>
        <v>211.86430555555555</v>
      </c>
    </row>
    <row r="78" spans="1:7" x14ac:dyDescent="0.2">
      <c r="A78" s="207" t="s">
        <v>287</v>
      </c>
      <c r="B78" s="219" t="s">
        <v>141</v>
      </c>
      <c r="C78" s="209">
        <v>215593.2</v>
      </c>
      <c r="D78" s="210">
        <v>9</v>
      </c>
      <c r="E78" s="375">
        <f t="shared" si="2"/>
        <v>11.111111111111111</v>
      </c>
      <c r="F78" s="374">
        <v>95</v>
      </c>
      <c r="G78" s="211">
        <f t="shared" si="3"/>
        <v>252.15578947368419</v>
      </c>
    </row>
    <row r="79" spans="1:7" x14ac:dyDescent="0.2">
      <c r="A79" s="207" t="s">
        <v>288</v>
      </c>
      <c r="B79" s="208" t="s">
        <v>146</v>
      </c>
      <c r="C79" s="209">
        <v>165221.1</v>
      </c>
      <c r="D79" s="210">
        <v>10</v>
      </c>
      <c r="E79" s="375">
        <f t="shared" si="2"/>
        <v>10</v>
      </c>
      <c r="F79" s="374">
        <v>650</v>
      </c>
      <c r="G79" s="211">
        <f t="shared" si="3"/>
        <v>25.41863076923077</v>
      </c>
    </row>
    <row r="80" spans="1:7" x14ac:dyDescent="0.2">
      <c r="A80" s="218" t="s">
        <v>289</v>
      </c>
      <c r="B80" s="219" t="s">
        <v>125</v>
      </c>
      <c r="C80" s="209">
        <v>73220.3</v>
      </c>
      <c r="D80" s="210">
        <v>7</v>
      </c>
      <c r="E80" s="375">
        <f t="shared" si="2"/>
        <v>14.285714285714286</v>
      </c>
      <c r="F80" s="374">
        <v>600</v>
      </c>
      <c r="G80" s="211">
        <f t="shared" si="3"/>
        <v>17.433404761904765</v>
      </c>
    </row>
    <row r="81" spans="1:7" x14ac:dyDescent="0.2">
      <c r="A81" s="207" t="s">
        <v>290</v>
      </c>
      <c r="B81" s="208" t="s">
        <v>129</v>
      </c>
      <c r="C81" s="209">
        <v>213559.3</v>
      </c>
      <c r="D81" s="210">
        <v>8</v>
      </c>
      <c r="E81" s="375">
        <f t="shared" si="2"/>
        <v>12.5</v>
      </c>
      <c r="F81" s="374">
        <v>110</v>
      </c>
      <c r="G81" s="211">
        <f t="shared" si="3"/>
        <v>242.6810227272727</v>
      </c>
    </row>
    <row r="82" spans="1:7" x14ac:dyDescent="0.2">
      <c r="A82" s="207" t="s">
        <v>291</v>
      </c>
      <c r="B82" s="208" t="s">
        <v>127</v>
      </c>
      <c r="C82" s="209">
        <v>104661.02</v>
      </c>
      <c r="D82" s="210">
        <v>6</v>
      </c>
      <c r="E82" s="375">
        <f t="shared" si="2"/>
        <v>16.666666666666668</v>
      </c>
      <c r="F82" s="374">
        <v>140</v>
      </c>
      <c r="G82" s="211">
        <f t="shared" si="3"/>
        <v>124.59645238095241</v>
      </c>
    </row>
    <row r="83" spans="1:7" x14ac:dyDescent="0.2">
      <c r="A83" s="207" t="s">
        <v>290</v>
      </c>
      <c r="B83" s="208" t="s">
        <v>147</v>
      </c>
      <c r="C83" s="209">
        <v>189152.5</v>
      </c>
      <c r="D83" s="210">
        <v>8</v>
      </c>
      <c r="E83" s="375">
        <f t="shared" si="2"/>
        <v>12.5</v>
      </c>
      <c r="F83" s="374">
        <v>110</v>
      </c>
      <c r="G83" s="211">
        <f t="shared" si="3"/>
        <v>214.94602272727272</v>
      </c>
    </row>
    <row r="84" spans="1:7" x14ac:dyDescent="0.2">
      <c r="A84" s="207" t="s">
        <v>292</v>
      </c>
      <c r="B84" s="208" t="s">
        <v>104</v>
      </c>
      <c r="C84" s="209">
        <v>176271.19</v>
      </c>
      <c r="D84" s="210">
        <v>8</v>
      </c>
      <c r="E84" s="375">
        <f t="shared" si="2"/>
        <v>12.5</v>
      </c>
      <c r="F84" s="374">
        <v>120</v>
      </c>
      <c r="G84" s="211">
        <f t="shared" si="3"/>
        <v>183.61582291666667</v>
      </c>
    </row>
    <row r="85" spans="1:7" x14ac:dyDescent="0.2">
      <c r="A85" s="207" t="s">
        <v>293</v>
      </c>
      <c r="B85" s="208" t="s">
        <v>110</v>
      </c>
      <c r="C85" s="209">
        <v>88983.1</v>
      </c>
      <c r="D85" s="210">
        <v>9.0909090909090917</v>
      </c>
      <c r="E85" s="375">
        <f t="shared" si="2"/>
        <v>10.999999999999998</v>
      </c>
      <c r="F85" s="374">
        <v>90</v>
      </c>
      <c r="G85" s="211">
        <f t="shared" si="3"/>
        <v>108.75712222222222</v>
      </c>
    </row>
    <row r="86" spans="1:7" x14ac:dyDescent="0.2">
      <c r="A86" s="207" t="s">
        <v>294</v>
      </c>
      <c r="B86" s="208" t="s">
        <v>117</v>
      </c>
      <c r="C86" s="209">
        <v>837966.1</v>
      </c>
      <c r="D86" s="210">
        <v>10</v>
      </c>
      <c r="E86" s="375">
        <f t="shared" si="2"/>
        <v>10</v>
      </c>
      <c r="F86" s="374">
        <v>315</v>
      </c>
      <c r="G86" s="211">
        <f t="shared" si="3"/>
        <v>266.0209841269841</v>
      </c>
    </row>
    <row r="87" spans="1:7" x14ac:dyDescent="0.2">
      <c r="A87" s="207" t="s">
        <v>295</v>
      </c>
      <c r="B87" s="208" t="s">
        <v>296</v>
      </c>
      <c r="C87" s="209">
        <v>91525.42</v>
      </c>
      <c r="D87" s="210">
        <v>8</v>
      </c>
      <c r="E87" s="375">
        <f t="shared" si="2"/>
        <v>12.5</v>
      </c>
      <c r="F87" s="374">
        <v>100</v>
      </c>
      <c r="G87" s="211">
        <f t="shared" si="3"/>
        <v>114.406775</v>
      </c>
    </row>
    <row r="88" spans="1:7" x14ac:dyDescent="0.2">
      <c r="A88" s="207" t="s">
        <v>385</v>
      </c>
      <c r="B88" s="208" t="s">
        <v>148</v>
      </c>
      <c r="C88" s="209">
        <f>C87</f>
        <v>91525.42</v>
      </c>
      <c r="D88" s="210">
        <v>8</v>
      </c>
      <c r="E88" s="375">
        <f t="shared" si="2"/>
        <v>12.5</v>
      </c>
      <c r="F88" s="374">
        <v>100</v>
      </c>
      <c r="G88" s="211">
        <f t="shared" si="3"/>
        <v>114.406775</v>
      </c>
    </row>
    <row r="89" spans="1:7" x14ac:dyDescent="0.2">
      <c r="A89" s="218" t="s">
        <v>297</v>
      </c>
      <c r="B89" s="219" t="s">
        <v>135</v>
      </c>
      <c r="C89" s="209">
        <v>136271.1</v>
      </c>
      <c r="D89" s="210">
        <v>8</v>
      </c>
      <c r="E89" s="375">
        <f t="shared" si="2"/>
        <v>12.5</v>
      </c>
      <c r="F89" s="374">
        <v>120</v>
      </c>
      <c r="G89" s="211">
        <f t="shared" si="3"/>
        <v>141.9490625</v>
      </c>
    </row>
    <row r="90" spans="1:7" x14ac:dyDescent="0.2">
      <c r="A90" s="207" t="s">
        <v>298</v>
      </c>
      <c r="B90" s="208" t="s">
        <v>131</v>
      </c>
      <c r="C90" s="209">
        <v>178347.46</v>
      </c>
      <c r="D90" s="210">
        <v>9.0090090090090094</v>
      </c>
      <c r="E90" s="375">
        <f t="shared" si="2"/>
        <v>11.1</v>
      </c>
      <c r="F90" s="374">
        <v>675</v>
      </c>
      <c r="G90" s="211">
        <f t="shared" si="3"/>
        <v>29.328248977777776</v>
      </c>
    </row>
    <row r="91" spans="1:7" x14ac:dyDescent="0.2">
      <c r="A91" s="207" t="s">
        <v>386</v>
      </c>
      <c r="B91" s="208" t="s">
        <v>186</v>
      </c>
      <c r="C91" s="209">
        <f>C90</f>
        <v>178347.46</v>
      </c>
      <c r="D91" s="210">
        <v>9.0090090090090094</v>
      </c>
      <c r="E91" s="375">
        <f t="shared" si="2"/>
        <v>11.1</v>
      </c>
      <c r="F91" s="380">
        <f>F90</f>
        <v>675</v>
      </c>
      <c r="G91" s="211">
        <f t="shared" si="3"/>
        <v>29.328248977777776</v>
      </c>
    </row>
    <row r="92" spans="1:7" x14ac:dyDescent="0.2">
      <c r="A92" s="207" t="s">
        <v>299</v>
      </c>
      <c r="B92" s="208" t="s">
        <v>300</v>
      </c>
      <c r="C92" s="209">
        <v>382372.8</v>
      </c>
      <c r="D92" s="210">
        <v>9.0090090090090094</v>
      </c>
      <c r="E92" s="375">
        <f t="shared" si="2"/>
        <v>11.1</v>
      </c>
      <c r="F92" s="374">
        <v>675</v>
      </c>
      <c r="G92" s="211">
        <f t="shared" si="3"/>
        <v>62.879082666666662</v>
      </c>
    </row>
    <row r="93" spans="1:7" x14ac:dyDescent="0.2">
      <c r="A93" s="207" t="s">
        <v>301</v>
      </c>
      <c r="B93" s="208" t="s">
        <v>302</v>
      </c>
      <c r="C93" s="209">
        <v>575135.59</v>
      </c>
      <c r="D93" s="210">
        <v>9.0090090090090094</v>
      </c>
      <c r="E93" s="375">
        <f t="shared" si="2"/>
        <v>11.1</v>
      </c>
      <c r="F93" s="374">
        <v>675</v>
      </c>
      <c r="G93" s="211">
        <f t="shared" si="3"/>
        <v>94.577852577777776</v>
      </c>
    </row>
    <row r="94" spans="1:7" x14ac:dyDescent="0.2">
      <c r="A94" s="207" t="s">
        <v>303</v>
      </c>
      <c r="B94" s="208" t="s">
        <v>202</v>
      </c>
      <c r="C94" s="209">
        <v>142372.88</v>
      </c>
      <c r="D94" s="210">
        <v>8</v>
      </c>
      <c r="E94" s="375">
        <f t="shared" si="2"/>
        <v>12.5</v>
      </c>
      <c r="F94" s="374">
        <v>180</v>
      </c>
      <c r="G94" s="211">
        <f t="shared" si="3"/>
        <v>98.870055555555552</v>
      </c>
    </row>
    <row r="95" spans="1:7" x14ac:dyDescent="0.2">
      <c r="A95" s="207" t="s">
        <v>142</v>
      </c>
      <c r="B95" s="208" t="s">
        <v>304</v>
      </c>
      <c r="C95" s="209">
        <v>79322.03</v>
      </c>
      <c r="D95" s="210">
        <v>10</v>
      </c>
      <c r="E95" s="375">
        <f t="shared" si="2"/>
        <v>10</v>
      </c>
      <c r="F95" s="381">
        <v>800</v>
      </c>
      <c r="G95" s="211">
        <f t="shared" si="3"/>
        <v>9.9152537499999998</v>
      </c>
    </row>
    <row r="96" spans="1:7" x14ac:dyDescent="0.2">
      <c r="A96" s="207" t="s">
        <v>142</v>
      </c>
      <c r="B96" s="208" t="s">
        <v>305</v>
      </c>
      <c r="C96" s="209">
        <v>309152.5</v>
      </c>
      <c r="D96" s="210">
        <v>10</v>
      </c>
      <c r="E96" s="375">
        <f t="shared" si="2"/>
        <v>10</v>
      </c>
      <c r="F96" s="374">
        <v>800</v>
      </c>
      <c r="G96" s="211">
        <f t="shared" si="3"/>
        <v>38.644062499999997</v>
      </c>
    </row>
    <row r="97" spans="1:7" x14ac:dyDescent="0.2">
      <c r="A97" s="207" t="s">
        <v>306</v>
      </c>
      <c r="B97" s="208" t="s">
        <v>140</v>
      </c>
      <c r="C97" s="209">
        <v>72800</v>
      </c>
      <c r="D97" s="210">
        <v>8</v>
      </c>
      <c r="E97" s="375">
        <f t="shared" si="2"/>
        <v>12.5</v>
      </c>
      <c r="F97" s="374">
        <v>150</v>
      </c>
      <c r="G97" s="211">
        <f t="shared" si="3"/>
        <v>60.666666666666664</v>
      </c>
    </row>
    <row r="98" spans="1:7" x14ac:dyDescent="0.2">
      <c r="A98" s="193" t="s">
        <v>531</v>
      </c>
      <c r="B98" s="193" t="s">
        <v>484</v>
      </c>
      <c r="C98" s="220">
        <v>2655000</v>
      </c>
      <c r="D98" s="210">
        <v>10</v>
      </c>
      <c r="E98" s="375">
        <f t="shared" si="2"/>
        <v>10</v>
      </c>
      <c r="F98" s="208">
        <v>1200</v>
      </c>
      <c r="G98" s="211">
        <f t="shared" si="3"/>
        <v>221.25</v>
      </c>
    </row>
    <row r="99" spans="1:7" x14ac:dyDescent="0.2">
      <c r="C99" s="221"/>
      <c r="D99" s="222"/>
    </row>
    <row r="100" spans="1:7" x14ac:dyDescent="0.2">
      <c r="C100" s="221"/>
      <c r="D100" s="222"/>
    </row>
    <row r="101" spans="1:7" x14ac:dyDescent="0.2">
      <c r="C101" s="221"/>
    </row>
  </sheetData>
  <mergeCells count="7">
    <mergeCell ref="F4:F6"/>
    <mergeCell ref="E4:E6"/>
    <mergeCell ref="G4:G6"/>
    <mergeCell ref="A4:A6"/>
    <mergeCell ref="B4:B6"/>
    <mergeCell ref="C4:C6"/>
    <mergeCell ref="D4:D6"/>
  </mergeCells>
  <phoneticPr fontId="4" type="noConversion"/>
  <conditionalFormatting sqref="F92:F97 F25 F75:F90 F27:F72">
    <cfRule type="cellIs" dxfId="172" priority="3" stopIfTrue="1" operator="equal">
      <formula>0</formula>
    </cfRule>
  </conditionalFormatting>
  <conditionalFormatting sqref="F91 F26 F73:F74">
    <cfRule type="cellIs" dxfId="171" priority="4" stopIfTrue="1" operator="equal">
      <formula>0</formula>
    </cfRule>
  </conditionalFormatting>
  <conditionalFormatting sqref="C17 C20:C97 C7:C15">
    <cfRule type="cellIs" dxfId="170" priority="2" stopIfTrue="1" operator="equal">
      <formula>0</formula>
    </cfRule>
  </conditionalFormatting>
  <conditionalFormatting sqref="C14 C45">
    <cfRule type="cellIs" dxfId="169" priority="1" stopIfTrue="1" operator="equal">
      <formula>0</formula>
    </cfRule>
  </conditionalFormatting>
  <pageMargins left="0.74803149606299213" right="0.74803149606299213" top="0.43307086614173229" bottom="0.27559055118110237" header="0.51181102362204722" footer="0.51181102362204722"/>
  <pageSetup paperSize="9" scale="60" orientation="portrait" verticalDpi="0" r:id="rId1"/>
  <headerFooter alignWithMargins="0">
    <oddFooter>&amp;LОтдел СЭР села ЯНИИСХ</oddFooter>
  </headerFooter>
  <rowBreaks count="1" manualBreakCount="1">
    <brk id="98" max="5" man="1"/>
  </rowBreaks>
  <colBreaks count="1" manualBreakCount="1">
    <brk id="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workbookViewId="0">
      <selection activeCell="N31" sqref="N31"/>
    </sheetView>
  </sheetViews>
  <sheetFormatPr defaultRowHeight="12.75" x14ac:dyDescent="0.2"/>
  <cols>
    <col min="2" max="2" width="40.85546875" customWidth="1"/>
  </cols>
  <sheetData>
    <row r="1" spans="1:5" x14ac:dyDescent="0.2">
      <c r="B1" t="s">
        <v>12</v>
      </c>
      <c r="C1" t="s">
        <v>53</v>
      </c>
      <c r="D1" t="s">
        <v>52</v>
      </c>
      <c r="E1" t="s">
        <v>39</v>
      </c>
    </row>
    <row r="2" spans="1:5" s="7" customFormat="1" ht="12.75" customHeight="1" x14ac:dyDescent="0.2">
      <c r="A2" s="191"/>
      <c r="B2" s="197" t="s">
        <v>56</v>
      </c>
      <c r="C2" s="198"/>
      <c r="D2" s="199"/>
      <c r="E2" s="23"/>
    </row>
    <row r="3" spans="1:5" s="13" customFormat="1" ht="11.25" x14ac:dyDescent="0.2">
      <c r="A3" s="192">
        <v>1</v>
      </c>
      <c r="B3" s="27" t="s">
        <v>411</v>
      </c>
      <c r="C3" s="30" t="s">
        <v>184</v>
      </c>
      <c r="D3" s="31" t="s">
        <v>113</v>
      </c>
      <c r="E3" s="32">
        <v>10.08</v>
      </c>
    </row>
    <row r="4" spans="1:5" s="13" customFormat="1" ht="11.25" x14ac:dyDescent="0.2">
      <c r="A4" s="192">
        <f t="shared" ref="A4:A13" si="0">A3+1</f>
        <v>2</v>
      </c>
      <c r="B4" s="27" t="s">
        <v>419</v>
      </c>
      <c r="C4" s="30" t="s">
        <v>184</v>
      </c>
      <c r="D4" s="31" t="s">
        <v>423</v>
      </c>
      <c r="E4" s="32">
        <v>28.8</v>
      </c>
    </row>
    <row r="5" spans="1:5" s="13" customFormat="1" ht="11.25" x14ac:dyDescent="0.2">
      <c r="A5" s="192">
        <f t="shared" si="0"/>
        <v>3</v>
      </c>
      <c r="B5" s="27" t="s">
        <v>420</v>
      </c>
      <c r="C5" s="30" t="s">
        <v>184</v>
      </c>
      <c r="D5" s="31" t="s">
        <v>416</v>
      </c>
      <c r="E5" s="32">
        <v>32</v>
      </c>
    </row>
    <row r="6" spans="1:5" s="13" customFormat="1" ht="11.25" x14ac:dyDescent="0.2">
      <c r="A6" s="192">
        <f t="shared" si="0"/>
        <v>4</v>
      </c>
      <c r="B6" s="27" t="s">
        <v>421</v>
      </c>
      <c r="C6" s="30" t="s">
        <v>105</v>
      </c>
      <c r="D6" s="31" t="s">
        <v>483</v>
      </c>
      <c r="E6" s="32">
        <v>33.6</v>
      </c>
    </row>
    <row r="7" spans="1:5" s="13" customFormat="1" ht="11.25" x14ac:dyDescent="0.2">
      <c r="A7" s="192">
        <f t="shared" si="0"/>
        <v>5</v>
      </c>
      <c r="B7" s="27" t="s">
        <v>22</v>
      </c>
      <c r="C7" s="479" t="s">
        <v>118</v>
      </c>
      <c r="D7" s="480"/>
      <c r="E7" s="32">
        <v>3</v>
      </c>
    </row>
    <row r="8" spans="1:5" s="13" customFormat="1" ht="11.25" x14ac:dyDescent="0.2">
      <c r="A8" s="192">
        <f t="shared" si="0"/>
        <v>6</v>
      </c>
      <c r="B8" s="27" t="s">
        <v>488</v>
      </c>
      <c r="C8" s="30" t="s">
        <v>105</v>
      </c>
      <c r="D8" s="31" t="s">
        <v>115</v>
      </c>
      <c r="E8" s="32">
        <v>3</v>
      </c>
    </row>
    <row r="9" spans="1:5" s="13" customFormat="1" ht="11.25" x14ac:dyDescent="0.2">
      <c r="A9" s="192">
        <f t="shared" si="0"/>
        <v>7</v>
      </c>
      <c r="B9" s="27" t="s">
        <v>24</v>
      </c>
      <c r="C9" s="479" t="s">
        <v>118</v>
      </c>
      <c r="D9" s="480"/>
      <c r="E9" s="32">
        <v>3</v>
      </c>
    </row>
    <row r="10" spans="1:5" s="13" customFormat="1" ht="11.25" x14ac:dyDescent="0.2">
      <c r="A10" s="192">
        <f t="shared" si="0"/>
        <v>8</v>
      </c>
      <c r="B10" s="27" t="s">
        <v>25</v>
      </c>
      <c r="C10" s="479" t="s">
        <v>118</v>
      </c>
      <c r="D10" s="480"/>
      <c r="E10" s="32">
        <v>8.3333333333333339</v>
      </c>
    </row>
    <row r="11" spans="1:5" s="13" customFormat="1" ht="22.5" x14ac:dyDescent="0.2">
      <c r="A11" s="192">
        <f t="shared" si="0"/>
        <v>9</v>
      </c>
      <c r="B11" s="27" t="s">
        <v>75</v>
      </c>
      <c r="C11" s="30" t="s">
        <v>105</v>
      </c>
      <c r="D11" s="31" t="s">
        <v>115</v>
      </c>
      <c r="E11" s="32">
        <v>8.3333333333333339</v>
      </c>
    </row>
    <row r="12" spans="1:5" s="13" customFormat="1" ht="11.25" x14ac:dyDescent="0.2">
      <c r="A12" s="192">
        <f t="shared" si="0"/>
        <v>10</v>
      </c>
      <c r="B12" s="27" t="s">
        <v>26</v>
      </c>
      <c r="C12" s="479" t="s">
        <v>118</v>
      </c>
      <c r="D12" s="480"/>
      <c r="E12" s="32">
        <v>8.3333333333333339</v>
      </c>
    </row>
    <row r="13" spans="1:5" s="13" customFormat="1" ht="21" customHeight="1" x14ac:dyDescent="0.2">
      <c r="A13" s="192">
        <f t="shared" si="0"/>
        <v>11</v>
      </c>
      <c r="B13" s="27" t="s">
        <v>422</v>
      </c>
      <c r="C13" s="30" t="s">
        <v>184</v>
      </c>
      <c r="D13" s="31" t="s">
        <v>484</v>
      </c>
      <c r="E13" s="32">
        <v>14.4</v>
      </c>
    </row>
    <row r="14" spans="1:5" s="7" customFormat="1" ht="12.75" customHeight="1" x14ac:dyDescent="0.2">
      <c r="A14" s="191"/>
      <c r="B14" s="483" t="s">
        <v>65</v>
      </c>
      <c r="C14" s="483"/>
      <c r="D14" s="483"/>
      <c r="E14" s="23"/>
    </row>
    <row r="15" spans="1:5" s="13" customFormat="1" ht="11.25" x14ac:dyDescent="0.2">
      <c r="A15" s="19">
        <v>1</v>
      </c>
      <c r="B15" s="27" t="s">
        <v>66</v>
      </c>
      <c r="C15" s="30" t="s">
        <v>105</v>
      </c>
      <c r="D15" s="31" t="s">
        <v>191</v>
      </c>
      <c r="E15" s="32">
        <v>14.4</v>
      </c>
    </row>
    <row r="16" spans="1:5" s="13" customFormat="1" ht="11.25" x14ac:dyDescent="0.2">
      <c r="A16" s="192">
        <f>A15+1</f>
        <v>2</v>
      </c>
      <c r="B16" s="27" t="s">
        <v>67</v>
      </c>
      <c r="C16" s="30" t="s">
        <v>105</v>
      </c>
      <c r="D16" s="31" t="s">
        <v>192</v>
      </c>
      <c r="E16" s="32">
        <v>51.2</v>
      </c>
    </row>
    <row r="17" spans="1:5" s="13" customFormat="1" ht="11.25" x14ac:dyDescent="0.2">
      <c r="A17" s="192">
        <f>A16+1</f>
        <v>3</v>
      </c>
      <c r="B17" s="27" t="s">
        <v>68</v>
      </c>
      <c r="C17" s="30" t="s">
        <v>105</v>
      </c>
      <c r="D17" s="31" t="s">
        <v>193</v>
      </c>
      <c r="E17" s="32">
        <v>48</v>
      </c>
    </row>
    <row r="18" spans="1:5" s="13" customFormat="1" ht="22.5" x14ac:dyDescent="0.2">
      <c r="A18" s="192">
        <f>A17+1</f>
        <v>4</v>
      </c>
      <c r="B18" s="27" t="s">
        <v>69</v>
      </c>
      <c r="C18" s="30" t="s">
        <v>105</v>
      </c>
      <c r="D18" s="31" t="s">
        <v>194</v>
      </c>
      <c r="E18" s="32">
        <v>100</v>
      </c>
    </row>
    <row r="19" spans="1:5" s="13" customFormat="1" ht="11.25" x14ac:dyDescent="0.2">
      <c r="A19" s="192">
        <f>A18+1</f>
        <v>5</v>
      </c>
      <c r="B19" s="27" t="s">
        <v>70</v>
      </c>
      <c r="C19" s="30" t="s">
        <v>105</v>
      </c>
      <c r="D19" s="31" t="s">
        <v>195</v>
      </c>
      <c r="E19" s="32">
        <v>100</v>
      </c>
    </row>
    <row r="20" spans="1:5" s="13" customFormat="1" ht="11.25" x14ac:dyDescent="0.2">
      <c r="A20" s="192">
        <f>A19+1</f>
        <v>6</v>
      </c>
      <c r="B20" s="27" t="s">
        <v>417</v>
      </c>
      <c r="C20" s="30" t="s">
        <v>105</v>
      </c>
      <c r="D20" s="31" t="s">
        <v>418</v>
      </c>
      <c r="E20" s="32">
        <v>100</v>
      </c>
    </row>
    <row r="21" spans="1:5" s="7" customFormat="1" ht="12.75" customHeight="1" x14ac:dyDescent="0.2">
      <c r="A21" s="191"/>
      <c r="B21" s="483" t="s">
        <v>56</v>
      </c>
      <c r="C21" s="483"/>
      <c r="D21" s="483"/>
      <c r="E21" s="23"/>
    </row>
    <row r="22" spans="1:5" s="13" customFormat="1" ht="11.25" x14ac:dyDescent="0.2">
      <c r="A22" s="192">
        <v>1</v>
      </c>
      <c r="B22" s="27" t="s">
        <v>411</v>
      </c>
      <c r="C22" s="30" t="s">
        <v>414</v>
      </c>
      <c r="D22" s="31" t="s">
        <v>113</v>
      </c>
      <c r="E22" s="32">
        <v>7.3</v>
      </c>
    </row>
    <row r="23" spans="1:5" s="13" customFormat="1" ht="11.25" x14ac:dyDescent="0.2">
      <c r="A23" s="192">
        <f>A22+1</f>
        <v>2</v>
      </c>
      <c r="B23" s="27" t="s">
        <v>412</v>
      </c>
      <c r="C23" s="30" t="s">
        <v>414</v>
      </c>
      <c r="D23" s="138" t="s">
        <v>415</v>
      </c>
      <c r="E23" s="32">
        <v>17.71</v>
      </c>
    </row>
    <row r="24" spans="1:5" s="13" customFormat="1" ht="11.25" x14ac:dyDescent="0.2">
      <c r="A24" s="192">
        <f>A23+1</f>
        <v>3</v>
      </c>
      <c r="B24" s="27" t="s">
        <v>108</v>
      </c>
      <c r="C24" s="30" t="s">
        <v>414</v>
      </c>
      <c r="D24" s="138" t="s">
        <v>416</v>
      </c>
      <c r="E24" s="32">
        <v>17.579999999999998</v>
      </c>
    </row>
    <row r="25" spans="1:5" s="13" customFormat="1" ht="22.5" x14ac:dyDescent="0.2">
      <c r="A25" s="192">
        <f>A24+1</f>
        <v>4</v>
      </c>
      <c r="B25" s="27" t="s">
        <v>413</v>
      </c>
      <c r="C25" s="30" t="s">
        <v>105</v>
      </c>
      <c r="D25" s="31" t="s">
        <v>111</v>
      </c>
      <c r="E25" s="32">
        <v>57</v>
      </c>
    </row>
    <row r="26" spans="1:5" s="13" customFormat="1" ht="11.25" x14ac:dyDescent="0.2">
      <c r="A26" s="192">
        <f t="shared" ref="A26:A32" si="1">A25+1</f>
        <v>5</v>
      </c>
      <c r="B26" s="27" t="s">
        <v>59</v>
      </c>
      <c r="C26" s="479" t="s">
        <v>118</v>
      </c>
      <c r="D26" s="480"/>
      <c r="E26" s="32">
        <v>9.5</v>
      </c>
    </row>
    <row r="27" spans="1:5" s="13" customFormat="1" ht="11.25" x14ac:dyDescent="0.2">
      <c r="A27" s="192">
        <f t="shared" si="1"/>
        <v>6</v>
      </c>
      <c r="B27" s="27" t="s">
        <v>63</v>
      </c>
      <c r="C27" s="30" t="s">
        <v>105</v>
      </c>
      <c r="D27" s="31" t="s">
        <v>115</v>
      </c>
      <c r="E27" s="32">
        <v>29</v>
      </c>
    </row>
    <row r="28" spans="1:5" s="13" customFormat="1" ht="11.25" x14ac:dyDescent="0.2">
      <c r="A28" s="192">
        <f t="shared" si="1"/>
        <v>7</v>
      </c>
      <c r="B28" s="27" t="s">
        <v>60</v>
      </c>
      <c r="C28" s="479" t="s">
        <v>118</v>
      </c>
      <c r="D28" s="480"/>
      <c r="E28" s="32">
        <v>12</v>
      </c>
    </row>
    <row r="29" spans="1:5" s="13" customFormat="1" ht="11.25" x14ac:dyDescent="0.2">
      <c r="A29" s="192">
        <f t="shared" si="1"/>
        <v>8</v>
      </c>
      <c r="B29" s="27" t="s">
        <v>61</v>
      </c>
      <c r="C29" s="479" t="s">
        <v>118</v>
      </c>
      <c r="D29" s="480"/>
      <c r="E29" s="32">
        <v>8</v>
      </c>
    </row>
    <row r="30" spans="1:5" s="13" customFormat="1" ht="11.25" x14ac:dyDescent="0.2">
      <c r="A30" s="192">
        <f t="shared" si="1"/>
        <v>9</v>
      </c>
      <c r="B30" s="27" t="s">
        <v>64</v>
      </c>
      <c r="C30" s="30" t="s">
        <v>105</v>
      </c>
      <c r="D30" s="31" t="s">
        <v>115</v>
      </c>
      <c r="E30" s="32">
        <v>29</v>
      </c>
    </row>
    <row r="31" spans="1:5" s="13" customFormat="1" ht="11.25" x14ac:dyDescent="0.2">
      <c r="A31" s="192">
        <f t="shared" si="1"/>
        <v>10</v>
      </c>
      <c r="B31" s="27" t="s">
        <v>62</v>
      </c>
      <c r="C31" s="479" t="s">
        <v>118</v>
      </c>
      <c r="D31" s="480"/>
      <c r="E31" s="32">
        <v>9</v>
      </c>
    </row>
    <row r="32" spans="1:5" s="13" customFormat="1" ht="11.25" x14ac:dyDescent="0.2">
      <c r="A32" s="192">
        <f t="shared" si="1"/>
        <v>11</v>
      </c>
      <c r="B32" s="27" t="s">
        <v>27</v>
      </c>
      <c r="C32" s="30" t="s">
        <v>105</v>
      </c>
      <c r="D32" s="31" t="s">
        <v>110</v>
      </c>
      <c r="E32" s="32">
        <v>11</v>
      </c>
    </row>
    <row r="33" spans="1:5" s="7" customFormat="1" ht="11.25" x14ac:dyDescent="0.2">
      <c r="A33" s="191"/>
      <c r="B33" s="483" t="s">
        <v>72</v>
      </c>
      <c r="C33" s="483"/>
      <c r="D33" s="483"/>
      <c r="E33" s="23"/>
    </row>
    <row r="34" spans="1:5" s="7" customFormat="1" ht="11.25" x14ac:dyDescent="0.2">
      <c r="A34" s="19">
        <v>1</v>
      </c>
      <c r="B34" s="27" t="s">
        <v>73</v>
      </c>
      <c r="C34" s="484" t="s">
        <v>131</v>
      </c>
      <c r="D34" s="485"/>
      <c r="E34" s="32">
        <v>756</v>
      </c>
    </row>
    <row r="35" spans="1:5" s="7" customFormat="1" ht="11.25" x14ac:dyDescent="0.2">
      <c r="A35" s="192">
        <f>A34+1</f>
        <v>2</v>
      </c>
      <c r="B35" s="27" t="s">
        <v>74</v>
      </c>
      <c r="C35" s="30" t="s">
        <v>103</v>
      </c>
      <c r="D35" s="31" t="s">
        <v>132</v>
      </c>
      <c r="E35" s="32">
        <v>756</v>
      </c>
    </row>
    <row r="36" spans="1:5" s="7" customFormat="1" ht="12.75" customHeight="1" x14ac:dyDescent="0.2">
      <c r="A36" s="191"/>
      <c r="B36" s="483" t="s">
        <v>65</v>
      </c>
      <c r="C36" s="483"/>
      <c r="D36" s="483"/>
      <c r="E36" s="23"/>
    </row>
    <row r="37" spans="1:5" s="13" customFormat="1" ht="11.25" x14ac:dyDescent="0.2">
      <c r="A37" s="19">
        <v>1</v>
      </c>
      <c r="B37" s="27" t="s">
        <v>66</v>
      </c>
      <c r="C37" s="30" t="s">
        <v>105</v>
      </c>
      <c r="D37" s="31" t="s">
        <v>191</v>
      </c>
      <c r="E37" s="32">
        <v>5</v>
      </c>
    </row>
    <row r="38" spans="1:5" s="13" customFormat="1" ht="11.25" x14ac:dyDescent="0.2">
      <c r="A38" s="192">
        <f>A37+1</f>
        <v>2</v>
      </c>
      <c r="B38" s="27" t="s">
        <v>67</v>
      </c>
      <c r="C38" s="30" t="s">
        <v>105</v>
      </c>
      <c r="D38" s="31" t="s">
        <v>192</v>
      </c>
      <c r="E38" s="32">
        <v>42</v>
      </c>
    </row>
    <row r="39" spans="1:5" s="13" customFormat="1" ht="11.25" x14ac:dyDescent="0.2">
      <c r="A39" s="192">
        <f>A38+1</f>
        <v>3</v>
      </c>
      <c r="B39" s="27" t="s">
        <v>68</v>
      </c>
      <c r="C39" s="30" t="s">
        <v>105</v>
      </c>
      <c r="D39" s="31" t="s">
        <v>193</v>
      </c>
      <c r="E39" s="32">
        <v>28</v>
      </c>
    </row>
    <row r="40" spans="1:5" s="13" customFormat="1" ht="22.5" x14ac:dyDescent="0.2">
      <c r="A40" s="192">
        <f>A39+1</f>
        <v>4</v>
      </c>
      <c r="B40" s="27" t="s">
        <v>69</v>
      </c>
      <c r="C40" s="30" t="s">
        <v>105</v>
      </c>
      <c r="D40" s="31" t="s">
        <v>194</v>
      </c>
      <c r="E40" s="32">
        <v>154</v>
      </c>
    </row>
    <row r="41" spans="1:5" s="13" customFormat="1" ht="11.25" x14ac:dyDescent="0.2">
      <c r="A41" s="192">
        <f>A40+1</f>
        <v>5</v>
      </c>
      <c r="B41" s="27" t="s">
        <v>70</v>
      </c>
      <c r="C41" s="30" t="s">
        <v>105</v>
      </c>
      <c r="D41" s="31" t="s">
        <v>195</v>
      </c>
      <c r="E41" s="32">
        <v>112</v>
      </c>
    </row>
    <row r="42" spans="1:5" s="13" customFormat="1" ht="11.25" x14ac:dyDescent="0.2">
      <c r="A42" s="192">
        <f>A41+1</f>
        <v>6</v>
      </c>
      <c r="B42" s="27" t="s">
        <v>417</v>
      </c>
      <c r="C42" s="30" t="s">
        <v>105</v>
      </c>
      <c r="D42" s="138" t="s">
        <v>418</v>
      </c>
      <c r="E42" s="32">
        <v>157</v>
      </c>
    </row>
    <row r="43" spans="1:5" s="7" customFormat="1" ht="12.75" customHeight="1" x14ac:dyDescent="0.2">
      <c r="A43" s="191"/>
      <c r="B43" s="486" t="s">
        <v>56</v>
      </c>
      <c r="C43" s="487"/>
      <c r="D43" s="488"/>
      <c r="E43" s="23"/>
    </row>
    <row r="44" spans="1:5" s="13" customFormat="1" ht="11.25" x14ac:dyDescent="0.2">
      <c r="A44" s="192">
        <v>1</v>
      </c>
      <c r="B44" s="27" t="s">
        <v>411</v>
      </c>
      <c r="C44" s="139" t="s">
        <v>184</v>
      </c>
      <c r="D44" s="31" t="s">
        <v>113</v>
      </c>
      <c r="E44" s="32">
        <v>7.3</v>
      </c>
    </row>
    <row r="45" spans="1:5" s="13" customFormat="1" ht="11.25" x14ac:dyDescent="0.2">
      <c r="A45" s="192">
        <f t="shared" ref="A45:A52" si="2">A44+1</f>
        <v>2</v>
      </c>
      <c r="B45" s="27" t="s">
        <v>419</v>
      </c>
      <c r="C45" s="30" t="s">
        <v>184</v>
      </c>
      <c r="D45" s="138" t="s">
        <v>423</v>
      </c>
      <c r="E45" s="32">
        <v>17.71</v>
      </c>
    </row>
    <row r="46" spans="1:5" s="13" customFormat="1" ht="11.25" x14ac:dyDescent="0.2">
      <c r="A46" s="192">
        <f t="shared" si="2"/>
        <v>3</v>
      </c>
      <c r="B46" s="27" t="s">
        <v>420</v>
      </c>
      <c r="C46" s="30" t="s">
        <v>184</v>
      </c>
      <c r="D46" s="138" t="s">
        <v>416</v>
      </c>
      <c r="E46" s="32">
        <v>17.579999999999998</v>
      </c>
    </row>
    <row r="47" spans="1:5" s="13" customFormat="1" ht="11.25" x14ac:dyDescent="0.2">
      <c r="A47" s="192">
        <f t="shared" si="2"/>
        <v>4</v>
      </c>
      <c r="B47" s="27" t="s">
        <v>421</v>
      </c>
      <c r="C47" s="30" t="s">
        <v>105</v>
      </c>
      <c r="D47" s="31" t="s">
        <v>111</v>
      </c>
      <c r="E47" s="32">
        <v>14</v>
      </c>
    </row>
    <row r="48" spans="1:5" s="13" customFormat="1" ht="11.25" x14ac:dyDescent="0.2">
      <c r="A48" s="192">
        <f t="shared" si="2"/>
        <v>5</v>
      </c>
      <c r="B48" s="27" t="s">
        <v>22</v>
      </c>
      <c r="C48" s="479" t="s">
        <v>118</v>
      </c>
      <c r="D48" s="480"/>
      <c r="E48" s="32">
        <v>8</v>
      </c>
    </row>
    <row r="49" spans="1:5" s="13" customFormat="1" ht="11.25" x14ac:dyDescent="0.2">
      <c r="A49" s="192">
        <f t="shared" si="2"/>
        <v>6</v>
      </c>
      <c r="B49" s="27" t="s">
        <v>23</v>
      </c>
      <c r="C49" s="30" t="s">
        <v>105</v>
      </c>
      <c r="D49" s="31" t="s">
        <v>115</v>
      </c>
      <c r="E49" s="32">
        <v>29</v>
      </c>
    </row>
    <row r="50" spans="1:5" s="13" customFormat="1" ht="11.25" x14ac:dyDescent="0.2">
      <c r="A50" s="192">
        <f t="shared" si="2"/>
        <v>7</v>
      </c>
      <c r="B50" s="27" t="s">
        <v>24</v>
      </c>
      <c r="C50" s="479" t="s">
        <v>118</v>
      </c>
      <c r="D50" s="480"/>
      <c r="E50" s="32">
        <v>9</v>
      </c>
    </row>
    <row r="51" spans="1:5" s="13" customFormat="1" ht="11.25" x14ac:dyDescent="0.2">
      <c r="A51" s="192">
        <f t="shared" si="2"/>
        <v>8</v>
      </c>
      <c r="B51" s="27" t="s">
        <v>25</v>
      </c>
      <c r="C51" s="479" t="s">
        <v>118</v>
      </c>
      <c r="D51" s="480"/>
      <c r="E51" s="32">
        <v>9.5</v>
      </c>
    </row>
    <row r="52" spans="1:5" s="13" customFormat="1" ht="22.5" x14ac:dyDescent="0.2">
      <c r="A52" s="192">
        <f t="shared" si="2"/>
        <v>9</v>
      </c>
      <c r="B52" s="27" t="s">
        <v>75</v>
      </c>
      <c r="C52" s="30" t="s">
        <v>105</v>
      </c>
      <c r="D52" s="31" t="s">
        <v>115</v>
      </c>
      <c r="E52" s="32">
        <v>29</v>
      </c>
    </row>
    <row r="53" spans="1:5" s="13" customFormat="1" ht="11.25" x14ac:dyDescent="0.2">
      <c r="A53" s="192">
        <v>10</v>
      </c>
      <c r="B53" s="27" t="s">
        <v>26</v>
      </c>
      <c r="C53" s="479" t="s">
        <v>118</v>
      </c>
      <c r="D53" s="480"/>
      <c r="E53" s="32">
        <v>12</v>
      </c>
    </row>
    <row r="54" spans="1:5" s="13" customFormat="1" ht="33.75" x14ac:dyDescent="0.2">
      <c r="A54" s="192">
        <v>11</v>
      </c>
      <c r="B54" s="27" t="s">
        <v>422</v>
      </c>
      <c r="C54" s="30" t="s">
        <v>105</v>
      </c>
      <c r="D54" s="31" t="s">
        <v>110</v>
      </c>
      <c r="E54" s="32">
        <v>11</v>
      </c>
    </row>
    <row r="55" spans="1:5" s="13" customFormat="1" ht="11.25" x14ac:dyDescent="0.2">
      <c r="A55" s="192">
        <v>12</v>
      </c>
      <c r="B55" s="27" t="s">
        <v>28</v>
      </c>
      <c r="C55" s="30" t="s">
        <v>105</v>
      </c>
      <c r="D55" s="31" t="s">
        <v>190</v>
      </c>
      <c r="E55" s="32">
        <v>28</v>
      </c>
    </row>
    <row r="56" spans="1:5" s="7" customFormat="1" ht="12.75" customHeight="1" x14ac:dyDescent="0.2">
      <c r="A56" s="191"/>
      <c r="B56" s="483" t="s">
        <v>82</v>
      </c>
      <c r="C56" s="483"/>
      <c r="D56" s="483"/>
      <c r="E56" s="23"/>
    </row>
    <row r="57" spans="1:5" s="13" customFormat="1" ht="11.25" x14ac:dyDescent="0.2">
      <c r="A57" s="19">
        <v>1</v>
      </c>
      <c r="B57" s="27" t="s">
        <v>424</v>
      </c>
      <c r="C57" s="30" t="s">
        <v>105</v>
      </c>
      <c r="D57" s="138" t="s">
        <v>425</v>
      </c>
      <c r="E57" s="32">
        <v>8.1999999999999993</v>
      </c>
    </row>
    <row r="58" spans="1:5" s="13" customFormat="1" ht="11.25" x14ac:dyDescent="0.2">
      <c r="A58" s="19">
        <v>2</v>
      </c>
      <c r="B58" s="27" t="s">
        <v>77</v>
      </c>
      <c r="C58" s="30" t="s">
        <v>105</v>
      </c>
      <c r="D58" s="31" t="s">
        <v>115</v>
      </c>
      <c r="E58" s="32">
        <v>21.1</v>
      </c>
    </row>
    <row r="59" spans="1:5" s="13" customFormat="1" ht="11.25" x14ac:dyDescent="0.2">
      <c r="A59" s="192">
        <f>A58+1</f>
        <v>3</v>
      </c>
      <c r="B59" s="27" t="s">
        <v>78</v>
      </c>
      <c r="C59" s="30" t="s">
        <v>103</v>
      </c>
      <c r="D59" s="31" t="s">
        <v>198</v>
      </c>
      <c r="E59" s="32">
        <v>100</v>
      </c>
    </row>
    <row r="60" spans="1:5" s="13" customFormat="1" ht="11.25" x14ac:dyDescent="0.2">
      <c r="A60" s="192">
        <f>A59+1</f>
        <v>4</v>
      </c>
      <c r="B60" s="27" t="s">
        <v>371</v>
      </c>
      <c r="C60" s="479" t="s">
        <v>118</v>
      </c>
      <c r="D60" s="480"/>
      <c r="E60" s="32">
        <v>2</v>
      </c>
    </row>
    <row r="61" spans="1:5" s="13" customFormat="1" ht="11.25" x14ac:dyDescent="0.2">
      <c r="A61" s="192">
        <f>A60+1</f>
        <v>5</v>
      </c>
      <c r="B61" s="27" t="s">
        <v>80</v>
      </c>
      <c r="C61" s="479" t="s">
        <v>118</v>
      </c>
      <c r="D61" s="480"/>
      <c r="E61" s="32">
        <v>4</v>
      </c>
    </row>
    <row r="62" spans="1:5" s="13" customFormat="1" ht="11.25" x14ac:dyDescent="0.2">
      <c r="A62" s="192">
        <f>A61+1</f>
        <v>6</v>
      </c>
      <c r="B62" s="27" t="s">
        <v>81</v>
      </c>
      <c r="C62" s="479" t="s">
        <v>118</v>
      </c>
      <c r="D62" s="480"/>
      <c r="E62" s="32">
        <v>200</v>
      </c>
    </row>
    <row r="63" spans="1:5" s="7" customFormat="1" ht="12.75" customHeight="1" x14ac:dyDescent="0.2">
      <c r="A63" s="191"/>
      <c r="B63" s="197" t="s">
        <v>56</v>
      </c>
      <c r="C63" s="198"/>
      <c r="D63" s="199"/>
      <c r="E63" s="23"/>
    </row>
    <row r="64" spans="1:5" s="13" customFormat="1" ht="11.25" x14ac:dyDescent="0.2">
      <c r="A64" s="192">
        <v>1</v>
      </c>
      <c r="B64" s="27" t="s">
        <v>411</v>
      </c>
      <c r="C64" s="30" t="s">
        <v>184</v>
      </c>
      <c r="D64" s="31" t="s">
        <v>113</v>
      </c>
      <c r="E64" s="173">
        <f>8*1.26</f>
        <v>10.08</v>
      </c>
    </row>
    <row r="65" spans="1:5" s="13" customFormat="1" ht="11.25" x14ac:dyDescent="0.2">
      <c r="A65" s="192">
        <f>A64+1</f>
        <v>2</v>
      </c>
      <c r="B65" s="27" t="s">
        <v>419</v>
      </c>
      <c r="C65" s="30" t="s">
        <v>184</v>
      </c>
      <c r="D65" s="31" t="s">
        <v>423</v>
      </c>
      <c r="E65" s="173">
        <f>8*3.6</f>
        <v>28.8</v>
      </c>
    </row>
    <row r="66" spans="1:5" s="13" customFormat="1" ht="11.25" x14ac:dyDescent="0.2">
      <c r="A66" s="192">
        <f>A65+1</f>
        <v>3</v>
      </c>
      <c r="B66" s="27" t="s">
        <v>420</v>
      </c>
      <c r="C66" s="30" t="s">
        <v>184</v>
      </c>
      <c r="D66" s="31" t="s">
        <v>416</v>
      </c>
      <c r="E66" s="173">
        <f>8*4</f>
        <v>32</v>
      </c>
    </row>
    <row r="67" spans="1:5" s="13" customFormat="1" ht="11.25" x14ac:dyDescent="0.2">
      <c r="A67" s="192">
        <f t="shared" ref="A67:A74" si="3">A66+1</f>
        <v>4</v>
      </c>
      <c r="B67" s="27" t="s">
        <v>421</v>
      </c>
      <c r="C67" s="30" t="s">
        <v>105</v>
      </c>
      <c r="D67" s="183" t="s">
        <v>483</v>
      </c>
      <c r="E67" s="173">
        <f>8*4.2</f>
        <v>33.6</v>
      </c>
    </row>
    <row r="68" spans="1:5" s="13" customFormat="1" ht="11.25" x14ac:dyDescent="0.2">
      <c r="A68" s="192">
        <f t="shared" si="3"/>
        <v>5</v>
      </c>
      <c r="B68" s="27" t="s">
        <v>22</v>
      </c>
      <c r="C68" s="479" t="s">
        <v>118</v>
      </c>
      <c r="D68" s="480"/>
      <c r="E68" s="173" t="e">
        <f>#REF!/6</f>
        <v>#REF!</v>
      </c>
    </row>
    <row r="69" spans="1:5" s="13" customFormat="1" ht="11.25" x14ac:dyDescent="0.2">
      <c r="A69" s="192">
        <f t="shared" si="3"/>
        <v>6</v>
      </c>
      <c r="B69" s="27" t="s">
        <v>23</v>
      </c>
      <c r="C69" s="30" t="s">
        <v>105</v>
      </c>
      <c r="D69" s="31" t="s">
        <v>115</v>
      </c>
      <c r="E69" s="173" t="e">
        <f>#REF!/6</f>
        <v>#REF!</v>
      </c>
    </row>
    <row r="70" spans="1:5" s="13" customFormat="1" ht="11.25" x14ac:dyDescent="0.2">
      <c r="A70" s="192">
        <f t="shared" si="3"/>
        <v>7</v>
      </c>
      <c r="B70" s="27" t="s">
        <v>24</v>
      </c>
      <c r="C70" s="479" t="s">
        <v>118</v>
      </c>
      <c r="D70" s="480"/>
      <c r="E70" s="173" t="e">
        <f>#REF!/6</f>
        <v>#REF!</v>
      </c>
    </row>
    <row r="71" spans="1:5" s="13" customFormat="1" ht="11.25" x14ac:dyDescent="0.2">
      <c r="A71" s="192">
        <f t="shared" si="3"/>
        <v>8</v>
      </c>
      <c r="B71" s="27" t="s">
        <v>25</v>
      </c>
      <c r="C71" s="479" t="s">
        <v>118</v>
      </c>
      <c r="D71" s="480"/>
      <c r="E71" s="173">
        <f>50/6</f>
        <v>8.3333333333333339</v>
      </c>
    </row>
    <row r="72" spans="1:5" s="13" customFormat="1" ht="22.5" x14ac:dyDescent="0.2">
      <c r="A72" s="192">
        <f t="shared" si="3"/>
        <v>9</v>
      </c>
      <c r="B72" s="27" t="s">
        <v>75</v>
      </c>
      <c r="C72" s="30" t="s">
        <v>105</v>
      </c>
      <c r="D72" s="31" t="s">
        <v>115</v>
      </c>
      <c r="E72" s="173">
        <f>50/6</f>
        <v>8.3333333333333339</v>
      </c>
    </row>
    <row r="73" spans="1:5" s="13" customFormat="1" ht="11.25" x14ac:dyDescent="0.2">
      <c r="A73" s="192">
        <f t="shared" si="3"/>
        <v>10</v>
      </c>
      <c r="B73" s="27" t="s">
        <v>26</v>
      </c>
      <c r="C73" s="479" t="s">
        <v>118</v>
      </c>
      <c r="D73" s="480"/>
      <c r="E73" s="173">
        <f>50/6</f>
        <v>8.3333333333333339</v>
      </c>
    </row>
    <row r="74" spans="1:5" s="13" customFormat="1" ht="33.75" x14ac:dyDescent="0.2">
      <c r="A74" s="192">
        <f t="shared" si="3"/>
        <v>11</v>
      </c>
      <c r="B74" s="27" t="s">
        <v>493</v>
      </c>
      <c r="C74" s="30" t="s">
        <v>184</v>
      </c>
      <c r="D74" s="183" t="s">
        <v>484</v>
      </c>
      <c r="E74" s="173">
        <f>8*2.2</f>
        <v>17.600000000000001</v>
      </c>
    </row>
    <row r="75" spans="1:5" s="7" customFormat="1" ht="11.25" x14ac:dyDescent="0.2">
      <c r="A75" s="191"/>
      <c r="B75" s="483" t="s">
        <v>72</v>
      </c>
      <c r="C75" s="483"/>
      <c r="D75" s="483"/>
      <c r="E75" s="23"/>
    </row>
    <row r="76" spans="1:5" s="7" customFormat="1" ht="11.25" x14ac:dyDescent="0.2">
      <c r="A76" s="19">
        <v>1</v>
      </c>
      <c r="B76" s="27" t="s">
        <v>73</v>
      </c>
      <c r="C76" s="484" t="s">
        <v>131</v>
      </c>
      <c r="D76" s="485"/>
      <c r="E76" s="172" t="e">
        <f>#REF!/#REF!</f>
        <v>#REF!</v>
      </c>
    </row>
    <row r="77" spans="1:5" s="7" customFormat="1" ht="11.25" x14ac:dyDescent="0.2">
      <c r="A77" s="192">
        <f>A76+1</f>
        <v>2</v>
      </c>
      <c r="B77" s="27" t="s">
        <v>74</v>
      </c>
      <c r="C77" s="30" t="s">
        <v>103</v>
      </c>
      <c r="D77" s="31" t="s">
        <v>132</v>
      </c>
      <c r="E77" s="172" t="e">
        <f>#REF!/#REF!</f>
        <v>#REF!</v>
      </c>
    </row>
    <row r="78" spans="1:5" s="7" customFormat="1" ht="11.25" x14ac:dyDescent="0.2">
      <c r="A78" s="19">
        <v>3</v>
      </c>
      <c r="B78" s="27" t="s">
        <v>73</v>
      </c>
      <c r="C78" s="481" t="s">
        <v>131</v>
      </c>
      <c r="D78" s="482"/>
      <c r="E78" s="172" t="e">
        <f>#REF!/#REF!</f>
        <v>#REF!</v>
      </c>
    </row>
    <row r="79" spans="1:5" s="7" customFormat="1" ht="11.25" x14ac:dyDescent="0.2">
      <c r="A79" s="192">
        <v>4</v>
      </c>
      <c r="B79" s="27" t="s">
        <v>74</v>
      </c>
      <c r="C79" s="30" t="s">
        <v>103</v>
      </c>
      <c r="D79" s="183" t="s">
        <v>132</v>
      </c>
      <c r="E79" s="172" t="e">
        <f>#REF!/#REF!</f>
        <v>#REF!</v>
      </c>
    </row>
    <row r="80" spans="1:5" s="7" customFormat="1" ht="11.25" x14ac:dyDescent="0.2">
      <c r="A80" s="19">
        <v>5</v>
      </c>
      <c r="B80" s="27" t="s">
        <v>73</v>
      </c>
      <c r="C80" s="481" t="s">
        <v>131</v>
      </c>
      <c r="D80" s="482"/>
      <c r="E80" s="172" t="e">
        <f>#REF!/#REF!</f>
        <v>#REF!</v>
      </c>
    </row>
    <row r="81" spans="1:5" s="7" customFormat="1" ht="11.25" x14ac:dyDescent="0.2">
      <c r="A81" s="192">
        <f>A80+1</f>
        <v>6</v>
      </c>
      <c r="B81" s="27" t="s">
        <v>74</v>
      </c>
      <c r="C81" s="30" t="s">
        <v>103</v>
      </c>
      <c r="D81" s="183" t="s">
        <v>132</v>
      </c>
      <c r="E81" s="172" t="e">
        <f>#REF!/#REF!</f>
        <v>#REF!</v>
      </c>
    </row>
    <row r="82" spans="1:5" s="7" customFormat="1" ht="12.75" customHeight="1" x14ac:dyDescent="0.2">
      <c r="A82" s="191"/>
      <c r="B82" s="483" t="s">
        <v>82</v>
      </c>
      <c r="C82" s="483"/>
      <c r="D82" s="483"/>
      <c r="E82" s="23"/>
    </row>
    <row r="83" spans="1:5" s="13" customFormat="1" ht="15.75" customHeight="1" x14ac:dyDescent="0.2">
      <c r="A83" s="19">
        <v>1</v>
      </c>
      <c r="B83" s="27" t="s">
        <v>424</v>
      </c>
      <c r="C83" s="28" t="s">
        <v>105</v>
      </c>
      <c r="D83" s="189" t="s">
        <v>485</v>
      </c>
      <c r="E83" s="172">
        <f>1.2*8</f>
        <v>9.6</v>
      </c>
    </row>
    <row r="84" spans="1:5" s="13" customFormat="1" ht="16.5" customHeight="1" x14ac:dyDescent="0.2">
      <c r="A84" s="19">
        <v>2</v>
      </c>
      <c r="B84" s="27" t="s">
        <v>77</v>
      </c>
      <c r="C84" s="19" t="s">
        <v>486</v>
      </c>
      <c r="D84" s="183" t="s">
        <v>115</v>
      </c>
      <c r="E84" s="172">
        <f>4*4</f>
        <v>16</v>
      </c>
    </row>
    <row r="85" spans="1:5" s="13" customFormat="1" ht="11.25" x14ac:dyDescent="0.2">
      <c r="A85" s="192">
        <f>A84+1</f>
        <v>3</v>
      </c>
      <c r="B85" s="27" t="s">
        <v>78</v>
      </c>
      <c r="C85" s="479" t="s">
        <v>487</v>
      </c>
      <c r="D85" s="480"/>
      <c r="E85" s="172" t="e">
        <f>#REF!/#REF!</f>
        <v>#REF!</v>
      </c>
    </row>
    <row r="86" spans="1:5" s="13" customFormat="1" ht="11.25" x14ac:dyDescent="0.2">
      <c r="A86" s="192">
        <f>A85+1</f>
        <v>4</v>
      </c>
      <c r="B86" s="27" t="s">
        <v>79</v>
      </c>
      <c r="C86" s="479" t="s">
        <v>118</v>
      </c>
      <c r="D86" s="480"/>
      <c r="E86" s="172">
        <v>2</v>
      </c>
    </row>
    <row r="87" spans="1:5" s="13" customFormat="1" ht="11.25" x14ac:dyDescent="0.2">
      <c r="A87" s="192">
        <v>5</v>
      </c>
      <c r="B87" s="27" t="s">
        <v>80</v>
      </c>
      <c r="C87" s="479" t="s">
        <v>118</v>
      </c>
      <c r="D87" s="480"/>
      <c r="E87" s="172" t="e">
        <f>#REF!/#REF!</f>
        <v>#REF!</v>
      </c>
    </row>
    <row r="88" spans="1:5" s="13" customFormat="1" ht="11.25" x14ac:dyDescent="0.2">
      <c r="A88" s="192">
        <v>6</v>
      </c>
      <c r="B88" s="27" t="s">
        <v>81</v>
      </c>
      <c r="C88" s="479" t="s">
        <v>118</v>
      </c>
      <c r="D88" s="480"/>
      <c r="E88" s="172" t="e">
        <f>#REF!/#REF!</f>
        <v>#REF!</v>
      </c>
    </row>
    <row r="89" spans="1:5" s="13" customFormat="1" ht="11.25" x14ac:dyDescent="0.2">
      <c r="A89" s="19">
        <v>1</v>
      </c>
      <c r="B89" s="27" t="s">
        <v>76</v>
      </c>
      <c r="C89" s="30" t="s">
        <v>105</v>
      </c>
      <c r="D89" s="31" t="s">
        <v>199</v>
      </c>
      <c r="E89" s="32">
        <v>6</v>
      </c>
    </row>
    <row r="90" spans="1:5" s="13" customFormat="1" ht="11.25" x14ac:dyDescent="0.2">
      <c r="A90" s="192">
        <f>A89+1</f>
        <v>2</v>
      </c>
      <c r="B90" s="27" t="s">
        <v>84</v>
      </c>
      <c r="C90" s="30" t="s">
        <v>105</v>
      </c>
      <c r="D90" s="31" t="s">
        <v>200</v>
      </c>
      <c r="E90" s="32">
        <v>16</v>
      </c>
    </row>
    <row r="91" spans="1:5" s="13" customFormat="1" ht="11.25" x14ac:dyDescent="0.2">
      <c r="A91" s="192">
        <f>A90+1</f>
        <v>3</v>
      </c>
      <c r="B91" s="27" t="s">
        <v>85</v>
      </c>
      <c r="C91" s="30" t="s">
        <v>105</v>
      </c>
      <c r="D91" s="31" t="s">
        <v>200</v>
      </c>
      <c r="E91" s="32">
        <v>14</v>
      </c>
    </row>
    <row r="92" spans="1:5" s="13" customFormat="1" ht="11.25" x14ac:dyDescent="0.2">
      <c r="A92" s="192">
        <f>A91+1</f>
        <v>4</v>
      </c>
      <c r="B92" s="27" t="s">
        <v>201</v>
      </c>
      <c r="C92" s="30" t="s">
        <v>105</v>
      </c>
      <c r="D92" s="31" t="s">
        <v>202</v>
      </c>
      <c r="E92" s="32">
        <v>7.2</v>
      </c>
    </row>
    <row r="93" spans="1:5" s="13" customFormat="1" ht="11.25" x14ac:dyDescent="0.2">
      <c r="A93" s="192">
        <f>A92+1</f>
        <v>5</v>
      </c>
      <c r="B93" s="27" t="s">
        <v>86</v>
      </c>
      <c r="C93" s="132" t="s">
        <v>118</v>
      </c>
      <c r="D93" s="31" t="s">
        <v>203</v>
      </c>
      <c r="E93" s="32">
        <v>13</v>
      </c>
    </row>
    <row r="94" spans="1:5" s="13" customFormat="1" ht="11.25" x14ac:dyDescent="0.2">
      <c r="A94" s="192">
        <f>A93+1</f>
        <v>6</v>
      </c>
      <c r="B94" s="27" t="s">
        <v>87</v>
      </c>
      <c r="C94" s="30" t="s">
        <v>105</v>
      </c>
      <c r="D94" s="31" t="s">
        <v>204</v>
      </c>
      <c r="E94" s="32">
        <v>142.30000000000001</v>
      </c>
    </row>
    <row r="95" spans="1:5" s="13" customFormat="1" ht="11.25" x14ac:dyDescent="0.2">
      <c r="A95" s="192" t="e">
        <f>#REF!+1</f>
        <v>#REF!</v>
      </c>
      <c r="B95" s="27" t="s">
        <v>76</v>
      </c>
      <c r="C95" s="30" t="s">
        <v>105</v>
      </c>
      <c r="D95" s="31" t="s">
        <v>199</v>
      </c>
      <c r="E95" s="32">
        <v>6</v>
      </c>
    </row>
    <row r="96" spans="1:5" s="13" customFormat="1" ht="11.25" x14ac:dyDescent="0.2">
      <c r="A96" s="192" t="e">
        <f>A95+1</f>
        <v>#REF!</v>
      </c>
      <c r="B96" s="27" t="s">
        <v>84</v>
      </c>
      <c r="C96" s="30" t="s">
        <v>105</v>
      </c>
      <c r="D96" s="31" t="s">
        <v>200</v>
      </c>
      <c r="E96" s="32">
        <v>16</v>
      </c>
    </row>
    <row r="97" spans="1:5" s="13" customFormat="1" ht="11.25" x14ac:dyDescent="0.2">
      <c r="A97" s="192" t="e">
        <f>A96+1</f>
        <v>#REF!</v>
      </c>
      <c r="B97" s="27" t="s">
        <v>85</v>
      </c>
      <c r="C97" s="30" t="s">
        <v>105</v>
      </c>
      <c r="D97" s="31" t="s">
        <v>200</v>
      </c>
      <c r="E97" s="32">
        <v>14</v>
      </c>
    </row>
    <row r="98" spans="1:5" s="13" customFormat="1" ht="11.25" x14ac:dyDescent="0.2">
      <c r="A98" s="192" t="e">
        <f>A97+1</f>
        <v>#REF!</v>
      </c>
      <c r="B98" s="27" t="s">
        <v>88</v>
      </c>
      <c r="C98" s="30" t="s">
        <v>105</v>
      </c>
      <c r="D98" s="31" t="s">
        <v>205</v>
      </c>
      <c r="E98" s="32">
        <v>16</v>
      </c>
    </row>
    <row r="99" spans="1:5" s="13" customFormat="1" ht="11.25" x14ac:dyDescent="0.2">
      <c r="A99" s="192" t="e">
        <f>A98+1</f>
        <v>#REF!</v>
      </c>
      <c r="B99" s="27" t="s">
        <v>89</v>
      </c>
      <c r="C99" s="30" t="s">
        <v>105</v>
      </c>
      <c r="D99" s="31" t="s">
        <v>204</v>
      </c>
      <c r="E99" s="32">
        <v>142.30000000000001</v>
      </c>
    </row>
    <row r="100" spans="1:5" s="13" customFormat="1" ht="11.25" x14ac:dyDescent="0.2">
      <c r="A100" s="192">
        <v>6</v>
      </c>
      <c r="B100" s="27" t="s">
        <v>90</v>
      </c>
      <c r="C100" s="30" t="s">
        <v>105</v>
      </c>
      <c r="D100" s="31" t="s">
        <v>206</v>
      </c>
      <c r="E100" s="32">
        <v>23.47</v>
      </c>
    </row>
    <row r="101" spans="1:5" s="13" customFormat="1" ht="11.25" x14ac:dyDescent="0.2">
      <c r="A101" s="192">
        <v>7</v>
      </c>
      <c r="B101" s="27" t="s">
        <v>91</v>
      </c>
      <c r="C101" s="30" t="s">
        <v>105</v>
      </c>
      <c r="D101" s="31" t="s">
        <v>115</v>
      </c>
      <c r="E101" s="32">
        <v>20</v>
      </c>
    </row>
    <row r="102" spans="1:5" s="13" customFormat="1" ht="11.25" x14ac:dyDescent="0.2">
      <c r="A102" s="192">
        <v>8</v>
      </c>
      <c r="B102" s="27" t="s">
        <v>92</v>
      </c>
      <c r="C102" s="30" t="s">
        <v>105</v>
      </c>
      <c r="D102" s="31" t="s">
        <v>207</v>
      </c>
      <c r="E102" s="32">
        <v>19.600000000000001</v>
      </c>
    </row>
    <row r="103" spans="1:5" s="13" customFormat="1" ht="11.25" x14ac:dyDescent="0.2">
      <c r="A103" s="19">
        <v>1</v>
      </c>
      <c r="B103" s="27" t="s">
        <v>76</v>
      </c>
      <c r="C103" s="30" t="s">
        <v>105</v>
      </c>
      <c r="D103" s="31" t="s">
        <v>199</v>
      </c>
      <c r="E103" s="32">
        <v>6</v>
      </c>
    </row>
    <row r="104" spans="1:5" s="13" customFormat="1" ht="11.25" x14ac:dyDescent="0.2">
      <c r="A104" s="19">
        <v>2</v>
      </c>
      <c r="B104" s="27" t="s">
        <v>84</v>
      </c>
      <c r="C104" s="30" t="s">
        <v>105</v>
      </c>
      <c r="D104" s="31" t="s">
        <v>200</v>
      </c>
      <c r="E104" s="32">
        <v>16</v>
      </c>
    </row>
    <row r="105" spans="1:5" s="13" customFormat="1" ht="11.25" x14ac:dyDescent="0.2">
      <c r="A105" s="19">
        <v>3</v>
      </c>
      <c r="B105" s="27" t="s">
        <v>85</v>
      </c>
      <c r="C105" s="30" t="s">
        <v>105</v>
      </c>
      <c r="D105" s="31" t="s">
        <v>200</v>
      </c>
      <c r="E105" s="32">
        <v>14</v>
      </c>
    </row>
    <row r="106" spans="1:5" s="13" customFormat="1" ht="11.25" x14ac:dyDescent="0.2">
      <c r="A106" s="19">
        <v>4</v>
      </c>
      <c r="B106" s="27" t="s">
        <v>93</v>
      </c>
      <c r="C106" s="30" t="s">
        <v>118</v>
      </c>
      <c r="D106" s="31" t="s">
        <v>203</v>
      </c>
      <c r="E106" s="32">
        <v>1.2</v>
      </c>
    </row>
    <row r="107" spans="1:5" s="13" customFormat="1" ht="11.25" x14ac:dyDescent="0.2">
      <c r="A107" s="19">
        <v>5</v>
      </c>
      <c r="B107" s="27" t="s">
        <v>94</v>
      </c>
      <c r="C107" s="30" t="s">
        <v>118</v>
      </c>
      <c r="D107" s="31" t="s">
        <v>208</v>
      </c>
      <c r="E107" s="32">
        <v>2.5</v>
      </c>
    </row>
    <row r="108" spans="1:5" s="13" customFormat="1" ht="11.25" x14ac:dyDescent="0.2">
      <c r="A108" s="19">
        <v>6</v>
      </c>
      <c r="B108" s="27" t="s">
        <v>95</v>
      </c>
      <c r="C108" s="30" t="s">
        <v>118</v>
      </c>
      <c r="D108" s="31" t="s">
        <v>203</v>
      </c>
      <c r="E108" s="32">
        <v>3</v>
      </c>
    </row>
    <row r="109" spans="1:5" s="13" customFormat="1" ht="11.25" x14ac:dyDescent="0.2">
      <c r="A109" s="19">
        <v>7</v>
      </c>
      <c r="B109" s="27" t="s">
        <v>94</v>
      </c>
      <c r="C109" s="30" t="s">
        <v>118</v>
      </c>
      <c r="D109" s="31" t="s">
        <v>208</v>
      </c>
      <c r="E109" s="32">
        <v>2.5</v>
      </c>
    </row>
    <row r="110" spans="1:5" s="13" customFormat="1" ht="11.25" x14ac:dyDescent="0.2">
      <c r="A110" s="19">
        <v>8</v>
      </c>
      <c r="B110" s="27" t="s">
        <v>96</v>
      </c>
      <c r="C110" s="30" t="s">
        <v>118</v>
      </c>
      <c r="D110" s="31" t="s">
        <v>203</v>
      </c>
      <c r="E110" s="32">
        <v>6</v>
      </c>
    </row>
    <row r="111" spans="1:5" s="13" customFormat="1" ht="11.25" x14ac:dyDescent="0.2">
      <c r="A111" s="19">
        <v>1</v>
      </c>
      <c r="B111" s="27" t="s">
        <v>76</v>
      </c>
      <c r="C111" s="30" t="s">
        <v>185</v>
      </c>
      <c r="D111" s="31" t="s">
        <v>479</v>
      </c>
      <c r="E111" s="32">
        <v>3.24</v>
      </c>
    </row>
    <row r="112" spans="1:5" s="13" customFormat="1" ht="11.25" x14ac:dyDescent="0.2">
      <c r="A112" s="192">
        <f>A111+1</f>
        <v>2</v>
      </c>
      <c r="B112" s="27" t="s">
        <v>84</v>
      </c>
      <c r="C112" s="30" t="s">
        <v>185</v>
      </c>
      <c r="D112" s="31" t="s">
        <v>480</v>
      </c>
      <c r="E112" s="32">
        <v>3.7800000000000002</v>
      </c>
    </row>
    <row r="113" spans="1:5" s="13" customFormat="1" ht="11.25" x14ac:dyDescent="0.2">
      <c r="A113" s="192">
        <f>A112+1</f>
        <v>3</v>
      </c>
      <c r="B113" s="27" t="s">
        <v>100</v>
      </c>
      <c r="C113" s="30" t="s">
        <v>185</v>
      </c>
      <c r="D113" s="31" t="s">
        <v>481</v>
      </c>
      <c r="E113" s="32">
        <v>3.7800000000000002</v>
      </c>
    </row>
    <row r="114" spans="1:5" s="13" customFormat="1" ht="11.25" x14ac:dyDescent="0.2">
      <c r="A114" s="192">
        <f>A113+1</f>
        <v>4</v>
      </c>
      <c r="B114" s="27" t="s">
        <v>93</v>
      </c>
      <c r="C114" s="30" t="s">
        <v>118</v>
      </c>
      <c r="D114" s="31" t="s">
        <v>203</v>
      </c>
      <c r="E114" s="32">
        <v>1.2</v>
      </c>
    </row>
    <row r="115" spans="1:5" s="13" customFormat="1" ht="11.25" x14ac:dyDescent="0.2">
      <c r="A115" s="192">
        <f>A114+1</f>
        <v>5</v>
      </c>
      <c r="B115" s="27" t="s">
        <v>94</v>
      </c>
      <c r="C115" s="30" t="s">
        <v>118</v>
      </c>
      <c r="D115" s="31" t="s">
        <v>208</v>
      </c>
      <c r="E115" s="32">
        <v>2.5</v>
      </c>
    </row>
    <row r="116" spans="1:5" s="13" customFormat="1" ht="11.25" x14ac:dyDescent="0.2">
      <c r="A116" s="192">
        <v>6</v>
      </c>
      <c r="B116" s="27" t="s">
        <v>101</v>
      </c>
      <c r="C116" s="30" t="s">
        <v>118</v>
      </c>
      <c r="D116" s="31" t="s">
        <v>212</v>
      </c>
      <c r="E116" s="32">
        <v>3</v>
      </c>
    </row>
    <row r="117" spans="1:5" s="13" customFormat="1" ht="11.25" x14ac:dyDescent="0.2">
      <c r="A117" s="192">
        <v>7</v>
      </c>
      <c r="B117" s="27" t="s">
        <v>95</v>
      </c>
      <c r="C117" s="30" t="s">
        <v>118</v>
      </c>
      <c r="D117" s="31" t="s">
        <v>203</v>
      </c>
      <c r="E117" s="32">
        <v>3</v>
      </c>
    </row>
    <row r="118" spans="1:5" s="13" customFormat="1" ht="11.25" x14ac:dyDescent="0.2">
      <c r="A118" s="192">
        <v>8</v>
      </c>
      <c r="B118" s="27" t="s">
        <v>96</v>
      </c>
      <c r="C118" s="30" t="s">
        <v>118</v>
      </c>
      <c r="D118" s="31" t="s">
        <v>203</v>
      </c>
      <c r="E118" s="32">
        <v>6</v>
      </c>
    </row>
    <row r="119" spans="1:5" s="13" customFormat="1" ht="11.25" x14ac:dyDescent="0.2">
      <c r="A119" s="192">
        <v>1</v>
      </c>
      <c r="B119" s="27" t="s">
        <v>76</v>
      </c>
      <c r="C119" s="30" t="s">
        <v>118</v>
      </c>
      <c r="D119" s="31" t="s">
        <v>213</v>
      </c>
      <c r="E119" s="32">
        <v>0.6</v>
      </c>
    </row>
    <row r="120" spans="1:5" s="13" customFormat="1" ht="11.25" x14ac:dyDescent="0.2">
      <c r="A120" s="192">
        <v>2</v>
      </c>
      <c r="B120" s="27" t="s">
        <v>84</v>
      </c>
      <c r="C120" s="30" t="s">
        <v>118</v>
      </c>
      <c r="D120" s="31" t="s">
        <v>208</v>
      </c>
      <c r="E120" s="32">
        <v>1.6</v>
      </c>
    </row>
    <row r="121" spans="1:5" s="13" customFormat="1" ht="11.25" x14ac:dyDescent="0.2">
      <c r="A121" s="192">
        <v>3</v>
      </c>
      <c r="B121" s="27" t="s">
        <v>100</v>
      </c>
      <c r="C121" s="30" t="s">
        <v>118</v>
      </c>
      <c r="D121" s="31" t="s">
        <v>208</v>
      </c>
      <c r="E121" s="32">
        <v>0.8</v>
      </c>
    </row>
    <row r="122" spans="1:5" s="13" customFormat="1" ht="11.25" x14ac:dyDescent="0.2">
      <c r="A122" s="192">
        <v>4</v>
      </c>
      <c r="B122" s="27" t="s">
        <v>93</v>
      </c>
      <c r="C122" s="30" t="s">
        <v>118</v>
      </c>
      <c r="D122" s="31" t="s">
        <v>203</v>
      </c>
      <c r="E122" s="32">
        <v>3.5</v>
      </c>
    </row>
    <row r="123" spans="1:5" s="13" customFormat="1" ht="11.25" x14ac:dyDescent="0.2">
      <c r="A123" s="192">
        <v>5</v>
      </c>
      <c r="B123" s="27" t="s">
        <v>101</v>
      </c>
      <c r="C123" s="30" t="s">
        <v>118</v>
      </c>
      <c r="D123" s="31" t="s">
        <v>212</v>
      </c>
      <c r="E123" s="32">
        <v>3.5</v>
      </c>
    </row>
    <row r="124" spans="1:5" s="13" customFormat="1" ht="11.25" x14ac:dyDescent="0.2">
      <c r="A124" s="192">
        <v>6</v>
      </c>
      <c r="B124" s="27" t="s">
        <v>95</v>
      </c>
      <c r="C124" s="30" t="s">
        <v>118</v>
      </c>
      <c r="D124" s="31" t="s">
        <v>203</v>
      </c>
      <c r="E124" s="32">
        <v>7</v>
      </c>
    </row>
    <row r="125" spans="1:5" s="13" customFormat="1" ht="11.25" x14ac:dyDescent="0.2">
      <c r="A125" s="192">
        <v>7</v>
      </c>
      <c r="B125" s="27" t="s">
        <v>96</v>
      </c>
      <c r="C125" s="30" t="s">
        <v>118</v>
      </c>
      <c r="D125" s="31" t="s">
        <v>203</v>
      </c>
      <c r="E125" s="32">
        <v>11</v>
      </c>
    </row>
  </sheetData>
  <mergeCells count="35">
    <mergeCell ref="B33:D33"/>
    <mergeCell ref="C7:D7"/>
    <mergeCell ref="C9:D9"/>
    <mergeCell ref="C10:D10"/>
    <mergeCell ref="C12:D12"/>
    <mergeCell ref="B14:D14"/>
    <mergeCell ref="B21:D21"/>
    <mergeCell ref="C26:D26"/>
    <mergeCell ref="C28:D28"/>
    <mergeCell ref="C29:D29"/>
    <mergeCell ref="C31:D31"/>
    <mergeCell ref="C34:D34"/>
    <mergeCell ref="B36:D36"/>
    <mergeCell ref="C48:D48"/>
    <mergeCell ref="C50:D50"/>
    <mergeCell ref="C51:D51"/>
    <mergeCell ref="B43:D43"/>
    <mergeCell ref="C76:D76"/>
    <mergeCell ref="C53:D53"/>
    <mergeCell ref="B56:D56"/>
    <mergeCell ref="C60:D60"/>
    <mergeCell ref="C61:D61"/>
    <mergeCell ref="C62:D62"/>
    <mergeCell ref="C68:D68"/>
    <mergeCell ref="C70:D70"/>
    <mergeCell ref="C71:D71"/>
    <mergeCell ref="C73:D73"/>
    <mergeCell ref="B75:D75"/>
    <mergeCell ref="C88:D88"/>
    <mergeCell ref="C78:D78"/>
    <mergeCell ref="C80:D80"/>
    <mergeCell ref="B82:D82"/>
    <mergeCell ref="C85:D85"/>
    <mergeCell ref="C86:D86"/>
    <mergeCell ref="C87:D87"/>
  </mergeCells>
  <conditionalFormatting sqref="E14 E2 E21 E63 E75 E82">
    <cfRule type="cellIs" dxfId="168" priority="98" stopIfTrue="1" operator="greaterThan">
      <formula>0</formula>
    </cfRule>
  </conditionalFormatting>
  <conditionalFormatting sqref="E15:E20 E3:E13">
    <cfRule type="cellIs" dxfId="167" priority="99" stopIfTrue="1" operator="greaterThan">
      <formula>0</formula>
    </cfRule>
  </conditionalFormatting>
  <conditionalFormatting sqref="D15:D20 D8 D11 D13 D3:D6">
    <cfRule type="cellIs" dxfId="166" priority="100" stopIfTrue="1" operator="equal">
      <formula>0</formula>
    </cfRule>
  </conditionalFormatting>
  <conditionalFormatting sqref="E36 E33">
    <cfRule type="cellIs" dxfId="165" priority="88" stopIfTrue="1" operator="greaterThan">
      <formula>0</formula>
    </cfRule>
  </conditionalFormatting>
  <conditionalFormatting sqref="E34:E35 E22:E32 E37:E42">
    <cfRule type="cellIs" dxfId="164" priority="89" stopIfTrue="1" operator="greaterThan">
      <formula>0</formula>
    </cfRule>
  </conditionalFormatting>
  <conditionalFormatting sqref="D22:D25 D35 D32 D27 D30 D37:D42">
    <cfRule type="cellIs" dxfId="163" priority="90" stopIfTrue="1" operator="equal">
      <formula>0</formula>
    </cfRule>
  </conditionalFormatting>
  <conditionalFormatting sqref="E56 E43">
    <cfRule type="cellIs" dxfId="162" priority="84" stopIfTrue="1" operator="greaterThan">
      <formula>0</formula>
    </cfRule>
  </conditionalFormatting>
  <conditionalFormatting sqref="E44:E55 E57:E62">
    <cfRule type="cellIs" dxfId="161" priority="85" stopIfTrue="1" operator="greaterThan">
      <formula>0</formula>
    </cfRule>
  </conditionalFormatting>
  <conditionalFormatting sqref="D54:D55 D49 D52 D44:D47 D57:D59">
    <cfRule type="cellIs" dxfId="160" priority="86" stopIfTrue="1" operator="equal">
      <formula>0</formula>
    </cfRule>
  </conditionalFormatting>
  <conditionalFormatting sqref="E64:E74 E76:E81 E83:E88">
    <cfRule type="cellIs" dxfId="159" priority="82" stopIfTrue="1" operator="greaterThan">
      <formula>0</formula>
    </cfRule>
  </conditionalFormatting>
  <conditionalFormatting sqref="D64:D67 D74 D69 D72 D77:D81 D83:D84">
    <cfRule type="cellIs" dxfId="158" priority="81" stopIfTrue="1" operator="equal">
      <formula>0</formula>
    </cfRule>
  </conditionalFormatting>
  <conditionalFormatting sqref="D74">
    <cfRule type="cellIs" dxfId="157" priority="79" stopIfTrue="1" operator="equal">
      <formula>0</formula>
    </cfRule>
  </conditionalFormatting>
  <conditionalFormatting sqref="D83">
    <cfRule type="cellIs" dxfId="156" priority="78" stopIfTrue="1" operator="equal">
      <formula>0</formula>
    </cfRule>
  </conditionalFormatting>
  <conditionalFormatting sqref="D83">
    <cfRule type="cellIs" dxfId="155" priority="77" stopIfTrue="1" operator="equal">
      <formula>0</formula>
    </cfRule>
  </conditionalFormatting>
  <conditionalFormatting sqref="D74">
    <cfRule type="cellIs" dxfId="154" priority="76" stopIfTrue="1" operator="equal">
      <formula>0</formula>
    </cfRule>
  </conditionalFormatting>
  <conditionalFormatting sqref="D83">
    <cfRule type="cellIs" dxfId="153" priority="75" stopIfTrue="1" operator="equal">
      <formula>0</formula>
    </cfRule>
  </conditionalFormatting>
  <conditionalFormatting sqref="D83">
    <cfRule type="cellIs" dxfId="152" priority="74" stopIfTrue="1" operator="equal">
      <formula>0</formula>
    </cfRule>
  </conditionalFormatting>
  <conditionalFormatting sqref="D83">
    <cfRule type="cellIs" dxfId="151" priority="73" stopIfTrue="1" operator="equal">
      <formula>0</formula>
    </cfRule>
  </conditionalFormatting>
  <conditionalFormatting sqref="D79">
    <cfRule type="cellIs" dxfId="150" priority="72" stopIfTrue="1" operator="equal">
      <formula>0</formula>
    </cfRule>
  </conditionalFormatting>
  <conditionalFormatting sqref="D81">
    <cfRule type="cellIs" dxfId="149" priority="67" stopIfTrue="1" operator="equal">
      <formula>0</formula>
    </cfRule>
  </conditionalFormatting>
  <conditionalFormatting sqref="E76:E81">
    <cfRule type="cellIs" dxfId="148" priority="65" stopIfTrue="1" operator="greaterThan">
      <formula>0</formula>
    </cfRule>
  </conditionalFormatting>
  <conditionalFormatting sqref="D67">
    <cfRule type="cellIs" dxfId="147" priority="62" stopIfTrue="1" operator="equal">
      <formula>0</formula>
    </cfRule>
  </conditionalFormatting>
  <conditionalFormatting sqref="E74">
    <cfRule type="cellIs" dxfId="146" priority="61" stopIfTrue="1" operator="greaterThan">
      <formula>0</formula>
    </cfRule>
  </conditionalFormatting>
  <conditionalFormatting sqref="E64">
    <cfRule type="cellIs" dxfId="145" priority="59" stopIfTrue="1" operator="greaterThan">
      <formula>0</formula>
    </cfRule>
  </conditionalFormatting>
  <conditionalFormatting sqref="E65:E66">
    <cfRule type="cellIs" dxfId="144" priority="58" stopIfTrue="1" operator="greaterThan">
      <formula>0</formula>
    </cfRule>
  </conditionalFormatting>
  <conditionalFormatting sqref="E83">
    <cfRule type="cellIs" dxfId="143" priority="53" stopIfTrue="1" operator="greaterThan">
      <formula>0</formula>
    </cfRule>
  </conditionalFormatting>
  <conditionalFormatting sqref="E84">
    <cfRule type="cellIs" dxfId="142" priority="52" stopIfTrue="1" operator="greaterThan">
      <formula>0</formula>
    </cfRule>
  </conditionalFormatting>
  <conditionalFormatting sqref="E85">
    <cfRule type="cellIs" dxfId="141" priority="51" stopIfTrue="1" operator="greaterThan">
      <formula>0</formula>
    </cfRule>
  </conditionalFormatting>
  <conditionalFormatting sqref="E87:E88">
    <cfRule type="cellIs" dxfId="140" priority="49" stopIfTrue="1" operator="greaterThan">
      <formula>0</formula>
    </cfRule>
  </conditionalFormatting>
  <conditionalFormatting sqref="E65:E73">
    <cfRule type="cellIs" dxfId="139" priority="48" stopIfTrue="1" operator="greaterThan">
      <formula>0</formula>
    </cfRule>
  </conditionalFormatting>
  <conditionalFormatting sqref="E86">
    <cfRule type="cellIs" dxfId="138" priority="40" stopIfTrue="1" operator="greaterThan">
      <formula>0</formula>
    </cfRule>
  </conditionalFormatting>
  <conditionalFormatting sqref="D74">
    <cfRule type="cellIs" dxfId="137" priority="36" stopIfTrue="1" operator="equal">
      <formula>0</formula>
    </cfRule>
  </conditionalFormatting>
  <conditionalFormatting sqref="D83">
    <cfRule type="cellIs" dxfId="136" priority="35" stopIfTrue="1" operator="equal">
      <formula>0</formula>
    </cfRule>
  </conditionalFormatting>
  <conditionalFormatting sqref="D84">
    <cfRule type="cellIs" dxfId="135" priority="34" stopIfTrue="1" operator="equal">
      <formula>0</formula>
    </cfRule>
  </conditionalFormatting>
  <conditionalFormatting sqref="E64:E74">
    <cfRule type="cellIs" dxfId="134" priority="31" stopIfTrue="1" operator="greaterThan">
      <formula>0</formula>
    </cfRule>
  </conditionalFormatting>
  <conditionalFormatting sqref="E84">
    <cfRule type="cellIs" dxfId="133" priority="29" stopIfTrue="1" operator="greaterThan">
      <formula>0</formula>
    </cfRule>
  </conditionalFormatting>
  <conditionalFormatting sqref="E83">
    <cfRule type="cellIs" dxfId="132" priority="28" stopIfTrue="1" operator="greaterThan">
      <formula>0</formula>
    </cfRule>
  </conditionalFormatting>
  <conditionalFormatting sqref="E89:E94">
    <cfRule type="cellIs" dxfId="131" priority="25" stopIfTrue="1" operator="greaterThan">
      <formula>0</formula>
    </cfRule>
  </conditionalFormatting>
  <conditionalFormatting sqref="D89:D94">
    <cfRule type="cellIs" dxfId="130" priority="26" stopIfTrue="1" operator="equal">
      <formula>0</formula>
    </cfRule>
  </conditionalFormatting>
  <conditionalFormatting sqref="E95:E102">
    <cfRule type="cellIs" dxfId="129" priority="21" stopIfTrue="1" operator="greaterThan">
      <formula>0</formula>
    </cfRule>
  </conditionalFormatting>
  <conditionalFormatting sqref="D95:D102">
    <cfRule type="cellIs" dxfId="128" priority="22" stopIfTrue="1" operator="equal">
      <formula>0</formula>
    </cfRule>
  </conditionalFormatting>
  <conditionalFormatting sqref="E103:E110">
    <cfRule type="cellIs" dxfId="127" priority="15" stopIfTrue="1" operator="greaterThan">
      <formula>0</formula>
    </cfRule>
  </conditionalFormatting>
  <conditionalFormatting sqref="D103:D110">
    <cfRule type="cellIs" dxfId="126" priority="16" stopIfTrue="1" operator="equal">
      <formula>0</formula>
    </cfRule>
  </conditionalFormatting>
  <conditionalFormatting sqref="E111:E118">
    <cfRule type="cellIs" dxfId="125" priority="11" stopIfTrue="1" operator="greaterThan">
      <formula>0</formula>
    </cfRule>
  </conditionalFormatting>
  <conditionalFormatting sqref="D111:D118">
    <cfRule type="cellIs" dxfId="124" priority="12" stopIfTrue="1" operator="equal">
      <formula>0</formula>
    </cfRule>
  </conditionalFormatting>
  <conditionalFormatting sqref="E119:E125">
    <cfRule type="cellIs" dxfId="123" priority="4" stopIfTrue="1" operator="greaterThan">
      <formula>0</formula>
    </cfRule>
  </conditionalFormatting>
  <conditionalFormatting sqref="D119:D125">
    <cfRule type="cellIs" dxfId="122" priority="5" stopIfTrue="1" operator="equal">
      <formula>0</formula>
    </cfRule>
  </conditionalFormatting>
  <conditionalFormatting sqref="E119:E125">
    <cfRule type="cellIs" dxfId="121" priority="2" stopIfTrue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BR61"/>
  <sheetViews>
    <sheetView zoomScale="70" zoomScaleNormal="70" zoomScaleSheetLayoutView="80" workbookViewId="0">
      <selection activeCell="B1" sqref="B1"/>
    </sheetView>
  </sheetViews>
  <sheetFormatPr defaultColWidth="9.140625" defaultRowHeight="11.25" x14ac:dyDescent="0.2"/>
  <cols>
    <col min="1" max="1" width="3.85546875" style="224" customWidth="1"/>
    <col min="2" max="2" width="19.5703125" style="243" customWidth="1"/>
    <col min="3" max="3" width="5.42578125" style="243" customWidth="1"/>
    <col min="4" max="4" width="11.140625" style="243" customWidth="1"/>
    <col min="5" max="5" width="7.85546875" style="243" bestFit="1" customWidth="1"/>
    <col min="6" max="6" width="5.85546875" style="224" customWidth="1"/>
    <col min="7" max="7" width="6.140625" style="243" customWidth="1"/>
    <col min="8" max="8" width="7.7109375" style="243" customWidth="1"/>
    <col min="9" max="9" width="7.28515625" style="243" customWidth="1"/>
    <col min="10" max="10" width="6.28515625" style="243" customWidth="1"/>
    <col min="11" max="11" width="7.7109375" style="243" customWidth="1"/>
    <col min="12" max="16" width="9.5703125" style="243" customWidth="1"/>
    <col min="17" max="17" width="9.5703125" style="269" customWidth="1"/>
    <col min="18" max="20" width="9.5703125" style="243" customWidth="1"/>
    <col min="21" max="24" width="9.5703125" style="243" hidden="1" customWidth="1"/>
    <col min="25" max="26" width="9.5703125" style="243" customWidth="1"/>
    <col min="27" max="27" width="7.28515625" style="243" hidden="1" customWidth="1"/>
    <col min="28" max="28" width="1.7109375" style="243" hidden="1" customWidth="1"/>
    <col min="29" max="29" width="6.140625" style="243" customWidth="1"/>
    <col min="30" max="30" width="11.7109375" style="243" customWidth="1"/>
    <col min="31" max="31" width="12.28515625" style="243" customWidth="1"/>
    <col min="32" max="36" width="11.42578125" style="243" customWidth="1"/>
    <col min="37" max="37" width="11.7109375" style="243" customWidth="1"/>
    <col min="38" max="38" width="10.42578125" style="243" customWidth="1"/>
    <col min="39" max="39" width="11" style="243" customWidth="1"/>
    <col min="40" max="40" width="8" style="243" customWidth="1"/>
    <col min="41" max="41" width="7.42578125" style="243" customWidth="1"/>
    <col min="42" max="42" width="8.85546875" style="246" customWidth="1"/>
    <col min="43" max="44" width="8.7109375" style="270" customWidth="1"/>
    <col min="45" max="45" width="10.140625" style="246" customWidth="1"/>
    <col min="46" max="46" width="5" style="243" customWidth="1"/>
    <col min="47" max="47" width="5.140625" style="246" customWidth="1"/>
    <col min="48" max="48" width="4.7109375" style="246" customWidth="1"/>
    <col min="49" max="49" width="11.42578125" style="246" customWidth="1"/>
    <col min="50" max="50" width="6" style="246" customWidth="1"/>
    <col min="51" max="51" width="8.5703125" style="246" customWidth="1"/>
    <col min="52" max="52" width="5.5703125" style="246" customWidth="1"/>
    <col min="53" max="53" width="10.28515625" style="246" customWidth="1"/>
    <col min="54" max="54" width="6.5703125" style="246" customWidth="1"/>
    <col min="55" max="55" width="8.85546875" style="246" customWidth="1"/>
    <col min="56" max="56" width="7.42578125" style="246" customWidth="1"/>
    <col min="57" max="57" width="8.85546875" style="246" customWidth="1"/>
    <col min="58" max="58" width="7.42578125" style="246" customWidth="1"/>
    <col min="59" max="59" width="9.85546875" style="246" customWidth="1"/>
    <col min="60" max="60" width="7.42578125" style="246" customWidth="1"/>
    <col min="61" max="61" width="8.85546875" style="246" customWidth="1"/>
    <col min="62" max="62" width="7.42578125" style="246" customWidth="1"/>
    <col min="63" max="64" width="8.85546875" style="246" customWidth="1"/>
    <col min="65" max="65" width="12" style="246" customWidth="1"/>
    <col min="66" max="66" width="9.7109375" style="246" customWidth="1"/>
    <col min="67" max="67" width="6" style="246" customWidth="1"/>
    <col min="68" max="68" width="6.85546875" style="247" customWidth="1"/>
    <col min="69" max="69" width="8.28515625" style="243" customWidth="1"/>
    <col min="70" max="16384" width="9.140625" style="243"/>
  </cols>
  <sheetData>
    <row r="1" spans="1:69" s="231" customFormat="1" x14ac:dyDescent="0.2">
      <c r="B1" s="433" t="s">
        <v>678</v>
      </c>
      <c r="E1" s="232"/>
      <c r="G1" s="233"/>
      <c r="Q1" s="434"/>
      <c r="AP1" s="235"/>
      <c r="AQ1" s="236"/>
      <c r="AR1" s="236"/>
      <c r="AS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7"/>
    </row>
    <row r="2" spans="1:69" s="231" customFormat="1" ht="12.75" customHeight="1" x14ac:dyDescent="0.2">
      <c r="B2" s="433" t="s">
        <v>362</v>
      </c>
      <c r="D2" s="231">
        <v>100</v>
      </c>
      <c r="E2" s="232"/>
      <c r="F2" s="231" t="s">
        <v>358</v>
      </c>
      <c r="G2" s="433"/>
      <c r="I2" s="435">
        <f>'Исходные данные'!B143</f>
        <v>100</v>
      </c>
      <c r="K2" s="242" t="s">
        <v>357</v>
      </c>
      <c r="L2" s="243"/>
      <c r="M2" s="384">
        <f>D2*I2</f>
        <v>10000</v>
      </c>
      <c r="Q2" s="434"/>
      <c r="AP2" s="235"/>
      <c r="AQ2" s="235"/>
      <c r="AR2" s="235"/>
      <c r="AS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7"/>
    </row>
    <row r="3" spans="1:69" ht="12.75" customHeight="1" x14ac:dyDescent="0.2">
      <c r="E3" s="244"/>
      <c r="F3" s="231"/>
      <c r="G3" s="245"/>
      <c r="K3" s="231"/>
      <c r="L3" s="231"/>
      <c r="N3" s="231"/>
      <c r="Q3" s="224"/>
      <c r="AQ3" s="246"/>
      <c r="AR3" s="246"/>
    </row>
    <row r="4" spans="1:69" s="233" customFormat="1" ht="17.25" customHeight="1" x14ac:dyDescent="0.2">
      <c r="A4" s="492" t="s">
        <v>55</v>
      </c>
      <c r="B4" s="489" t="s">
        <v>51</v>
      </c>
      <c r="C4" s="489"/>
      <c r="D4" s="489"/>
      <c r="E4" s="489"/>
      <c r="F4" s="492" t="s">
        <v>15</v>
      </c>
      <c r="G4" s="492" t="s">
        <v>34</v>
      </c>
      <c r="H4" s="489" t="s">
        <v>30</v>
      </c>
      <c r="I4" s="489"/>
      <c r="J4" s="492" t="s">
        <v>33</v>
      </c>
      <c r="K4" s="492" t="s">
        <v>39</v>
      </c>
      <c r="L4" s="492" t="s">
        <v>38</v>
      </c>
      <c r="M4" s="489" t="s">
        <v>675</v>
      </c>
      <c r="N4" s="489"/>
      <c r="O4" s="489" t="s">
        <v>316</v>
      </c>
      <c r="P4" s="489"/>
      <c r="Q4" s="489" t="s">
        <v>315</v>
      </c>
      <c r="R4" s="489"/>
      <c r="S4" s="489"/>
      <c r="T4" s="489"/>
      <c r="U4" s="489" t="s">
        <v>317</v>
      </c>
      <c r="V4" s="489"/>
      <c r="W4" s="489" t="s">
        <v>318</v>
      </c>
      <c r="X4" s="489"/>
      <c r="Y4" s="489" t="s">
        <v>319</v>
      </c>
      <c r="Z4" s="489"/>
      <c r="AA4" s="489" t="s">
        <v>320</v>
      </c>
      <c r="AB4" s="489"/>
      <c r="AC4" s="497" t="s">
        <v>426</v>
      </c>
      <c r="AD4" s="498"/>
      <c r="AE4" s="499"/>
      <c r="AF4" s="489" t="s">
        <v>164</v>
      </c>
      <c r="AG4" s="489"/>
      <c r="AH4" s="489" t="s">
        <v>321</v>
      </c>
      <c r="AI4" s="489"/>
      <c r="AJ4" s="489" t="s">
        <v>322</v>
      </c>
      <c r="AK4" s="489"/>
      <c r="AL4" s="489" t="s">
        <v>323</v>
      </c>
      <c r="AM4" s="489"/>
      <c r="AN4" s="489" t="s">
        <v>13</v>
      </c>
      <c r="AO4" s="489"/>
      <c r="AP4" s="489"/>
      <c r="AQ4" s="489"/>
      <c r="AR4" s="489"/>
      <c r="AS4" s="489"/>
      <c r="AT4" s="489" t="s">
        <v>187</v>
      </c>
      <c r="AU4" s="489"/>
      <c r="AV4" s="489"/>
      <c r="AW4" s="489"/>
      <c r="AX4" s="489" t="s">
        <v>330</v>
      </c>
      <c r="AY4" s="489"/>
      <c r="AZ4" s="489"/>
      <c r="BA4" s="489"/>
      <c r="BB4" s="489" t="s">
        <v>44</v>
      </c>
      <c r="BC4" s="489"/>
      <c r="BD4" s="489"/>
      <c r="BE4" s="489"/>
      <c r="BF4" s="489" t="s">
        <v>313</v>
      </c>
      <c r="BG4" s="489"/>
      <c r="BH4" s="489"/>
      <c r="BI4" s="489"/>
      <c r="BJ4" s="489"/>
      <c r="BK4" s="489"/>
      <c r="BL4" s="489"/>
      <c r="BM4" s="489" t="s">
        <v>48</v>
      </c>
      <c r="BN4" s="489"/>
      <c r="BO4" s="493" t="s">
        <v>327</v>
      </c>
      <c r="BP4" s="496" t="s">
        <v>58</v>
      </c>
      <c r="BQ4" s="496"/>
    </row>
    <row r="5" spans="1:69" s="233" customFormat="1" ht="15" customHeight="1" x14ac:dyDescent="0.2">
      <c r="A5" s="492"/>
      <c r="B5" s="489"/>
      <c r="C5" s="489"/>
      <c r="D5" s="489"/>
      <c r="E5" s="489"/>
      <c r="F5" s="492"/>
      <c r="G5" s="492"/>
      <c r="H5" s="489"/>
      <c r="I5" s="489"/>
      <c r="J5" s="492"/>
      <c r="K5" s="492"/>
      <c r="L5" s="492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500"/>
      <c r="AD5" s="501"/>
      <c r="AE5" s="502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94"/>
      <c r="BP5" s="496"/>
      <c r="BQ5" s="496"/>
    </row>
    <row r="6" spans="1:69" s="233" customFormat="1" ht="35.25" customHeight="1" x14ac:dyDescent="0.2">
      <c r="A6" s="492"/>
      <c r="B6" s="489" t="s">
        <v>12</v>
      </c>
      <c r="C6" s="489" t="s">
        <v>40</v>
      </c>
      <c r="D6" s="489"/>
      <c r="E6" s="489"/>
      <c r="F6" s="492"/>
      <c r="G6" s="492"/>
      <c r="H6" s="492" t="s">
        <v>31</v>
      </c>
      <c r="I6" s="492" t="s">
        <v>32</v>
      </c>
      <c r="J6" s="492"/>
      <c r="K6" s="492"/>
      <c r="L6" s="492"/>
      <c r="M6" s="492" t="s">
        <v>36</v>
      </c>
      <c r="N6" s="492" t="s">
        <v>37</v>
      </c>
      <c r="O6" s="490">
        <f>'Исходные данные'!B10</f>
        <v>7.9878542510121457</v>
      </c>
      <c r="P6" s="491"/>
      <c r="Q6" s="489" t="s">
        <v>36</v>
      </c>
      <c r="R6" s="489"/>
      <c r="S6" s="489" t="s">
        <v>37</v>
      </c>
      <c r="T6" s="489"/>
      <c r="U6" s="492" t="s">
        <v>16</v>
      </c>
      <c r="V6" s="492" t="s">
        <v>17</v>
      </c>
      <c r="W6" s="504"/>
      <c r="X6" s="504"/>
      <c r="Y6" s="432">
        <v>0.1</v>
      </c>
      <c r="Z6" s="432">
        <v>0.05</v>
      </c>
      <c r="AA6" s="504"/>
      <c r="AB6" s="504"/>
      <c r="AC6" s="493" t="s">
        <v>18</v>
      </c>
      <c r="AD6" s="493" t="s">
        <v>16</v>
      </c>
      <c r="AE6" s="493" t="s">
        <v>17</v>
      </c>
      <c r="AF6" s="503">
        <f>(((((AD57/O57)*'Исходные данные'!B6)/29.25*(52/12)))/((AD57/O57)*'Исходные данные'!B6))</f>
        <v>0.14814814814814811</v>
      </c>
      <c r="AG6" s="503"/>
      <c r="AH6" s="492" t="s">
        <v>16</v>
      </c>
      <c r="AI6" s="492" t="s">
        <v>17</v>
      </c>
      <c r="AJ6" s="503">
        <v>0.307</v>
      </c>
      <c r="AK6" s="503"/>
      <c r="AL6" s="492" t="s">
        <v>16</v>
      </c>
      <c r="AM6" s="492" t="s">
        <v>17</v>
      </c>
      <c r="AN6" s="492" t="s">
        <v>329</v>
      </c>
      <c r="AO6" s="492" t="s">
        <v>42</v>
      </c>
      <c r="AP6" s="505" t="s">
        <v>49</v>
      </c>
      <c r="AQ6" s="505" t="s">
        <v>43</v>
      </c>
      <c r="AR6" s="505" t="s">
        <v>324</v>
      </c>
      <c r="AS6" s="505" t="s">
        <v>325</v>
      </c>
      <c r="AT6" s="492" t="s">
        <v>214</v>
      </c>
      <c r="AU6" s="505" t="s">
        <v>188</v>
      </c>
      <c r="AV6" s="505" t="s">
        <v>326</v>
      </c>
      <c r="AW6" s="505" t="s">
        <v>325</v>
      </c>
      <c r="AX6" s="492" t="s">
        <v>214</v>
      </c>
      <c r="AY6" s="505" t="s">
        <v>188</v>
      </c>
      <c r="AZ6" s="505" t="s">
        <v>326</v>
      </c>
      <c r="BA6" s="505" t="s">
        <v>325</v>
      </c>
      <c r="BB6" s="496" t="s">
        <v>45</v>
      </c>
      <c r="BC6" s="496"/>
      <c r="BD6" s="496" t="s">
        <v>46</v>
      </c>
      <c r="BE6" s="496"/>
      <c r="BF6" s="496" t="s">
        <v>308</v>
      </c>
      <c r="BG6" s="496"/>
      <c r="BH6" s="496" t="s">
        <v>309</v>
      </c>
      <c r="BI6" s="496"/>
      <c r="BJ6" s="496" t="s">
        <v>310</v>
      </c>
      <c r="BK6" s="496"/>
      <c r="BL6" s="492" t="s">
        <v>311</v>
      </c>
      <c r="BM6" s="505" t="s">
        <v>312</v>
      </c>
      <c r="BN6" s="505" t="s">
        <v>328</v>
      </c>
      <c r="BO6" s="494"/>
      <c r="BP6" s="505" t="s">
        <v>50</v>
      </c>
      <c r="BQ6" s="505" t="s">
        <v>14</v>
      </c>
    </row>
    <row r="7" spans="1:69" s="233" customFormat="1" ht="48" customHeight="1" x14ac:dyDescent="0.2">
      <c r="A7" s="492"/>
      <c r="B7" s="489"/>
      <c r="C7" s="492" t="s">
        <v>41</v>
      </c>
      <c r="D7" s="492" t="s">
        <v>53</v>
      </c>
      <c r="E7" s="492" t="s">
        <v>52</v>
      </c>
      <c r="F7" s="492"/>
      <c r="G7" s="492"/>
      <c r="H7" s="492"/>
      <c r="I7" s="492"/>
      <c r="J7" s="492"/>
      <c r="K7" s="492"/>
      <c r="L7" s="492"/>
      <c r="M7" s="492"/>
      <c r="N7" s="492"/>
      <c r="O7" s="492" t="s">
        <v>36</v>
      </c>
      <c r="P7" s="492" t="s">
        <v>37</v>
      </c>
      <c r="Q7" s="510" t="s">
        <v>19</v>
      </c>
      <c r="R7" s="492" t="s">
        <v>20</v>
      </c>
      <c r="S7" s="510" t="s">
        <v>19</v>
      </c>
      <c r="T7" s="492" t="s">
        <v>20</v>
      </c>
      <c r="U7" s="492"/>
      <c r="V7" s="492"/>
      <c r="W7" s="492" t="s">
        <v>16</v>
      </c>
      <c r="X7" s="492" t="s">
        <v>17</v>
      </c>
      <c r="Y7" s="492" t="s">
        <v>173</v>
      </c>
      <c r="Z7" s="492" t="s">
        <v>17</v>
      </c>
      <c r="AA7" s="492" t="s">
        <v>16</v>
      </c>
      <c r="AB7" s="492" t="s">
        <v>17</v>
      </c>
      <c r="AC7" s="494"/>
      <c r="AD7" s="494"/>
      <c r="AE7" s="494"/>
      <c r="AF7" s="492" t="s">
        <v>16</v>
      </c>
      <c r="AG7" s="492" t="s">
        <v>17</v>
      </c>
      <c r="AH7" s="492"/>
      <c r="AI7" s="492"/>
      <c r="AJ7" s="492" t="s">
        <v>16</v>
      </c>
      <c r="AK7" s="492" t="s">
        <v>17</v>
      </c>
      <c r="AL7" s="492"/>
      <c r="AM7" s="492"/>
      <c r="AN7" s="492"/>
      <c r="AO7" s="492"/>
      <c r="AP7" s="505"/>
      <c r="AQ7" s="505"/>
      <c r="AR7" s="505"/>
      <c r="AS7" s="505"/>
      <c r="AT7" s="492"/>
      <c r="AU7" s="505"/>
      <c r="AV7" s="505"/>
      <c r="AW7" s="505"/>
      <c r="AX7" s="492"/>
      <c r="AY7" s="505"/>
      <c r="AZ7" s="505"/>
      <c r="BA7" s="505"/>
      <c r="BB7" s="505" t="s">
        <v>584</v>
      </c>
      <c r="BC7" s="505" t="s">
        <v>314</v>
      </c>
      <c r="BD7" s="505" t="s">
        <v>584</v>
      </c>
      <c r="BE7" s="505" t="s">
        <v>314</v>
      </c>
      <c r="BF7" s="505" t="s">
        <v>307</v>
      </c>
      <c r="BG7" s="505" t="s">
        <v>314</v>
      </c>
      <c r="BH7" s="505" t="s">
        <v>307</v>
      </c>
      <c r="BI7" s="505" t="s">
        <v>314</v>
      </c>
      <c r="BJ7" s="505" t="s">
        <v>307</v>
      </c>
      <c r="BK7" s="505" t="s">
        <v>314</v>
      </c>
      <c r="BL7" s="492"/>
      <c r="BM7" s="505"/>
      <c r="BN7" s="505"/>
      <c r="BO7" s="494"/>
      <c r="BP7" s="505"/>
      <c r="BQ7" s="505"/>
    </row>
    <row r="8" spans="1:69" s="233" customFormat="1" ht="21" customHeight="1" x14ac:dyDescent="0.2">
      <c r="A8" s="492"/>
      <c r="B8" s="489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510"/>
      <c r="R8" s="492"/>
      <c r="S8" s="510"/>
      <c r="T8" s="492"/>
      <c r="U8" s="492"/>
      <c r="V8" s="492"/>
      <c r="W8" s="492"/>
      <c r="X8" s="492"/>
      <c r="Y8" s="492"/>
      <c r="Z8" s="492"/>
      <c r="AA8" s="492"/>
      <c r="AB8" s="492"/>
      <c r="AC8" s="495"/>
      <c r="AD8" s="495"/>
      <c r="AE8" s="495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505"/>
      <c r="AQ8" s="505"/>
      <c r="AR8" s="505"/>
      <c r="AS8" s="505"/>
      <c r="AT8" s="492"/>
      <c r="AU8" s="505"/>
      <c r="AV8" s="505"/>
      <c r="AW8" s="505"/>
      <c r="AX8" s="492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492"/>
      <c r="BM8" s="505"/>
      <c r="BN8" s="505"/>
      <c r="BO8" s="495"/>
      <c r="BP8" s="505"/>
      <c r="BQ8" s="505"/>
    </row>
    <row r="9" spans="1:69" x14ac:dyDescent="0.2">
      <c r="A9" s="431">
        <f>COLUMN(A9)</f>
        <v>1</v>
      </c>
      <c r="B9" s="506">
        <f>COLUMN(B9)</f>
        <v>2</v>
      </c>
      <c r="C9" s="506"/>
      <c r="D9" s="506"/>
      <c r="E9" s="506"/>
      <c r="F9" s="431">
        <v>3</v>
      </c>
      <c r="G9" s="431">
        <f>F9+1</f>
        <v>4</v>
      </c>
      <c r="H9" s="431">
        <f t="shared" ref="H9:BQ9" si="0">G9+1</f>
        <v>5</v>
      </c>
      <c r="I9" s="431">
        <f t="shared" si="0"/>
        <v>6</v>
      </c>
      <c r="J9" s="431">
        <f t="shared" si="0"/>
        <v>7</v>
      </c>
      <c r="K9" s="431">
        <f t="shared" si="0"/>
        <v>8</v>
      </c>
      <c r="L9" s="431">
        <f t="shared" si="0"/>
        <v>9</v>
      </c>
      <c r="M9" s="431">
        <f t="shared" si="0"/>
        <v>10</v>
      </c>
      <c r="N9" s="431">
        <f t="shared" si="0"/>
        <v>11</v>
      </c>
      <c r="O9" s="431">
        <f t="shared" si="0"/>
        <v>12</v>
      </c>
      <c r="P9" s="431">
        <f t="shared" si="0"/>
        <v>13</v>
      </c>
      <c r="Q9" s="431">
        <f t="shared" si="0"/>
        <v>14</v>
      </c>
      <c r="R9" s="431">
        <f t="shared" si="0"/>
        <v>15</v>
      </c>
      <c r="S9" s="431">
        <f t="shared" si="0"/>
        <v>16</v>
      </c>
      <c r="T9" s="431">
        <f t="shared" si="0"/>
        <v>17</v>
      </c>
      <c r="U9" s="431">
        <f t="shared" si="0"/>
        <v>18</v>
      </c>
      <c r="V9" s="431">
        <f t="shared" si="0"/>
        <v>19</v>
      </c>
      <c r="W9" s="431">
        <f t="shared" si="0"/>
        <v>20</v>
      </c>
      <c r="X9" s="431">
        <f t="shared" si="0"/>
        <v>21</v>
      </c>
      <c r="Y9" s="431">
        <f t="shared" si="0"/>
        <v>22</v>
      </c>
      <c r="Z9" s="431">
        <f t="shared" si="0"/>
        <v>23</v>
      </c>
      <c r="AA9" s="431">
        <f t="shared" si="0"/>
        <v>24</v>
      </c>
      <c r="AB9" s="431">
        <f t="shared" si="0"/>
        <v>25</v>
      </c>
      <c r="AC9" s="431">
        <f t="shared" si="0"/>
        <v>26</v>
      </c>
      <c r="AD9" s="431">
        <f t="shared" si="0"/>
        <v>27</v>
      </c>
      <c r="AE9" s="431">
        <f t="shared" si="0"/>
        <v>28</v>
      </c>
      <c r="AF9" s="431">
        <f t="shared" si="0"/>
        <v>29</v>
      </c>
      <c r="AG9" s="431">
        <f t="shared" si="0"/>
        <v>30</v>
      </c>
      <c r="AH9" s="431">
        <f t="shared" si="0"/>
        <v>31</v>
      </c>
      <c r="AI9" s="431">
        <f t="shared" si="0"/>
        <v>32</v>
      </c>
      <c r="AJ9" s="431">
        <f t="shared" si="0"/>
        <v>33</v>
      </c>
      <c r="AK9" s="431">
        <f t="shared" si="0"/>
        <v>34</v>
      </c>
      <c r="AL9" s="431">
        <f t="shared" si="0"/>
        <v>35</v>
      </c>
      <c r="AM9" s="431">
        <f t="shared" si="0"/>
        <v>36</v>
      </c>
      <c r="AN9" s="431">
        <f t="shared" si="0"/>
        <v>37</v>
      </c>
      <c r="AO9" s="431">
        <f t="shared" si="0"/>
        <v>38</v>
      </c>
      <c r="AP9" s="431">
        <f t="shared" si="0"/>
        <v>39</v>
      </c>
      <c r="AQ9" s="431">
        <f t="shared" si="0"/>
        <v>40</v>
      </c>
      <c r="AR9" s="431">
        <f t="shared" si="0"/>
        <v>41</v>
      </c>
      <c r="AS9" s="431">
        <f t="shared" si="0"/>
        <v>42</v>
      </c>
      <c r="AT9" s="431">
        <f t="shared" si="0"/>
        <v>43</v>
      </c>
      <c r="AU9" s="431">
        <f t="shared" si="0"/>
        <v>44</v>
      </c>
      <c r="AV9" s="431">
        <f t="shared" si="0"/>
        <v>45</v>
      </c>
      <c r="AW9" s="431">
        <f t="shared" si="0"/>
        <v>46</v>
      </c>
      <c r="AX9" s="431">
        <f t="shared" si="0"/>
        <v>47</v>
      </c>
      <c r="AY9" s="431">
        <f t="shared" si="0"/>
        <v>48</v>
      </c>
      <c r="AZ9" s="431">
        <f t="shared" si="0"/>
        <v>49</v>
      </c>
      <c r="BA9" s="431">
        <f t="shared" si="0"/>
        <v>50</v>
      </c>
      <c r="BB9" s="431">
        <f t="shared" si="0"/>
        <v>51</v>
      </c>
      <c r="BC9" s="431">
        <f t="shared" si="0"/>
        <v>52</v>
      </c>
      <c r="BD9" s="431">
        <f t="shared" si="0"/>
        <v>53</v>
      </c>
      <c r="BE9" s="431">
        <f t="shared" si="0"/>
        <v>54</v>
      </c>
      <c r="BF9" s="431">
        <f t="shared" si="0"/>
        <v>55</v>
      </c>
      <c r="BG9" s="431">
        <f t="shared" si="0"/>
        <v>56</v>
      </c>
      <c r="BH9" s="431">
        <f t="shared" si="0"/>
        <v>57</v>
      </c>
      <c r="BI9" s="431">
        <f t="shared" si="0"/>
        <v>58</v>
      </c>
      <c r="BJ9" s="431">
        <f t="shared" si="0"/>
        <v>59</v>
      </c>
      <c r="BK9" s="431">
        <f t="shared" si="0"/>
        <v>60</v>
      </c>
      <c r="BL9" s="431">
        <f t="shared" si="0"/>
        <v>61</v>
      </c>
      <c r="BM9" s="431">
        <f t="shared" si="0"/>
        <v>62</v>
      </c>
      <c r="BN9" s="431">
        <f t="shared" si="0"/>
        <v>63</v>
      </c>
      <c r="BO9" s="431">
        <f t="shared" si="0"/>
        <v>64</v>
      </c>
      <c r="BP9" s="431">
        <f t="shared" si="0"/>
        <v>65</v>
      </c>
      <c r="BQ9" s="431">
        <f t="shared" si="0"/>
        <v>66</v>
      </c>
    </row>
    <row r="10" spans="1:69" s="301" customFormat="1" x14ac:dyDescent="0.2">
      <c r="A10" s="430"/>
      <c r="B10" s="507" t="s">
        <v>56</v>
      </c>
      <c r="C10" s="507"/>
      <c r="D10" s="507"/>
      <c r="E10" s="507"/>
      <c r="F10" s="429"/>
      <c r="G10" s="298"/>
      <c r="H10" s="298"/>
      <c r="I10" s="298"/>
      <c r="J10" s="298"/>
      <c r="K10" s="298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300"/>
      <c r="AR10" s="300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48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</row>
    <row r="11" spans="1:69" ht="22.5" x14ac:dyDescent="0.2">
      <c r="A11" s="225">
        <v>1</v>
      </c>
      <c r="B11" s="216" t="s">
        <v>534</v>
      </c>
      <c r="C11" s="249">
        <f>M11</f>
        <v>1.3888888888888891</v>
      </c>
      <c r="D11" s="250" t="s">
        <v>532</v>
      </c>
      <c r="E11" s="208" t="s">
        <v>124</v>
      </c>
      <c r="F11" s="223" t="s">
        <v>119</v>
      </c>
      <c r="G11" s="251">
        <f>AY15</f>
        <v>2500</v>
      </c>
      <c r="H11" s="252">
        <v>43525</v>
      </c>
      <c r="I11" s="252">
        <v>43531</v>
      </c>
      <c r="J11" s="253">
        <f>I11-H11</f>
        <v>6</v>
      </c>
      <c r="K11" s="254">
        <v>300</v>
      </c>
      <c r="L11" s="271">
        <f>G11/K11</f>
        <v>8.3333333333333339</v>
      </c>
      <c r="M11" s="382">
        <f>L11/J11</f>
        <v>1.3888888888888891</v>
      </c>
      <c r="N11" s="256"/>
      <c r="O11" s="255">
        <f>IF(M11=0,0,L11*$O$6)</f>
        <v>66.565452091767881</v>
      </c>
      <c r="P11" s="255">
        <f>IF(N11=0,0,L11*$O$6)</f>
        <v>0</v>
      </c>
      <c r="Q11" s="256">
        <v>5</v>
      </c>
      <c r="R11" s="257">
        <f>IF(AND(O11&gt;0,Q11&gt;0),SUMIF('Исходные данные'!$C$14:$H$14,Q11,'Исходные данные'!$C$26:$H$26),IF(O11=0,0,IF(Q11=0,"РОТ")))</f>
        <v>219.30404460212878</v>
      </c>
      <c r="S11" s="256"/>
      <c r="T11" s="255"/>
      <c r="U11" s="258">
        <f>O11*R11*'Исходные данные'!$C$40%</f>
        <v>0</v>
      </c>
      <c r="V11" s="258">
        <f>P11*S11*'Исходные данные'!$C$40%</f>
        <v>0</v>
      </c>
      <c r="W11" s="258">
        <f>O11*R11*$W$6</f>
        <v>0</v>
      </c>
      <c r="X11" s="259">
        <f>P11*T11*$W$6</f>
        <v>0</v>
      </c>
      <c r="Y11" s="258">
        <f>(O11*R11+U11+W11)*$Y$6</f>
        <v>1459.807287449393</v>
      </c>
      <c r="Z11" s="259">
        <f>(P11*T11+V11+X11)*$Z$6</f>
        <v>0</v>
      </c>
      <c r="AA11" s="258">
        <f>(O11*R11+U11)*$AA$6</f>
        <v>0</v>
      </c>
      <c r="AB11" s="259">
        <f>(P11*T11+V11)*$AA$6</f>
        <v>0</v>
      </c>
      <c r="AC11" s="259">
        <v>2.5</v>
      </c>
      <c r="AD11" s="258">
        <f>(O11*R11+U11+W11+Y11+AA11)*AC11</f>
        <v>40144.700404858311</v>
      </c>
      <c r="AE11" s="258">
        <f>(P11*T11+V11+X11+Z11+AB11)*AC11</f>
        <v>0</v>
      </c>
      <c r="AF11" s="255">
        <f>AD11*$AF$6</f>
        <v>5947.3630229419705</v>
      </c>
      <c r="AG11" s="256">
        <f>AE11*$AF$6</f>
        <v>0</v>
      </c>
      <c r="AH11" s="255">
        <f>AD11+AF11</f>
        <v>46092.063427800284</v>
      </c>
      <c r="AI11" s="255">
        <f>AE11+AG11</f>
        <v>0</v>
      </c>
      <c r="AJ11" s="255">
        <f>AH11*$AJ$6</f>
        <v>14150.263472334687</v>
      </c>
      <c r="AK11" s="256">
        <f>AI11*$AJ$6</f>
        <v>0</v>
      </c>
      <c r="AL11" s="255">
        <f>AH11+AJ11</f>
        <v>60242.326900134969</v>
      </c>
      <c r="AM11" s="256">
        <f>AK11+AI11</f>
        <v>0</v>
      </c>
      <c r="AN11" s="260">
        <v>0.44</v>
      </c>
      <c r="AO11" s="261">
        <f>'Исходные данные'!$C$59</f>
        <v>0.84</v>
      </c>
      <c r="AP11" s="261">
        <f t="shared" ref="AP11:AP18" si="1">(G11*AN11)*AO11/100</f>
        <v>9.24</v>
      </c>
      <c r="AQ11" s="262" t="s">
        <v>153</v>
      </c>
      <c r="AR11" s="255">
        <f>'Исходные данные'!$F$84</f>
        <v>9573.3714285714286</v>
      </c>
      <c r="AS11" s="255">
        <f>AP11*AR11</f>
        <v>88457.952000000005</v>
      </c>
      <c r="AT11" s="256"/>
      <c r="AU11" s="255"/>
      <c r="AV11" s="255"/>
      <c r="AW11" s="255"/>
      <c r="AX11" s="255"/>
      <c r="AY11" s="255"/>
      <c r="AZ11" s="255"/>
      <c r="BA11" s="255"/>
      <c r="BB11" s="255">
        <f>аморт!G12</f>
        <v>61.781971818181816</v>
      </c>
      <c r="BC11" s="255">
        <f>BB11*J11*$O$6</f>
        <v>2961.0323173426568</v>
      </c>
      <c r="BD11" s="255">
        <f>аморт!$G$38</f>
        <v>144.06779999999998</v>
      </c>
      <c r="BE11" s="255">
        <f>BD11*J11*$O$6</f>
        <v>6904.7555319838048</v>
      </c>
      <c r="BF11" s="255">
        <f>'Исходные данные'!$C$88</f>
        <v>101.43277978079999</v>
      </c>
      <c r="BG11" s="255">
        <f t="shared" ref="BG11:BG21" si="2">BF11*BQ11</f>
        <v>9805.1687121439991</v>
      </c>
      <c r="BH11" s="255">
        <f>'Исходные данные'!$C$93</f>
        <v>11.283646508159999</v>
      </c>
      <c r="BI11" s="255">
        <f t="shared" ref="BI11:BI21" si="3">BH11*BQ11</f>
        <v>1090.7524957887999</v>
      </c>
      <c r="BJ11" s="255">
        <f>'Исходные данные'!$C$98</f>
        <v>8.0425991068799991</v>
      </c>
      <c r="BK11" s="255">
        <f t="shared" ref="BK11:BK21" si="4">BJ11*BQ11</f>
        <v>777.45124699839994</v>
      </c>
      <c r="BL11" s="255">
        <f>аморт!$C$38*10%/аморт!$F$38*L11*O6</f>
        <v>1917.9876477732794</v>
      </c>
      <c r="BM11" s="255">
        <f>AL11+AM11+AS11+AW11+BA11+BC11+BE11+BG11+BI11+BK11+BL11</f>
        <v>172157.42685216587</v>
      </c>
      <c r="BN11" s="255">
        <f>BM11/$D$2</f>
        <v>1721.5742685216587</v>
      </c>
      <c r="BO11" s="255">
        <f>(O11+P11)/$D$2</f>
        <v>0.66565452091767885</v>
      </c>
      <c r="BP11" s="255">
        <f>'Исходные данные'!$B$112</f>
        <v>11.6</v>
      </c>
      <c r="BQ11" s="256">
        <f t="shared" ref="BQ11:BQ18" si="5">BP11*L11</f>
        <v>96.666666666666671</v>
      </c>
    </row>
    <row r="12" spans="1:69" x14ac:dyDescent="0.2">
      <c r="A12" s="225">
        <f>A11+1</f>
        <v>2</v>
      </c>
      <c r="B12" s="216" t="s">
        <v>536</v>
      </c>
      <c r="C12" s="249">
        <f t="shared" ref="C12:C26" si="6">M12</f>
        <v>2.7777777777777777</v>
      </c>
      <c r="D12" s="250" t="s">
        <v>105</v>
      </c>
      <c r="E12" s="219" t="s">
        <v>125</v>
      </c>
      <c r="F12" s="223" t="s">
        <v>535</v>
      </c>
      <c r="G12" s="251">
        <f>G11</f>
        <v>2500</v>
      </c>
      <c r="H12" s="252">
        <v>43497</v>
      </c>
      <c r="I12" s="252">
        <v>43506</v>
      </c>
      <c r="J12" s="253">
        <f t="shared" ref="J12:J26" si="7">I12-H12</f>
        <v>9</v>
      </c>
      <c r="K12" s="254">
        <v>100</v>
      </c>
      <c r="L12" s="271">
        <f t="shared" ref="L12:L26" si="8">G12/K12</f>
        <v>25</v>
      </c>
      <c r="M12" s="382">
        <f t="shared" ref="M12:M26" si="9">L12/J12</f>
        <v>2.7777777777777777</v>
      </c>
      <c r="N12" s="256"/>
      <c r="O12" s="255">
        <f t="shared" ref="O12:O26" si="10">IF(M12=0,0,L12*$O$6)</f>
        <v>199.69635627530366</v>
      </c>
      <c r="P12" s="255">
        <f t="shared" ref="P12:P26" si="11">IF(N12=0,0,L12*$O$6)</f>
        <v>0</v>
      </c>
      <c r="Q12" s="256">
        <v>4</v>
      </c>
      <c r="R12" s="257">
        <f>IF(AND(O12&gt;0,Q12&gt;0),SUMIF('Исходные данные'!$C$14:$H$14,Q12,'Исходные данные'!$C$18:$H$18),IF(O12=0,0,IF(Q12=0,"РОТ")))</f>
        <v>156.08125696908263</v>
      </c>
      <c r="S12" s="256"/>
      <c r="T12" s="257"/>
      <c r="U12" s="258">
        <f>O12*R12*'Исходные данные'!$C$40%</f>
        <v>0</v>
      </c>
      <c r="V12" s="258">
        <f>P12*S12*'Исходные данные'!$C$40%</f>
        <v>0</v>
      </c>
      <c r="W12" s="258">
        <f t="shared" ref="W12:W26" si="12">O12*R12*$W$6</f>
        <v>0</v>
      </c>
      <c r="X12" s="259">
        <f t="shared" ref="X12:X26" si="13">P12*T12*$W$6</f>
        <v>0</v>
      </c>
      <c r="Y12" s="258">
        <f t="shared" ref="Y12:Y26" si="14">(O12*R12+U12+W12)*$Y$6</f>
        <v>3116.8858299595149</v>
      </c>
      <c r="Z12" s="259">
        <f t="shared" ref="Z12:Z26" si="15">(P12*T12+V12+X12)*$Z$6</f>
        <v>0</v>
      </c>
      <c r="AA12" s="258">
        <f t="shared" ref="AA12:AA26" si="16">(O12*R12+U12)*$AA$6</f>
        <v>0</v>
      </c>
      <c r="AB12" s="259">
        <f t="shared" ref="AB12:AB26" si="17">(P12*T12+V12)*$AA$6</f>
        <v>0</v>
      </c>
      <c r="AC12" s="259">
        <v>2.5</v>
      </c>
      <c r="AD12" s="258">
        <f t="shared" ref="AD12:AD26" si="18">(O12*R12+U12+W12+Y12+AA12)*AC12</f>
        <v>85714.360323886649</v>
      </c>
      <c r="AE12" s="258">
        <f t="shared" ref="AE12:AE26" si="19">(P12*T12+V12+X12+Z12+AB12)*AC12</f>
        <v>0</v>
      </c>
      <c r="AF12" s="255">
        <f t="shared" ref="AF12:AG26" si="20">AD12*$AF$6</f>
        <v>12698.423751686907</v>
      </c>
      <c r="AG12" s="256">
        <f t="shared" si="20"/>
        <v>0</v>
      </c>
      <c r="AH12" s="255">
        <f t="shared" ref="AH12:AI25" si="21">AD12+AF12</f>
        <v>98412.784075573552</v>
      </c>
      <c r="AI12" s="255">
        <f t="shared" si="21"/>
        <v>0</v>
      </c>
      <c r="AJ12" s="255">
        <f t="shared" ref="AJ12:AK26" si="22">AH12*$AJ$6</f>
        <v>30212.724711201081</v>
      </c>
      <c r="AK12" s="256">
        <f t="shared" si="22"/>
        <v>0</v>
      </c>
      <c r="AL12" s="255">
        <f t="shared" ref="AL12:AL25" si="23">AH12+AJ12</f>
        <v>128625.50878677463</v>
      </c>
      <c r="AM12" s="256">
        <f t="shared" ref="AM12:AM25" si="24">AK12+AI12</f>
        <v>0</v>
      </c>
      <c r="AN12" s="260">
        <v>1.1399999999999999</v>
      </c>
      <c r="AO12" s="261">
        <f>'Исходные данные'!$C$59</f>
        <v>0.84</v>
      </c>
      <c r="AP12" s="261">
        <f t="shared" si="1"/>
        <v>23.939999999999994</v>
      </c>
      <c r="AQ12" s="262" t="s">
        <v>153</v>
      </c>
      <c r="AR12" s="255">
        <f>'Исходные данные'!$G$84</f>
        <v>9559.3714285714286</v>
      </c>
      <c r="AS12" s="255">
        <f t="shared" ref="AS12:AS18" si="25">AP12*AR12</f>
        <v>228851.35199999996</v>
      </c>
      <c r="AT12" s="256"/>
      <c r="AU12" s="255"/>
      <c r="AV12" s="255"/>
      <c r="AW12" s="255"/>
      <c r="AX12" s="255"/>
      <c r="AY12" s="255"/>
      <c r="AZ12" s="255"/>
      <c r="BA12" s="255"/>
      <c r="BB12" s="255">
        <f>аморт!$G$10</f>
        <v>69.696969696969703</v>
      </c>
      <c r="BC12" s="255">
        <f t="shared" ref="BC12:BC26" si="26">BB12*J12*$O$6</f>
        <v>5010.563121089438</v>
      </c>
      <c r="BD12" s="255">
        <f>аморт!$G$80</f>
        <v>17.433404761904765</v>
      </c>
      <c r="BE12" s="255">
        <f t="shared" ref="BE12:BE26" si="27">BD12*J12*$O$6</f>
        <v>1253.2994670329672</v>
      </c>
      <c r="BF12" s="255">
        <f>'Исходные данные'!$E$88</f>
        <v>98.911965135359992</v>
      </c>
      <c r="BG12" s="255">
        <f t="shared" si="2"/>
        <v>12611.275554758398</v>
      </c>
      <c r="BH12" s="255">
        <f>'Исходные данные'!$E$93</f>
        <v>16.685392176959997</v>
      </c>
      <c r="BI12" s="255">
        <f t="shared" si="3"/>
        <v>2127.3875025623993</v>
      </c>
      <c r="BJ12" s="255">
        <f>'Исходные данные'!$E$98</f>
        <v>5.7618620467199984</v>
      </c>
      <c r="BK12" s="255">
        <f t="shared" si="4"/>
        <v>734.63741095679973</v>
      </c>
      <c r="BL12" s="255">
        <f>аморт!$C$80*10%/аморт!$F$80*L12*O6</f>
        <v>2436.9711858974365</v>
      </c>
      <c r="BM12" s="255">
        <f t="shared" ref="BM12:BM26" si="28">AL12+AM12+AS12+AW12+BA12+BC12+BE12+BG12+BI12+BK12+BL12</f>
        <v>381650.99502907193</v>
      </c>
      <c r="BN12" s="255">
        <f t="shared" ref="BN12:BN26" si="29">BM12/$D$2</f>
        <v>3816.5099502907192</v>
      </c>
      <c r="BO12" s="255">
        <f t="shared" ref="BO12:BO26" si="30">(O12+P12)/$D$2</f>
        <v>1.9969635627530367</v>
      </c>
      <c r="BP12" s="255">
        <f>'Исходные данные'!$B$108</f>
        <v>5.0999999999999996</v>
      </c>
      <c r="BQ12" s="256">
        <f t="shared" si="5"/>
        <v>127.49999999999999</v>
      </c>
    </row>
    <row r="13" spans="1:69" x14ac:dyDescent="0.2">
      <c r="A13" s="225">
        <f t="shared" ref="A13:A26" si="31">A12+1</f>
        <v>3</v>
      </c>
      <c r="B13" s="216" t="s">
        <v>537</v>
      </c>
      <c r="C13" s="249">
        <f t="shared" si="6"/>
        <v>3.1289111389236548</v>
      </c>
      <c r="D13" s="250" t="s">
        <v>532</v>
      </c>
      <c r="E13" s="208" t="s">
        <v>115</v>
      </c>
      <c r="F13" s="223" t="s">
        <v>535</v>
      </c>
      <c r="G13" s="251">
        <f>G12</f>
        <v>2500</v>
      </c>
      <c r="H13" s="252">
        <v>43497</v>
      </c>
      <c r="I13" s="252">
        <v>43544</v>
      </c>
      <c r="J13" s="253">
        <f t="shared" si="7"/>
        <v>47</v>
      </c>
      <c r="K13" s="383">
        <v>17</v>
      </c>
      <c r="L13" s="271">
        <f t="shared" si="8"/>
        <v>147.05882352941177</v>
      </c>
      <c r="M13" s="382">
        <f t="shared" si="9"/>
        <v>3.1289111389236548</v>
      </c>
      <c r="N13" s="256"/>
      <c r="O13" s="255">
        <f>IF(M13=0,0,L13*$O$6)</f>
        <v>1174.6844486782568</v>
      </c>
      <c r="P13" s="255">
        <f t="shared" si="11"/>
        <v>0</v>
      </c>
      <c r="Q13" s="256">
        <v>2</v>
      </c>
      <c r="R13" s="257">
        <f>IF(AND(O13&gt;0,Q13&gt;0),SUMIF('Исходные данные'!$C$14:$H$14,Q13,'Исходные данные'!$C$26:$H$26),IF(O13=0,0,IF(Q13=0,"РОТ")))</f>
        <v>154.10554485554994</v>
      </c>
      <c r="S13" s="256"/>
      <c r="T13" s="257"/>
      <c r="U13" s="258">
        <f>O13*R13*'Исходные данные'!$C$40%</f>
        <v>0</v>
      </c>
      <c r="V13" s="258">
        <f>P13*S13*'Исходные данные'!$C$40%</f>
        <v>0</v>
      </c>
      <c r="W13" s="258">
        <f t="shared" si="12"/>
        <v>0</v>
      </c>
      <c r="X13" s="259">
        <f t="shared" si="13"/>
        <v>0</v>
      </c>
      <c r="Y13" s="258">
        <f t="shared" si="14"/>
        <v>18102.538699690405</v>
      </c>
      <c r="Z13" s="259">
        <f t="shared" si="15"/>
        <v>0</v>
      </c>
      <c r="AA13" s="258">
        <f t="shared" si="16"/>
        <v>0</v>
      </c>
      <c r="AB13" s="259">
        <f t="shared" si="17"/>
        <v>0</v>
      </c>
      <c r="AC13" s="259">
        <v>2.5</v>
      </c>
      <c r="AD13" s="258">
        <f>(O13*R13+U13+W13+Y13+AA13)*AC13</f>
        <v>497819.81424148608</v>
      </c>
      <c r="AE13" s="258">
        <f t="shared" si="19"/>
        <v>0</v>
      </c>
      <c r="AF13" s="255">
        <f t="shared" si="20"/>
        <v>73751.083591331248</v>
      </c>
      <c r="AG13" s="256">
        <f t="shared" si="20"/>
        <v>0</v>
      </c>
      <c r="AH13" s="255">
        <f t="shared" si="21"/>
        <v>571570.89783281728</v>
      </c>
      <c r="AI13" s="255">
        <f t="shared" si="21"/>
        <v>0</v>
      </c>
      <c r="AJ13" s="255">
        <f t="shared" si="22"/>
        <v>175472.2656346749</v>
      </c>
      <c r="AK13" s="256">
        <f t="shared" si="22"/>
        <v>0</v>
      </c>
      <c r="AL13" s="255">
        <f t="shared" si="23"/>
        <v>747043.16346749221</v>
      </c>
      <c r="AM13" s="256">
        <f t="shared" si="24"/>
        <v>0</v>
      </c>
      <c r="AN13" s="260">
        <v>1.1399999999999999</v>
      </c>
      <c r="AO13" s="261">
        <f>'Исходные данные'!$C$59</f>
        <v>0.84</v>
      </c>
      <c r="AP13" s="261">
        <f t="shared" si="1"/>
        <v>23.939999999999994</v>
      </c>
      <c r="AQ13" s="262" t="s">
        <v>153</v>
      </c>
      <c r="AR13" s="255">
        <f>'Исходные данные'!$F$84</f>
        <v>9573.3714285714286</v>
      </c>
      <c r="AS13" s="255">
        <f t="shared" si="25"/>
        <v>229186.51199999996</v>
      </c>
      <c r="AT13" s="256"/>
      <c r="AU13" s="255"/>
      <c r="AV13" s="255"/>
      <c r="AW13" s="255"/>
      <c r="AX13" s="255"/>
      <c r="AY13" s="255"/>
      <c r="AZ13" s="255"/>
      <c r="BA13" s="255"/>
      <c r="BB13" s="255">
        <f>аморт!G12</f>
        <v>61.781971818181816</v>
      </c>
      <c r="BC13" s="255">
        <f t="shared" si="26"/>
        <v>23194.753152517482</v>
      </c>
      <c r="BD13" s="255">
        <f>аморт!G25</f>
        <v>12.519247457627118</v>
      </c>
      <c r="BE13" s="255">
        <f t="shared" si="27"/>
        <v>4700.0904291223496</v>
      </c>
      <c r="BF13" s="255">
        <f>'Исходные данные'!$C$88</f>
        <v>101.43277978079999</v>
      </c>
      <c r="BG13" s="255">
        <f t="shared" si="2"/>
        <v>173032.38903783527</v>
      </c>
      <c r="BH13" s="255">
        <f>'Исходные данные'!$C$93</f>
        <v>11.283646508159999</v>
      </c>
      <c r="BI13" s="255">
        <f t="shared" si="3"/>
        <v>19248.573455096466</v>
      </c>
      <c r="BJ13" s="255">
        <f>'Исходные данные'!$C$98</f>
        <v>8.0425991068799991</v>
      </c>
      <c r="BK13" s="255">
        <f t="shared" si="4"/>
        <v>13719.727888207057</v>
      </c>
      <c r="BL13" s="255">
        <f>аморт!$C$25*10%/аморт!$F$25*L13*O6</f>
        <v>14706.165297629379</v>
      </c>
      <c r="BM13" s="255">
        <f t="shared" si="28"/>
        <v>1224831.3747278999</v>
      </c>
      <c r="BN13" s="255">
        <f t="shared" si="29"/>
        <v>12248.313747278999</v>
      </c>
      <c r="BO13" s="255">
        <f t="shared" si="30"/>
        <v>11.746844486782567</v>
      </c>
      <c r="BP13" s="255">
        <f>'Исходные данные'!$B$112</f>
        <v>11.6</v>
      </c>
      <c r="BQ13" s="256">
        <f t="shared" si="5"/>
        <v>1705.8823529411764</v>
      </c>
    </row>
    <row r="14" spans="1:69" ht="22.5" x14ac:dyDescent="0.2">
      <c r="A14" s="225">
        <f t="shared" si="31"/>
        <v>4</v>
      </c>
      <c r="B14" s="216" t="s">
        <v>538</v>
      </c>
      <c r="C14" s="249">
        <f t="shared" si="6"/>
        <v>1.3071895424836601</v>
      </c>
      <c r="D14" s="250" t="s">
        <v>532</v>
      </c>
      <c r="E14" s="208" t="s">
        <v>126</v>
      </c>
      <c r="F14" s="223" t="s">
        <v>106</v>
      </c>
      <c r="G14" s="263">
        <f>D2*2</f>
        <v>200</v>
      </c>
      <c r="H14" s="252">
        <v>43497</v>
      </c>
      <c r="I14" s="252">
        <v>43506</v>
      </c>
      <c r="J14" s="253">
        <f t="shared" si="7"/>
        <v>9</v>
      </c>
      <c r="K14" s="383">
        <v>17</v>
      </c>
      <c r="L14" s="271">
        <f t="shared" si="8"/>
        <v>11.764705882352942</v>
      </c>
      <c r="M14" s="382">
        <f t="shared" si="9"/>
        <v>1.3071895424836601</v>
      </c>
      <c r="N14" s="256"/>
      <c r="O14" s="255">
        <f t="shared" si="10"/>
        <v>93.974755894260539</v>
      </c>
      <c r="P14" s="255">
        <f t="shared" si="11"/>
        <v>0</v>
      </c>
      <c r="Q14" s="256">
        <v>5</v>
      </c>
      <c r="R14" s="257">
        <f>IF(AND(O14&gt;0,Q14&gt;0),SUMIF('Исходные данные'!$C$14:$H$14,Q14,'Исходные данные'!$C$26:$H$26),IF(O14=0,0,IF(Q14=0,"РОТ")))</f>
        <v>219.30404460212878</v>
      </c>
      <c r="S14" s="256"/>
      <c r="T14" s="257"/>
      <c r="U14" s="258">
        <f>O14*R14*'Исходные данные'!$C$40%</f>
        <v>0</v>
      </c>
      <c r="V14" s="258">
        <f>P14*S14*'Исходные данные'!$C$40%</f>
        <v>0</v>
      </c>
      <c r="W14" s="258">
        <f t="shared" si="12"/>
        <v>0</v>
      </c>
      <c r="X14" s="259">
        <f t="shared" si="13"/>
        <v>0</v>
      </c>
      <c r="Y14" s="258">
        <f t="shared" si="14"/>
        <v>2060.904405810908</v>
      </c>
      <c r="Z14" s="259">
        <f t="shared" si="15"/>
        <v>0</v>
      </c>
      <c r="AA14" s="258">
        <f t="shared" si="16"/>
        <v>0</v>
      </c>
      <c r="AB14" s="259">
        <f t="shared" si="17"/>
        <v>0</v>
      </c>
      <c r="AC14" s="259">
        <v>2.5</v>
      </c>
      <c r="AD14" s="258">
        <f t="shared" si="18"/>
        <v>56674.871159799957</v>
      </c>
      <c r="AE14" s="258">
        <f t="shared" si="19"/>
        <v>0</v>
      </c>
      <c r="AF14" s="255">
        <f t="shared" si="20"/>
        <v>8396.2772088592501</v>
      </c>
      <c r="AG14" s="256">
        <f t="shared" si="20"/>
        <v>0</v>
      </c>
      <c r="AH14" s="255">
        <f t="shared" si="21"/>
        <v>65071.148368659211</v>
      </c>
      <c r="AI14" s="255">
        <f t="shared" si="21"/>
        <v>0</v>
      </c>
      <c r="AJ14" s="255">
        <f t="shared" si="22"/>
        <v>19976.842549178378</v>
      </c>
      <c r="AK14" s="256">
        <f t="shared" si="22"/>
        <v>0</v>
      </c>
      <c r="AL14" s="255">
        <f t="shared" si="23"/>
        <v>85047.990917837596</v>
      </c>
      <c r="AM14" s="256">
        <f t="shared" si="24"/>
        <v>0</v>
      </c>
      <c r="AN14" s="260">
        <v>5.7</v>
      </c>
      <c r="AO14" s="261">
        <f>'Исходные данные'!$C$59</f>
        <v>0.84</v>
      </c>
      <c r="AP14" s="261">
        <f t="shared" si="1"/>
        <v>9.5759999999999987</v>
      </c>
      <c r="AQ14" s="262" t="s">
        <v>153</v>
      </c>
      <c r="AR14" s="255">
        <f>'Исходные данные'!$F$84</f>
        <v>9573.3714285714286</v>
      </c>
      <c r="AS14" s="255">
        <f t="shared" si="25"/>
        <v>91674.604799999986</v>
      </c>
      <c r="AT14" s="256"/>
      <c r="AU14" s="255"/>
      <c r="AV14" s="255"/>
      <c r="AW14" s="255"/>
      <c r="AX14" s="255"/>
      <c r="AY14" s="255"/>
      <c r="AZ14" s="255"/>
      <c r="BA14" s="255"/>
      <c r="BB14" s="255">
        <f>аморт!G12</f>
        <v>61.781971818181816</v>
      </c>
      <c r="BC14" s="255">
        <f t="shared" si="26"/>
        <v>4441.5484760139852</v>
      </c>
      <c r="BD14" s="255">
        <f>аморт!G64</f>
        <v>107.93684523809524</v>
      </c>
      <c r="BE14" s="255">
        <f t="shared" si="27"/>
        <v>7759.6540926836324</v>
      </c>
      <c r="BF14" s="255">
        <f>'Исходные данные'!$C$88</f>
        <v>101.43277978079999</v>
      </c>
      <c r="BG14" s="255">
        <f t="shared" si="2"/>
        <v>13842.591123026821</v>
      </c>
      <c r="BH14" s="255">
        <f>'Исходные данные'!$C$93</f>
        <v>11.283646508159999</v>
      </c>
      <c r="BI14" s="255">
        <f t="shared" si="3"/>
        <v>1539.8858764077174</v>
      </c>
      <c r="BJ14" s="255">
        <f>'Исходные данные'!$C$98</f>
        <v>8.0425991068799991</v>
      </c>
      <c r="BK14" s="255">
        <f t="shared" si="4"/>
        <v>1097.5782310565646</v>
      </c>
      <c r="BL14" s="255">
        <f>аморт!$C$64*10%/аморт!$F$64*L14*O6</f>
        <v>7100.3370782726042</v>
      </c>
      <c r="BM14" s="255">
        <f t="shared" si="28"/>
        <v>212504.19059529892</v>
      </c>
      <c r="BN14" s="255">
        <f t="shared" si="29"/>
        <v>2125.0419059529891</v>
      </c>
      <c r="BO14" s="255">
        <f t="shared" si="30"/>
        <v>0.93974755894260542</v>
      </c>
      <c r="BP14" s="255">
        <f>'Исходные данные'!$B$112</f>
        <v>11.6</v>
      </c>
      <c r="BQ14" s="256">
        <f t="shared" si="5"/>
        <v>136.47058823529412</v>
      </c>
    </row>
    <row r="15" spans="1:69" ht="22.5" x14ac:dyDescent="0.2">
      <c r="A15" s="225">
        <f t="shared" si="31"/>
        <v>5</v>
      </c>
      <c r="B15" s="216" t="s">
        <v>539</v>
      </c>
      <c r="C15" s="249">
        <f t="shared" si="6"/>
        <v>2</v>
      </c>
      <c r="D15" s="250" t="s">
        <v>105</v>
      </c>
      <c r="E15" s="208" t="s">
        <v>127</v>
      </c>
      <c r="F15" s="223" t="s">
        <v>106</v>
      </c>
      <c r="G15" s="263">
        <f>D2</f>
        <v>100</v>
      </c>
      <c r="H15" s="252">
        <v>43597</v>
      </c>
      <c r="I15" s="252">
        <v>43602</v>
      </c>
      <c r="J15" s="253">
        <f t="shared" si="7"/>
        <v>5</v>
      </c>
      <c r="K15" s="254">
        <v>10</v>
      </c>
      <c r="L15" s="271">
        <f t="shared" si="8"/>
        <v>10</v>
      </c>
      <c r="M15" s="382">
        <f t="shared" si="9"/>
        <v>2</v>
      </c>
      <c r="N15" s="256"/>
      <c r="O15" s="255">
        <f t="shared" si="10"/>
        <v>79.878542510121463</v>
      </c>
      <c r="P15" s="255">
        <f t="shared" si="11"/>
        <v>0</v>
      </c>
      <c r="Q15" s="256">
        <v>4</v>
      </c>
      <c r="R15" s="257">
        <f>IF(AND(O15&gt;0,Q15&gt;0),SUMIF('Исходные данные'!$C$14:$H$14,Q15,'Исходные данные'!$C$18:$H$18),IF(O15=0,0,IF(Q15=0,"РОТ")))</f>
        <v>156.08125696908263</v>
      </c>
      <c r="S15" s="256"/>
      <c r="T15" s="257"/>
      <c r="U15" s="258">
        <f>O15*R15*'Исходные данные'!$C$40%</f>
        <v>0</v>
      </c>
      <c r="V15" s="258">
        <f>P15*S15*'Исходные данные'!$C$40%</f>
        <v>0</v>
      </c>
      <c r="W15" s="258">
        <f t="shared" si="12"/>
        <v>0</v>
      </c>
      <c r="X15" s="259">
        <f t="shared" si="13"/>
        <v>0</v>
      </c>
      <c r="Y15" s="258">
        <f t="shared" si="14"/>
        <v>1246.754331983806</v>
      </c>
      <c r="Z15" s="259">
        <f t="shared" si="15"/>
        <v>0</v>
      </c>
      <c r="AA15" s="258">
        <f t="shared" si="16"/>
        <v>0</v>
      </c>
      <c r="AB15" s="259">
        <f t="shared" si="17"/>
        <v>0</v>
      </c>
      <c r="AC15" s="259">
        <v>2.5</v>
      </c>
      <c r="AD15" s="258">
        <f t="shared" si="18"/>
        <v>34285.74412955466</v>
      </c>
      <c r="AE15" s="258">
        <f t="shared" si="19"/>
        <v>0</v>
      </c>
      <c r="AF15" s="255">
        <f t="shared" si="20"/>
        <v>5079.369500674763</v>
      </c>
      <c r="AG15" s="256">
        <f t="shared" si="20"/>
        <v>0</v>
      </c>
      <c r="AH15" s="255">
        <f t="shared" si="21"/>
        <v>39365.113630229425</v>
      </c>
      <c r="AI15" s="255">
        <f t="shared" si="21"/>
        <v>0</v>
      </c>
      <c r="AJ15" s="255">
        <f t="shared" si="22"/>
        <v>12085.089884480434</v>
      </c>
      <c r="AK15" s="256">
        <f t="shared" si="22"/>
        <v>0</v>
      </c>
      <c r="AL15" s="255">
        <f t="shared" si="23"/>
        <v>51450.203514709858</v>
      </c>
      <c r="AM15" s="256">
        <f t="shared" si="24"/>
        <v>0</v>
      </c>
      <c r="AN15" s="260">
        <v>10.1</v>
      </c>
      <c r="AO15" s="261">
        <f>'Исходные данные'!$C$59</f>
        <v>0.84</v>
      </c>
      <c r="AP15" s="261">
        <f t="shared" si="1"/>
        <v>8.484</v>
      </c>
      <c r="AQ15" s="262" t="s">
        <v>153</v>
      </c>
      <c r="AR15" s="255">
        <f>'Исходные данные'!$G$84</f>
        <v>9559.3714285714286</v>
      </c>
      <c r="AS15" s="255">
        <f t="shared" si="25"/>
        <v>81101.707200000004</v>
      </c>
      <c r="AT15" s="256"/>
      <c r="AU15" s="255"/>
      <c r="AV15" s="255"/>
      <c r="AW15" s="255"/>
      <c r="AX15" s="255">
        <f>Нормы!B5</f>
        <v>250</v>
      </c>
      <c r="AY15" s="255">
        <f>AX15*G15/10</f>
        <v>2500</v>
      </c>
      <c r="AZ15" s="271">
        <f>Нормы!C5/1000</f>
        <v>1</v>
      </c>
      <c r="BA15" s="255">
        <f>AY15*AZ15*1000</f>
        <v>2500000</v>
      </c>
      <c r="BB15" s="255">
        <f>аморт!G10</f>
        <v>69.696969696969703</v>
      </c>
      <c r="BC15" s="255">
        <f t="shared" si="26"/>
        <v>2783.6461783830205</v>
      </c>
      <c r="BD15" s="255">
        <f>аморт!G82</f>
        <v>124.59645238095241</v>
      </c>
      <c r="BE15" s="255">
        <f t="shared" si="27"/>
        <v>4976.291509061115</v>
      </c>
      <c r="BF15" s="255">
        <f>'Исходные данные'!$E$88</f>
        <v>98.911965135359992</v>
      </c>
      <c r="BG15" s="255">
        <f t="shared" si="2"/>
        <v>5044.5102219033597</v>
      </c>
      <c r="BH15" s="255">
        <f>'Исходные данные'!$E$93</f>
        <v>16.685392176959997</v>
      </c>
      <c r="BI15" s="255">
        <f t="shared" si="3"/>
        <v>850.95500102495987</v>
      </c>
      <c r="BJ15" s="255">
        <f>'Исходные данные'!$E$98</f>
        <v>5.7618620467199984</v>
      </c>
      <c r="BK15" s="255">
        <f t="shared" si="4"/>
        <v>293.85496438271991</v>
      </c>
      <c r="BL15" s="255">
        <f>аморт!$C$82*10%/аморт!$F$82*L15*O6</f>
        <v>5971.5498108733373</v>
      </c>
      <c r="BM15" s="255">
        <f t="shared" si="28"/>
        <v>2652472.7184003382</v>
      </c>
      <c r="BN15" s="255">
        <f t="shared" si="29"/>
        <v>26524.727184003383</v>
      </c>
      <c r="BO15" s="255">
        <f t="shared" si="30"/>
        <v>0.79878542510121464</v>
      </c>
      <c r="BP15" s="255">
        <f>'Исходные данные'!$B$108</f>
        <v>5.0999999999999996</v>
      </c>
      <c r="BQ15" s="256">
        <f t="shared" si="5"/>
        <v>51</v>
      </c>
    </row>
    <row r="16" spans="1:69" x14ac:dyDescent="0.2">
      <c r="A16" s="225">
        <f t="shared" si="31"/>
        <v>6</v>
      </c>
      <c r="B16" s="216" t="s">
        <v>540</v>
      </c>
      <c r="C16" s="249">
        <f t="shared" si="6"/>
        <v>1.8821757952192735</v>
      </c>
      <c r="D16" s="250" t="s">
        <v>532</v>
      </c>
      <c r="E16" s="208" t="s">
        <v>120</v>
      </c>
      <c r="F16" s="223" t="s">
        <v>106</v>
      </c>
      <c r="G16" s="263">
        <f>G15</f>
        <v>100</v>
      </c>
      <c r="H16" s="252">
        <v>43602</v>
      </c>
      <c r="I16" s="252">
        <v>43605</v>
      </c>
      <c r="J16" s="253">
        <f t="shared" si="7"/>
        <v>3</v>
      </c>
      <c r="K16" s="254">
        <v>17.71</v>
      </c>
      <c r="L16" s="271">
        <f t="shared" si="8"/>
        <v>5.6465273856578202</v>
      </c>
      <c r="M16" s="382">
        <f t="shared" si="9"/>
        <v>1.8821757952192735</v>
      </c>
      <c r="N16" s="382">
        <f>L16/J16</f>
        <v>1.8821757952192735</v>
      </c>
      <c r="O16" s="255">
        <f t="shared" si="10"/>
        <v>45.10363778098332</v>
      </c>
      <c r="P16" s="255">
        <f t="shared" si="11"/>
        <v>45.10363778098332</v>
      </c>
      <c r="Q16" s="256">
        <v>5</v>
      </c>
      <c r="R16" s="257">
        <f>IF(AND(O16&gt;0,Q16&gt;0),SUMIF('Исходные данные'!$C$14:$H$14,Q16,'Исходные данные'!$C$26:$H$26),IF(O16=0,0,IF(Q16=0,"РОТ")))</f>
        <v>219.30404460212878</v>
      </c>
      <c r="S16" s="256">
        <v>4</v>
      </c>
      <c r="T16" s="257">
        <f>IF(AND(P16&gt;0,S16&gt;0),SUMIF('Исходные данные'!$C$14:$H$14,S16,'Исходные данные'!$C$34:$H$34),IF(P16=0,0,IF(S16=0,"РОТ")))</f>
        <v>123.48200709579322</v>
      </c>
      <c r="U16" s="258">
        <f>O16*R16*'Исходные данные'!$C$40%</f>
        <v>0</v>
      </c>
      <c r="V16" s="258">
        <f>P16*S16*'Исходные данные'!$C$40%</f>
        <v>0</v>
      </c>
      <c r="W16" s="258">
        <f t="shared" si="12"/>
        <v>0</v>
      </c>
      <c r="X16" s="259">
        <f t="shared" si="13"/>
        <v>0</v>
      </c>
      <c r="Y16" s="258">
        <f t="shared" si="14"/>
        <v>989.14101916390268</v>
      </c>
      <c r="Z16" s="259">
        <f t="shared" si="15"/>
        <v>278.47438602587351</v>
      </c>
      <c r="AA16" s="258">
        <f t="shared" si="16"/>
        <v>0</v>
      </c>
      <c r="AB16" s="259">
        <f t="shared" si="17"/>
        <v>0</v>
      </c>
      <c r="AC16" s="259">
        <v>2.5</v>
      </c>
      <c r="AD16" s="258">
        <f t="shared" si="18"/>
        <v>27201.378027007322</v>
      </c>
      <c r="AE16" s="258">
        <f t="shared" si="19"/>
        <v>14619.905266358357</v>
      </c>
      <c r="AF16" s="255">
        <f t="shared" si="20"/>
        <v>4029.8337817788615</v>
      </c>
      <c r="AG16" s="256">
        <f t="shared" si="20"/>
        <v>2165.9118913123489</v>
      </c>
      <c r="AH16" s="255">
        <f t="shared" si="21"/>
        <v>31231.211808786182</v>
      </c>
      <c r="AI16" s="255">
        <f t="shared" si="21"/>
        <v>16785.817157670706</v>
      </c>
      <c r="AJ16" s="255">
        <f t="shared" si="22"/>
        <v>9587.9820252973568</v>
      </c>
      <c r="AK16" s="256">
        <f t="shared" si="22"/>
        <v>5153.2458674049067</v>
      </c>
      <c r="AL16" s="255">
        <f t="shared" si="23"/>
        <v>40819.19383408354</v>
      </c>
      <c r="AM16" s="256">
        <f t="shared" si="24"/>
        <v>21939.063025075615</v>
      </c>
      <c r="AN16" s="260">
        <v>10.5</v>
      </c>
      <c r="AO16" s="261">
        <f>'Исходные данные'!$C$59</f>
        <v>0.84</v>
      </c>
      <c r="AP16" s="261">
        <f t="shared" si="1"/>
        <v>8.82</v>
      </c>
      <c r="AQ16" s="262" t="s">
        <v>153</v>
      </c>
      <c r="AR16" s="255">
        <f>'Исходные данные'!$F$84</f>
        <v>9573.3714285714286</v>
      </c>
      <c r="AS16" s="255">
        <f t="shared" si="25"/>
        <v>84437.135999999999</v>
      </c>
      <c r="AT16" s="256"/>
      <c r="AU16" s="255"/>
      <c r="AV16" s="255"/>
      <c r="AW16" s="255"/>
      <c r="AX16" s="255"/>
      <c r="AY16" s="255"/>
      <c r="AZ16" s="255"/>
      <c r="BA16" s="255"/>
      <c r="BB16" s="255">
        <f>аморт!G12</f>
        <v>61.781971818181816</v>
      </c>
      <c r="BC16" s="255">
        <f t="shared" si="26"/>
        <v>1480.5161586713284</v>
      </c>
      <c r="BD16" s="255">
        <f>аморт!G33</f>
        <v>97.41305263157895</v>
      </c>
      <c r="BE16" s="255">
        <f t="shared" si="27"/>
        <v>2334.3637997016835</v>
      </c>
      <c r="BF16" s="255">
        <f>'Исходные данные'!$C$88</f>
        <v>101.43277978079999</v>
      </c>
      <c r="BG16" s="255">
        <f t="shared" si="2"/>
        <v>6643.8184384939568</v>
      </c>
      <c r="BH16" s="255">
        <f>'Исходные данные'!$C$93</f>
        <v>11.283646508159999</v>
      </c>
      <c r="BI16" s="255">
        <f t="shared" si="3"/>
        <v>739.07566061352895</v>
      </c>
      <c r="BJ16" s="255">
        <f>'Исходные данные'!$C$98</f>
        <v>8.0425991068799991</v>
      </c>
      <c r="BK16" s="255">
        <f t="shared" si="4"/>
        <v>526.78797086283441</v>
      </c>
      <c r="BL16" s="255">
        <f>аморт!$C$33*10%/аморт!$F$33*L16*O6</f>
        <v>2196.8415205173001</v>
      </c>
      <c r="BM16" s="255">
        <f t="shared" si="28"/>
        <v>161116.79640801981</v>
      </c>
      <c r="BN16" s="255">
        <f t="shared" si="29"/>
        <v>1611.1679640801981</v>
      </c>
      <c r="BO16" s="255">
        <f t="shared" si="30"/>
        <v>0.90207275561966638</v>
      </c>
      <c r="BP16" s="255">
        <f>'Исходные данные'!$B$112</f>
        <v>11.6</v>
      </c>
      <c r="BQ16" s="256">
        <f t="shared" si="5"/>
        <v>65.499717673630713</v>
      </c>
    </row>
    <row r="17" spans="1:70" ht="33.75" x14ac:dyDescent="0.2">
      <c r="A17" s="225">
        <f t="shared" si="31"/>
        <v>7</v>
      </c>
      <c r="B17" s="216" t="s">
        <v>541</v>
      </c>
      <c r="C17" s="249">
        <f t="shared" si="6"/>
        <v>1.9841269841269842</v>
      </c>
      <c r="D17" s="250" t="s">
        <v>532</v>
      </c>
      <c r="E17" s="208" t="s">
        <v>113</v>
      </c>
      <c r="F17" s="223" t="s">
        <v>106</v>
      </c>
      <c r="G17" s="263">
        <f>G16</f>
        <v>100</v>
      </c>
      <c r="H17" s="264">
        <v>43586</v>
      </c>
      <c r="I17" s="264">
        <v>43593</v>
      </c>
      <c r="J17" s="253">
        <f t="shared" si="7"/>
        <v>7</v>
      </c>
      <c r="K17" s="254">
        <v>7.2</v>
      </c>
      <c r="L17" s="271">
        <f>G17/K17</f>
        <v>13.888888888888889</v>
      </c>
      <c r="M17" s="382">
        <f t="shared" si="9"/>
        <v>1.9841269841269842</v>
      </c>
      <c r="N17" s="256"/>
      <c r="O17" s="255">
        <f t="shared" si="10"/>
        <v>110.94242015294647</v>
      </c>
      <c r="P17" s="255">
        <f t="shared" si="11"/>
        <v>0</v>
      </c>
      <c r="Q17" s="256">
        <v>6</v>
      </c>
      <c r="R17" s="257">
        <f>IF(AND(O17&gt;0,Q17&gt;0),SUMIF('Исходные данные'!$C$14:$H$14,Q17,'Исходные данные'!$C$26:$H$26),IF(O17=0,0,IF(Q17=0,"РОТ")))</f>
        <v>254.86686264571719</v>
      </c>
      <c r="S17" s="256"/>
      <c r="T17" s="257"/>
      <c r="U17" s="258">
        <f>O17*R17*'Исходные данные'!$C$40%</f>
        <v>0</v>
      </c>
      <c r="V17" s="258">
        <f>P17*S17*'Исходные данные'!$C$40%</f>
        <v>0</v>
      </c>
      <c r="W17" s="258">
        <f t="shared" si="12"/>
        <v>0</v>
      </c>
      <c r="X17" s="259">
        <f t="shared" si="13"/>
        <v>0</v>
      </c>
      <c r="Y17" s="258">
        <f t="shared" si="14"/>
        <v>2827.5546558704455</v>
      </c>
      <c r="Z17" s="259">
        <f t="shared" si="15"/>
        <v>0</v>
      </c>
      <c r="AA17" s="258">
        <f t="shared" si="16"/>
        <v>0</v>
      </c>
      <c r="AB17" s="259">
        <f t="shared" si="17"/>
        <v>0</v>
      </c>
      <c r="AC17" s="259">
        <v>2.5</v>
      </c>
      <c r="AD17" s="258">
        <f t="shared" si="18"/>
        <v>77757.753036437236</v>
      </c>
      <c r="AE17" s="258">
        <f t="shared" si="19"/>
        <v>0</v>
      </c>
      <c r="AF17" s="255">
        <f t="shared" si="20"/>
        <v>11519.667116509218</v>
      </c>
      <c r="AG17" s="256">
        <f t="shared" si="20"/>
        <v>0</v>
      </c>
      <c r="AH17" s="255">
        <f t="shared" si="21"/>
        <v>89277.420152946448</v>
      </c>
      <c r="AI17" s="255">
        <f t="shared" si="21"/>
        <v>0</v>
      </c>
      <c r="AJ17" s="255">
        <f t="shared" si="22"/>
        <v>27408.167986954559</v>
      </c>
      <c r="AK17" s="256">
        <f t="shared" si="22"/>
        <v>0</v>
      </c>
      <c r="AL17" s="255">
        <f t="shared" si="23"/>
        <v>116685.58813990101</v>
      </c>
      <c r="AM17" s="256">
        <f t="shared" si="24"/>
        <v>0</v>
      </c>
      <c r="AN17" s="260">
        <v>20.8</v>
      </c>
      <c r="AO17" s="261">
        <f>'Исходные данные'!$C$59</f>
        <v>0.84</v>
      </c>
      <c r="AP17" s="261">
        <f t="shared" si="1"/>
        <v>17.472000000000001</v>
      </c>
      <c r="AQ17" s="262" t="s">
        <v>153</v>
      </c>
      <c r="AR17" s="255">
        <f>'Исходные данные'!$F$84</f>
        <v>9573.3714285714286</v>
      </c>
      <c r="AS17" s="255">
        <f t="shared" si="25"/>
        <v>167265.94560000001</v>
      </c>
      <c r="AT17" s="256"/>
      <c r="AU17" s="255"/>
      <c r="AV17" s="255"/>
      <c r="AW17" s="255"/>
      <c r="AX17" s="255"/>
      <c r="AY17" s="255"/>
      <c r="AZ17" s="255"/>
      <c r="BA17" s="255"/>
      <c r="BB17" s="255">
        <f>аморт!G12</f>
        <v>61.781971818181816</v>
      </c>
      <c r="BC17" s="255">
        <f t="shared" si="26"/>
        <v>3454.5377035664333</v>
      </c>
      <c r="BD17" s="255">
        <f>аморт!G72</f>
        <v>16.941761627906978</v>
      </c>
      <c r="BE17" s="255">
        <f t="shared" si="27"/>
        <v>947.29825847377845</v>
      </c>
      <c r="BF17" s="255">
        <f>'Исходные данные'!$C$88</f>
        <v>101.43277978079999</v>
      </c>
      <c r="BG17" s="255">
        <f t="shared" si="2"/>
        <v>16341.947853573332</v>
      </c>
      <c r="BH17" s="255">
        <f>'Исходные данные'!$C$93</f>
        <v>11.283646508159999</v>
      </c>
      <c r="BI17" s="255">
        <f t="shared" si="3"/>
        <v>1817.9208263146666</v>
      </c>
      <c r="BJ17" s="255">
        <f>'Исходные данные'!$C$98</f>
        <v>8.0425991068799991</v>
      </c>
      <c r="BK17" s="255">
        <f t="shared" si="4"/>
        <v>1295.7520783306666</v>
      </c>
      <c r="BL17" s="255">
        <f>аморт!$C$72*10%/аморт!$F$72*L17*O6</f>
        <v>1503.6480293234579</v>
      </c>
      <c r="BM17" s="255">
        <f t="shared" si="28"/>
        <v>309312.63848948333</v>
      </c>
      <c r="BN17" s="255">
        <f t="shared" si="29"/>
        <v>3093.1263848948333</v>
      </c>
      <c r="BO17" s="255">
        <f t="shared" si="30"/>
        <v>1.1094242015294646</v>
      </c>
      <c r="BP17" s="255">
        <f>'Исходные данные'!$B$112</f>
        <v>11.6</v>
      </c>
      <c r="BQ17" s="256">
        <f t="shared" si="5"/>
        <v>161.11111111111111</v>
      </c>
    </row>
    <row r="18" spans="1:70" ht="22.5" x14ac:dyDescent="0.2">
      <c r="A18" s="225">
        <f t="shared" si="31"/>
        <v>8</v>
      </c>
      <c r="B18" s="216" t="s">
        <v>542</v>
      </c>
      <c r="C18" s="249">
        <f t="shared" si="6"/>
        <v>1.6666666666666667</v>
      </c>
      <c r="D18" s="250" t="s">
        <v>105</v>
      </c>
      <c r="E18" s="219" t="s">
        <v>128</v>
      </c>
      <c r="F18" s="223" t="s">
        <v>535</v>
      </c>
      <c r="G18" s="251">
        <f>AY21</f>
        <v>50</v>
      </c>
      <c r="H18" s="252">
        <v>43592</v>
      </c>
      <c r="I18" s="252">
        <v>43594</v>
      </c>
      <c r="J18" s="253">
        <f t="shared" si="7"/>
        <v>2</v>
      </c>
      <c r="K18" s="254">
        <v>15</v>
      </c>
      <c r="L18" s="271">
        <f t="shared" si="8"/>
        <v>3.3333333333333335</v>
      </c>
      <c r="M18" s="382">
        <f t="shared" si="9"/>
        <v>1.6666666666666667</v>
      </c>
      <c r="N18" s="382">
        <f>L18/J18</f>
        <v>1.6666666666666667</v>
      </c>
      <c r="O18" s="255">
        <f t="shared" si="10"/>
        <v>26.626180836707153</v>
      </c>
      <c r="P18" s="255">
        <f t="shared" si="11"/>
        <v>26.626180836707153</v>
      </c>
      <c r="Q18" s="256">
        <v>3</v>
      </c>
      <c r="R18" s="257">
        <f>IF(AND(O18&gt;0,Q18&gt;0),SUMIF('Исходные данные'!$C$14:$H$14,Q18,'Исходные данные'!$C$18:$H$18),IF(O18=0,0,IF(Q18=0,"РОТ")))</f>
        <v>138.29984794728838</v>
      </c>
      <c r="S18" s="256">
        <v>4</v>
      </c>
      <c r="T18" s="257">
        <f>IF(AND(P18&gt;0,S18&gt;0),SUMIF('Исходные данные'!$C$14:$H$14,S18,'Исходные данные'!$C$34:$H$34),IF(P18=0,0,IF(S18=0,"РОТ")))</f>
        <v>123.48200709579322</v>
      </c>
      <c r="U18" s="258">
        <f>O18*R18*'Исходные данные'!$C$40%</f>
        <v>0</v>
      </c>
      <c r="V18" s="258">
        <f>P18*S18*'Исходные данные'!$C$40%</f>
        <v>0</v>
      </c>
      <c r="W18" s="258">
        <f t="shared" si="12"/>
        <v>0</v>
      </c>
      <c r="X18" s="259">
        <f t="shared" si="13"/>
        <v>0</v>
      </c>
      <c r="Y18" s="258">
        <f t="shared" si="14"/>
        <v>368.2396761133603</v>
      </c>
      <c r="Z18" s="259">
        <f t="shared" si="15"/>
        <v>164.39271255060731</v>
      </c>
      <c r="AA18" s="258">
        <f t="shared" si="16"/>
        <v>0</v>
      </c>
      <c r="AB18" s="259">
        <f t="shared" si="17"/>
        <v>0</v>
      </c>
      <c r="AC18" s="259">
        <v>2.5</v>
      </c>
      <c r="AD18" s="258">
        <f t="shared" si="18"/>
        <v>10126.591093117408</v>
      </c>
      <c r="AE18" s="258">
        <f t="shared" si="19"/>
        <v>8630.6174089068845</v>
      </c>
      <c r="AF18" s="255">
        <f t="shared" si="20"/>
        <v>1500.2357174988749</v>
      </c>
      <c r="AG18" s="256">
        <f t="shared" si="20"/>
        <v>1278.6099865047233</v>
      </c>
      <c r="AH18" s="255">
        <f t="shared" si="21"/>
        <v>11626.826810616283</v>
      </c>
      <c r="AI18" s="255">
        <f t="shared" si="21"/>
        <v>9909.2273954116081</v>
      </c>
      <c r="AJ18" s="255">
        <f t="shared" si="22"/>
        <v>3569.4358308591991</v>
      </c>
      <c r="AK18" s="256">
        <f t="shared" si="22"/>
        <v>3042.1328103913638</v>
      </c>
      <c r="AL18" s="255">
        <f t="shared" si="23"/>
        <v>15196.262641475481</v>
      </c>
      <c r="AM18" s="256">
        <f t="shared" si="24"/>
        <v>12951.360205802972</v>
      </c>
      <c r="AN18" s="260">
        <v>2</v>
      </c>
      <c r="AO18" s="261">
        <f>'Исходные данные'!$C$59</f>
        <v>0.84</v>
      </c>
      <c r="AP18" s="261">
        <f t="shared" si="1"/>
        <v>0.84</v>
      </c>
      <c r="AQ18" s="262" t="s">
        <v>153</v>
      </c>
      <c r="AR18" s="255">
        <f>'Исходные данные'!$G$84</f>
        <v>9559.3714285714286</v>
      </c>
      <c r="AS18" s="255">
        <f t="shared" si="25"/>
        <v>8029.8719999999994</v>
      </c>
      <c r="AT18" s="256"/>
      <c r="AU18" s="255"/>
      <c r="AV18" s="255"/>
      <c r="AW18" s="255"/>
      <c r="AX18" s="255"/>
      <c r="AY18" s="255"/>
      <c r="AZ18" s="255"/>
      <c r="BA18" s="255"/>
      <c r="BB18" s="255">
        <f>аморт!G10</f>
        <v>69.696969696969703</v>
      </c>
      <c r="BC18" s="255">
        <f t="shared" si="26"/>
        <v>1113.4584713532083</v>
      </c>
      <c r="BD18" s="255">
        <f>аморт!G48</f>
        <v>217.16093749999999</v>
      </c>
      <c r="BE18" s="255">
        <f t="shared" si="27"/>
        <v>3469.2998355263157</v>
      </c>
      <c r="BF18" s="255">
        <f>'Исходные данные'!$E$88</f>
        <v>98.911965135359992</v>
      </c>
      <c r="BG18" s="255">
        <f t="shared" si="2"/>
        <v>1681.5034073011198</v>
      </c>
      <c r="BH18" s="255">
        <f>'Исходные данные'!$E$93</f>
        <v>16.685392176959997</v>
      </c>
      <c r="BI18" s="255">
        <f t="shared" si="3"/>
        <v>283.65166700831998</v>
      </c>
      <c r="BJ18" s="255">
        <f>'Исходные данные'!$E$98</f>
        <v>5.7618620467199984</v>
      </c>
      <c r="BK18" s="255">
        <f t="shared" si="4"/>
        <v>97.951654794239971</v>
      </c>
      <c r="BL18" s="255">
        <f>аморт!$C$48*10%/аморт!$F$48*L18*O6</f>
        <v>4625.733114035088</v>
      </c>
      <c r="BM18" s="255">
        <f t="shared" si="28"/>
        <v>47449.09299729675</v>
      </c>
      <c r="BN18" s="255">
        <f t="shared" si="29"/>
        <v>474.49092997296748</v>
      </c>
      <c r="BO18" s="255">
        <f t="shared" si="30"/>
        <v>0.53252361673414306</v>
      </c>
      <c r="BP18" s="255">
        <f>'Исходные данные'!$B$108</f>
        <v>5.0999999999999996</v>
      </c>
      <c r="BQ18" s="256">
        <f t="shared" si="5"/>
        <v>17</v>
      </c>
    </row>
    <row r="19" spans="1:70" x14ac:dyDescent="0.2">
      <c r="A19" s="225">
        <f t="shared" si="31"/>
        <v>9</v>
      </c>
      <c r="B19" s="216" t="s">
        <v>543</v>
      </c>
      <c r="C19" s="249"/>
      <c r="D19" s="508" t="s">
        <v>118</v>
      </c>
      <c r="E19" s="509"/>
      <c r="F19" s="223" t="s">
        <v>535</v>
      </c>
      <c r="G19" s="251">
        <f>G18</f>
        <v>50</v>
      </c>
      <c r="H19" s="252">
        <v>43592</v>
      </c>
      <c r="I19" s="252">
        <v>43594</v>
      </c>
      <c r="J19" s="253">
        <f t="shared" si="7"/>
        <v>2</v>
      </c>
      <c r="K19" s="254">
        <v>6.5</v>
      </c>
      <c r="L19" s="271">
        <f t="shared" si="8"/>
        <v>7.6923076923076925</v>
      </c>
      <c r="M19" s="382"/>
      <c r="N19" s="382">
        <f>L19/J19</f>
        <v>3.8461538461538463</v>
      </c>
      <c r="O19" s="255">
        <f t="shared" si="10"/>
        <v>0</v>
      </c>
      <c r="P19" s="255">
        <f t="shared" si="11"/>
        <v>61.445032700093428</v>
      </c>
      <c r="Q19" s="256">
        <v>2</v>
      </c>
      <c r="R19" s="257"/>
      <c r="S19" s="256">
        <v>2</v>
      </c>
      <c r="T19" s="257">
        <f>IF(AND(P19&gt;0,S19&gt;0),SUMIF('Исходные данные'!$C$14:$H$14,S19,'Исходные данные'!$C$34:$H$34),IF(P19=0,0,IF(S19=0,"РОТ")))</f>
        <v>105.700598073999</v>
      </c>
      <c r="U19" s="258">
        <f>O19*R19*'Исходные данные'!$C$40%</f>
        <v>0</v>
      </c>
      <c r="V19" s="258">
        <f>P19*S19*'Исходные данные'!$C$40%</f>
        <v>0</v>
      </c>
      <c r="W19" s="258">
        <f t="shared" si="12"/>
        <v>0</v>
      </c>
      <c r="X19" s="259">
        <f t="shared" si="13"/>
        <v>0</v>
      </c>
      <c r="Y19" s="258">
        <f t="shared" si="14"/>
        <v>0</v>
      </c>
      <c r="Z19" s="259">
        <f t="shared" si="15"/>
        <v>324.73883525381507</v>
      </c>
      <c r="AA19" s="258">
        <f t="shared" si="16"/>
        <v>0</v>
      </c>
      <c r="AB19" s="259">
        <f t="shared" si="17"/>
        <v>0</v>
      </c>
      <c r="AC19" s="259">
        <v>2.5</v>
      </c>
      <c r="AD19" s="258">
        <f t="shared" si="18"/>
        <v>0</v>
      </c>
      <c r="AE19" s="258">
        <f t="shared" si="19"/>
        <v>17048.788850825291</v>
      </c>
      <c r="AF19" s="255">
        <f t="shared" si="20"/>
        <v>0</v>
      </c>
      <c r="AG19" s="256">
        <f t="shared" si="20"/>
        <v>2525.746496418561</v>
      </c>
      <c r="AH19" s="255">
        <f t="shared" si="21"/>
        <v>0</v>
      </c>
      <c r="AI19" s="255">
        <f t="shared" si="21"/>
        <v>19574.535347243851</v>
      </c>
      <c r="AJ19" s="255">
        <f t="shared" si="22"/>
        <v>0</v>
      </c>
      <c r="AK19" s="256">
        <f t="shared" si="22"/>
        <v>6009.3823516038619</v>
      </c>
      <c r="AL19" s="255">
        <f t="shared" si="23"/>
        <v>0</v>
      </c>
      <c r="AM19" s="256">
        <f t="shared" si="24"/>
        <v>25583.917698847712</v>
      </c>
      <c r="AN19" s="260"/>
      <c r="AO19" s="261">
        <f>'Исходные данные'!$C$59</f>
        <v>0.84</v>
      </c>
      <c r="AP19" s="261"/>
      <c r="AQ19" s="256"/>
      <c r="AR19" s="256"/>
      <c r="AS19" s="255"/>
      <c r="AT19" s="256"/>
      <c r="AU19" s="255"/>
      <c r="AV19" s="255"/>
      <c r="AW19" s="255"/>
      <c r="AX19" s="255"/>
      <c r="AY19" s="255"/>
      <c r="AZ19" s="255"/>
      <c r="BA19" s="255"/>
      <c r="BB19" s="255"/>
      <c r="BC19" s="255">
        <f t="shared" si="26"/>
        <v>0</v>
      </c>
      <c r="BD19" s="256"/>
      <c r="BE19" s="255">
        <f t="shared" ref="BE19" si="32">BD19*J19</f>
        <v>0</v>
      </c>
      <c r="BF19" s="255"/>
      <c r="BG19" s="255"/>
      <c r="BH19" s="255"/>
      <c r="BI19" s="255"/>
      <c r="BJ19" s="255"/>
      <c r="BK19" s="255"/>
      <c r="BL19" s="255">
        <v>0</v>
      </c>
      <c r="BM19" s="255">
        <f t="shared" si="28"/>
        <v>25583.917698847712</v>
      </c>
      <c r="BN19" s="255">
        <f t="shared" si="29"/>
        <v>255.83917698847711</v>
      </c>
      <c r="BO19" s="255">
        <f t="shared" si="30"/>
        <v>0.61445032700093427</v>
      </c>
      <c r="BP19" s="255"/>
      <c r="BQ19" s="256"/>
    </row>
    <row r="20" spans="1:70" ht="22.5" x14ac:dyDescent="0.2">
      <c r="A20" s="225">
        <f t="shared" si="31"/>
        <v>10</v>
      </c>
      <c r="B20" s="216" t="s">
        <v>544</v>
      </c>
      <c r="C20" s="249">
        <f t="shared" si="6"/>
        <v>0.20833333333333334</v>
      </c>
      <c r="D20" s="250" t="s">
        <v>105</v>
      </c>
      <c r="E20" s="208" t="s">
        <v>115</v>
      </c>
      <c r="F20" s="223" t="s">
        <v>535</v>
      </c>
      <c r="G20" s="251">
        <f>G19</f>
        <v>50</v>
      </c>
      <c r="H20" s="252">
        <v>43592</v>
      </c>
      <c r="I20" s="252">
        <v>43594</v>
      </c>
      <c r="J20" s="253">
        <f t="shared" si="7"/>
        <v>2</v>
      </c>
      <c r="K20" s="383">
        <v>120</v>
      </c>
      <c r="L20" s="271">
        <f t="shared" si="8"/>
        <v>0.41666666666666669</v>
      </c>
      <c r="M20" s="382">
        <f t="shared" si="9"/>
        <v>0.20833333333333334</v>
      </c>
      <c r="N20" s="382">
        <f t="shared" ref="N20:N25" si="33">L20/J20</f>
        <v>0.20833333333333334</v>
      </c>
      <c r="O20" s="255">
        <f t="shared" si="10"/>
        <v>3.3282726045883941</v>
      </c>
      <c r="P20" s="255">
        <f t="shared" si="11"/>
        <v>3.3282726045883941</v>
      </c>
      <c r="Q20" s="256">
        <v>2</v>
      </c>
      <c r="R20" s="257">
        <f>IF(AND(O20&gt;0,Q20&gt;0),SUMIF('Исходные данные'!$C$14:$H$14,Q20,'Исходные данные'!$C$18:$H$18),IF(O20=0,0,IF(Q20=0,"РОТ")))</f>
        <v>126.44557526609226</v>
      </c>
      <c r="S20" s="256">
        <v>2</v>
      </c>
      <c r="T20" s="257">
        <f>IF(AND(P20&gt;0,S20&gt;0),SUMIF('Исходные данные'!$C$14:$H$14,S20,'Исходные данные'!$C$34:$H$34),IF(P20=0,0,IF(S20=0,"РОТ")))</f>
        <v>105.700598073999</v>
      </c>
      <c r="U20" s="258">
        <f>O20*R20*'Исходные данные'!$C$40%</f>
        <v>0</v>
      </c>
      <c r="V20" s="258">
        <f>P20*S20*'Исходные данные'!$C$40%</f>
        <v>0</v>
      </c>
      <c r="W20" s="258">
        <f t="shared" si="12"/>
        <v>0</v>
      </c>
      <c r="X20" s="259">
        <f t="shared" si="13"/>
        <v>0</v>
      </c>
      <c r="Y20" s="258">
        <f t="shared" si="14"/>
        <v>42.084534412955477</v>
      </c>
      <c r="Z20" s="259">
        <f t="shared" si="15"/>
        <v>17.590020242914985</v>
      </c>
      <c r="AA20" s="258">
        <f t="shared" si="16"/>
        <v>0</v>
      </c>
      <c r="AB20" s="259">
        <f t="shared" si="17"/>
        <v>0</v>
      </c>
      <c r="AC20" s="259">
        <v>2.5</v>
      </c>
      <c r="AD20" s="258">
        <f t="shared" si="18"/>
        <v>1157.3246963562756</v>
      </c>
      <c r="AE20" s="258">
        <f t="shared" si="19"/>
        <v>923.47606275303656</v>
      </c>
      <c r="AF20" s="255">
        <f t="shared" si="20"/>
        <v>171.45551057130004</v>
      </c>
      <c r="AG20" s="256">
        <f t="shared" si="20"/>
        <v>136.81126855600539</v>
      </c>
      <c r="AH20" s="255">
        <f t="shared" si="21"/>
        <v>1328.7802069275756</v>
      </c>
      <c r="AI20" s="255">
        <f t="shared" si="21"/>
        <v>1060.287331309042</v>
      </c>
      <c r="AJ20" s="255">
        <f t="shared" si="22"/>
        <v>407.93552352676568</v>
      </c>
      <c r="AK20" s="256">
        <f t="shared" si="22"/>
        <v>325.5082107118759</v>
      </c>
      <c r="AL20" s="255">
        <f t="shared" si="23"/>
        <v>1736.7157304543412</v>
      </c>
      <c r="AM20" s="256">
        <f t="shared" si="24"/>
        <v>1385.7955420209178</v>
      </c>
      <c r="AN20" s="260">
        <v>0.96</v>
      </c>
      <c r="AO20" s="261">
        <f>'Исходные данные'!$C$59</f>
        <v>0.84</v>
      </c>
      <c r="AP20" s="261">
        <f>(G20*AN20)*AO20/100</f>
        <v>0.4032</v>
      </c>
      <c r="AQ20" s="262" t="s">
        <v>153</v>
      </c>
      <c r="AR20" s="255">
        <f>'Исходные данные'!$G$84</f>
        <v>9559.3714285714286</v>
      </c>
      <c r="AS20" s="255">
        <f>AP20*AR20</f>
        <v>3854.3385600000001</v>
      </c>
      <c r="AT20" s="256"/>
      <c r="AU20" s="255"/>
      <c r="AV20" s="255"/>
      <c r="AW20" s="255"/>
      <c r="AX20" s="255"/>
      <c r="AY20" s="255"/>
      <c r="AZ20" s="255"/>
      <c r="BA20" s="255"/>
      <c r="BB20" s="255">
        <f>аморт!G10</f>
        <v>69.696969696969703</v>
      </c>
      <c r="BC20" s="255">
        <f t="shared" si="26"/>
        <v>1113.4584713532083</v>
      </c>
      <c r="BD20" s="255">
        <f>аморт!$G$25</f>
        <v>12.519247457627118</v>
      </c>
      <c r="BE20" s="255">
        <f t="shared" si="27"/>
        <v>200.00384804775956</v>
      </c>
      <c r="BF20" s="255">
        <f>'Исходные данные'!$E$88</f>
        <v>98.911965135359992</v>
      </c>
      <c r="BG20" s="255">
        <f t="shared" si="2"/>
        <v>210.18792591263997</v>
      </c>
      <c r="BH20" s="255">
        <f>'Исходные данные'!$E$93</f>
        <v>16.685392176959997</v>
      </c>
      <c r="BI20" s="255">
        <f t="shared" si="3"/>
        <v>35.456458376039997</v>
      </c>
      <c r="BJ20" s="255">
        <f>'Исходные данные'!$E$98</f>
        <v>5.7618620467199984</v>
      </c>
      <c r="BK20" s="255">
        <f t="shared" si="4"/>
        <v>12.243956849279996</v>
      </c>
      <c r="BL20" s="255">
        <f>аморт!$C$25*10%/аморт!$F$25*L20*O6</f>
        <v>41.66746834328324</v>
      </c>
      <c r="BM20" s="255">
        <f t="shared" si="28"/>
        <v>8589.8679613574695</v>
      </c>
      <c r="BN20" s="255">
        <f t="shared" si="29"/>
        <v>85.8986796135747</v>
      </c>
      <c r="BO20" s="255">
        <f t="shared" si="30"/>
        <v>6.6565452091767882E-2</v>
      </c>
      <c r="BP20" s="255">
        <f>'Исходные данные'!$B$108</f>
        <v>5.0999999999999996</v>
      </c>
      <c r="BQ20" s="256">
        <f>BP20*L20</f>
        <v>2.125</v>
      </c>
    </row>
    <row r="21" spans="1:70" ht="22.5" x14ac:dyDescent="0.2">
      <c r="A21" s="225">
        <f t="shared" si="31"/>
        <v>11</v>
      </c>
      <c r="B21" s="216" t="s">
        <v>545</v>
      </c>
      <c r="C21" s="249">
        <f t="shared" si="6"/>
        <v>2.5</v>
      </c>
      <c r="D21" s="250" t="s">
        <v>105</v>
      </c>
      <c r="E21" s="208" t="s">
        <v>129</v>
      </c>
      <c r="F21" s="223" t="s">
        <v>106</v>
      </c>
      <c r="G21" s="263">
        <f>D2</f>
        <v>100</v>
      </c>
      <c r="H21" s="252">
        <v>43592</v>
      </c>
      <c r="I21" s="252">
        <v>43594</v>
      </c>
      <c r="J21" s="253">
        <f t="shared" si="7"/>
        <v>2</v>
      </c>
      <c r="K21" s="254">
        <v>20</v>
      </c>
      <c r="L21" s="271">
        <f t="shared" si="8"/>
        <v>5</v>
      </c>
      <c r="M21" s="382">
        <f t="shared" si="9"/>
        <v>2.5</v>
      </c>
      <c r="N21" s="382">
        <f t="shared" si="33"/>
        <v>2.5</v>
      </c>
      <c r="O21" s="255">
        <f t="shared" si="10"/>
        <v>39.939271255060731</v>
      </c>
      <c r="P21" s="255">
        <f t="shared" si="11"/>
        <v>39.939271255060731</v>
      </c>
      <c r="Q21" s="256">
        <v>4</v>
      </c>
      <c r="R21" s="257">
        <f>IF(AND(O21&gt;0,Q21&gt;0),SUMIF('Исходные данные'!$C$14:$H$14,Q21,'Исходные данные'!$C$18:$H$18),IF(O21=0,0,IF(Q21=0,"РОТ")))</f>
        <v>156.08125696908263</v>
      </c>
      <c r="S21" s="256">
        <v>4</v>
      </c>
      <c r="T21" s="257">
        <f>IF(AND(P21&gt;0,S21&gt;0),SUMIF('Исходные данные'!$C$14:$H$14,S21,'Исходные данные'!$C$34:$H$34),IF(P21=0,0,IF(S21=0,"РОТ")))</f>
        <v>123.48200709579322</v>
      </c>
      <c r="U21" s="258">
        <f>O21*R21*'Исходные данные'!$C$40%</f>
        <v>0</v>
      </c>
      <c r="V21" s="258">
        <f>P21*S21*'Исходные данные'!$C$40%</f>
        <v>0</v>
      </c>
      <c r="W21" s="258">
        <f t="shared" si="12"/>
        <v>0</v>
      </c>
      <c r="X21" s="259">
        <f t="shared" si="13"/>
        <v>0</v>
      </c>
      <c r="Y21" s="258">
        <f t="shared" si="14"/>
        <v>623.37716599190298</v>
      </c>
      <c r="Z21" s="259">
        <f t="shared" si="15"/>
        <v>246.58906882591097</v>
      </c>
      <c r="AA21" s="258">
        <f t="shared" si="16"/>
        <v>0</v>
      </c>
      <c r="AB21" s="259">
        <f t="shared" si="17"/>
        <v>0</v>
      </c>
      <c r="AC21" s="259">
        <v>2.5</v>
      </c>
      <c r="AD21" s="258">
        <f t="shared" si="18"/>
        <v>17142.87206477733</v>
      </c>
      <c r="AE21" s="258">
        <f t="shared" si="19"/>
        <v>12945.926113360325</v>
      </c>
      <c r="AF21" s="255">
        <f t="shared" si="20"/>
        <v>2539.6847503373815</v>
      </c>
      <c r="AG21" s="256">
        <f t="shared" si="20"/>
        <v>1917.9149797570847</v>
      </c>
      <c r="AH21" s="255">
        <f t="shared" si="21"/>
        <v>19682.556815114713</v>
      </c>
      <c r="AI21" s="255">
        <f t="shared" si="21"/>
        <v>14863.841093117409</v>
      </c>
      <c r="AJ21" s="255">
        <f t="shared" si="22"/>
        <v>6042.5449422402171</v>
      </c>
      <c r="AK21" s="256">
        <f t="shared" si="22"/>
        <v>4563.1992155870448</v>
      </c>
      <c r="AL21" s="255">
        <f t="shared" si="23"/>
        <v>25725.101757354929</v>
      </c>
      <c r="AM21" s="256">
        <f t="shared" si="24"/>
        <v>19427.040308704454</v>
      </c>
      <c r="AN21" s="260">
        <v>0.96</v>
      </c>
      <c r="AO21" s="261">
        <f>'Исходные данные'!$C$59</f>
        <v>0.84</v>
      </c>
      <c r="AP21" s="261">
        <f>(G21*AN21)*AO21/100</f>
        <v>0.80640000000000001</v>
      </c>
      <c r="AQ21" s="262" t="s">
        <v>153</v>
      </c>
      <c r="AR21" s="255">
        <f>'Исходные данные'!$G$84</f>
        <v>9559.3714285714286</v>
      </c>
      <c r="AS21" s="255">
        <f>AP21*AR21</f>
        <v>7708.6771200000003</v>
      </c>
      <c r="AT21" s="256"/>
      <c r="AU21" s="255"/>
      <c r="AV21" s="255"/>
      <c r="AW21" s="255"/>
      <c r="AX21" s="255">
        <v>5</v>
      </c>
      <c r="AY21" s="255">
        <f>AX21*G21/10</f>
        <v>50</v>
      </c>
      <c r="AZ21" s="255">
        <f>Нормы!C6/1000</f>
        <v>33.700000000000003</v>
      </c>
      <c r="BA21" s="255">
        <f>AY21*AZ21*1000</f>
        <v>1685000.0000000002</v>
      </c>
      <c r="BB21" s="255">
        <f>аморт!G10</f>
        <v>69.696969696969703</v>
      </c>
      <c r="BC21" s="255">
        <f t="shared" si="26"/>
        <v>1113.4584713532083</v>
      </c>
      <c r="BD21" s="255">
        <f>аморт!G81</f>
        <v>242.6810227272727</v>
      </c>
      <c r="BE21" s="255">
        <f t="shared" si="27"/>
        <v>3877.0012780640409</v>
      </c>
      <c r="BF21" s="255">
        <f>'Исходные данные'!$E$88</f>
        <v>98.911965135359992</v>
      </c>
      <c r="BG21" s="255">
        <f t="shared" si="2"/>
        <v>2522.2551109516799</v>
      </c>
      <c r="BH21" s="255">
        <f>'Исходные данные'!$E$93</f>
        <v>16.685392176959997</v>
      </c>
      <c r="BI21" s="255">
        <f t="shared" si="3"/>
        <v>425.47750051247993</v>
      </c>
      <c r="BJ21" s="255">
        <f>'Исходные данные'!$E$98</f>
        <v>5.7618620467199984</v>
      </c>
      <c r="BK21" s="255">
        <f t="shared" si="4"/>
        <v>146.92748219135996</v>
      </c>
      <c r="BL21" s="255">
        <f>аморт!$C$81*10%/аморт!$F$81*L21*O6</f>
        <v>7754.0025561280827</v>
      </c>
      <c r="BM21" s="255">
        <f t="shared" si="28"/>
        <v>1753699.9415852604</v>
      </c>
      <c r="BN21" s="255">
        <f t="shared" si="29"/>
        <v>17536.999415852606</v>
      </c>
      <c r="BO21" s="255">
        <f t="shared" si="30"/>
        <v>0.79878542510121464</v>
      </c>
      <c r="BP21" s="255">
        <f>'Исходные данные'!$B$108</f>
        <v>5.0999999999999996</v>
      </c>
      <c r="BQ21" s="256">
        <f>BP21*L21</f>
        <v>25.5</v>
      </c>
    </row>
    <row r="22" spans="1:70" ht="22.5" x14ac:dyDescent="0.2">
      <c r="A22" s="225">
        <f t="shared" si="31"/>
        <v>12</v>
      </c>
      <c r="B22" s="216" t="s">
        <v>546</v>
      </c>
      <c r="C22" s="249"/>
      <c r="D22" s="508" t="s">
        <v>118</v>
      </c>
      <c r="E22" s="509"/>
      <c r="F22" s="223" t="s">
        <v>535</v>
      </c>
      <c r="G22" s="251">
        <f>AU26</f>
        <v>400</v>
      </c>
      <c r="H22" s="252">
        <v>43586</v>
      </c>
      <c r="I22" s="252">
        <v>43615</v>
      </c>
      <c r="J22" s="253">
        <f t="shared" si="7"/>
        <v>29</v>
      </c>
      <c r="K22" s="254">
        <v>0.5</v>
      </c>
      <c r="L22" s="271">
        <f>G22/K22</f>
        <v>800</v>
      </c>
      <c r="M22" s="382"/>
      <c r="N22" s="382">
        <f t="shared" si="33"/>
        <v>27.586206896551722</v>
      </c>
      <c r="O22" s="255">
        <f t="shared" si="10"/>
        <v>0</v>
      </c>
      <c r="P22" s="255">
        <f t="shared" si="11"/>
        <v>6390.283400809717</v>
      </c>
      <c r="Q22" s="256"/>
      <c r="R22" s="257">
        <f>IF(AND(O22&gt;0,Q22&gt;0),SUMIF('Исходные данные'!$C$14:$H$14,Q22,'Исходные данные'!$C$22:$H$22),IF(O22=0,0,IF(Q22=0,"РОТ")))</f>
        <v>0</v>
      </c>
      <c r="S22" s="256">
        <v>2</v>
      </c>
      <c r="T22" s="257">
        <f>IF(AND(P22&gt;0,S22&gt;0),SUMIF('Исходные данные'!$C$14:$H$14,S22,'Исходные данные'!$C$34:$H$34),IF(P22=0,0,IF(S22=0,"РОТ")))</f>
        <v>105.700598073999</v>
      </c>
      <c r="U22" s="258">
        <f>O22*R22*'Исходные данные'!$C$40%</f>
        <v>0</v>
      </c>
      <c r="V22" s="258">
        <f>P22*S22*'Исходные данные'!$C$40%</f>
        <v>0</v>
      </c>
      <c r="W22" s="258">
        <f t="shared" si="12"/>
        <v>0</v>
      </c>
      <c r="X22" s="259">
        <f t="shared" si="13"/>
        <v>0</v>
      </c>
      <c r="Y22" s="258">
        <f t="shared" si="14"/>
        <v>0</v>
      </c>
      <c r="Z22" s="259">
        <f t="shared" si="15"/>
        <v>33772.838866396771</v>
      </c>
      <c r="AA22" s="258">
        <f t="shared" si="16"/>
        <v>0</v>
      </c>
      <c r="AB22" s="259">
        <f t="shared" si="17"/>
        <v>0</v>
      </c>
      <c r="AC22" s="259">
        <v>2.5</v>
      </c>
      <c r="AD22" s="258">
        <f t="shared" si="18"/>
        <v>0</v>
      </c>
      <c r="AE22" s="258">
        <f t="shared" si="19"/>
        <v>1773074.0404858303</v>
      </c>
      <c r="AF22" s="255">
        <f t="shared" si="20"/>
        <v>0</v>
      </c>
      <c r="AG22" s="256">
        <f t="shared" si="20"/>
        <v>262677.63562753034</v>
      </c>
      <c r="AH22" s="255">
        <f t="shared" si="21"/>
        <v>0</v>
      </c>
      <c r="AI22" s="255">
        <f t="shared" si="21"/>
        <v>2035751.6761133606</v>
      </c>
      <c r="AJ22" s="255">
        <f t="shared" si="22"/>
        <v>0</v>
      </c>
      <c r="AK22" s="256">
        <f t="shared" si="22"/>
        <v>624975.76456680172</v>
      </c>
      <c r="AL22" s="255">
        <f t="shared" si="23"/>
        <v>0</v>
      </c>
      <c r="AM22" s="256">
        <f t="shared" si="24"/>
        <v>2660727.440680162</v>
      </c>
      <c r="AN22" s="260"/>
      <c r="AO22" s="261">
        <f>'Исходные данные'!$C$59</f>
        <v>0.84</v>
      </c>
      <c r="AP22" s="261"/>
      <c r="AQ22" s="256"/>
      <c r="AR22" s="256"/>
      <c r="AS22" s="255"/>
      <c r="AT22" s="256"/>
      <c r="AU22" s="255"/>
      <c r="AV22" s="255"/>
      <c r="AW22" s="255"/>
      <c r="AX22" s="255"/>
      <c r="AY22" s="255"/>
      <c r="AZ22" s="255"/>
      <c r="BA22" s="255"/>
      <c r="BB22" s="255"/>
      <c r="BC22" s="255">
        <f t="shared" si="26"/>
        <v>0</v>
      </c>
      <c r="BD22" s="255"/>
      <c r="BE22" s="255">
        <f t="shared" si="27"/>
        <v>0</v>
      </c>
      <c r="BF22" s="255"/>
      <c r="BG22" s="255"/>
      <c r="BH22" s="255"/>
      <c r="BI22" s="255"/>
      <c r="BJ22" s="255"/>
      <c r="BK22" s="255"/>
      <c r="BL22" s="255"/>
      <c r="BM22" s="255">
        <f t="shared" si="28"/>
        <v>2660727.440680162</v>
      </c>
      <c r="BN22" s="255">
        <f t="shared" si="29"/>
        <v>26607.274406801622</v>
      </c>
      <c r="BO22" s="255">
        <f t="shared" si="30"/>
        <v>63.902834008097173</v>
      </c>
      <c r="BP22" s="255"/>
      <c r="BQ22" s="256"/>
    </row>
    <row r="23" spans="1:70" x14ac:dyDescent="0.2">
      <c r="A23" s="225">
        <f t="shared" si="31"/>
        <v>13</v>
      </c>
      <c r="B23" s="216" t="s">
        <v>547</v>
      </c>
      <c r="C23" s="249"/>
      <c r="D23" s="508" t="s">
        <v>118</v>
      </c>
      <c r="E23" s="509"/>
      <c r="F23" s="223" t="s">
        <v>535</v>
      </c>
      <c r="G23" s="251">
        <f>G22</f>
        <v>400</v>
      </c>
      <c r="H23" s="252">
        <v>43610</v>
      </c>
      <c r="I23" s="252">
        <v>43612</v>
      </c>
      <c r="J23" s="253">
        <f t="shared" si="7"/>
        <v>2</v>
      </c>
      <c r="K23" s="254">
        <v>3</v>
      </c>
      <c r="L23" s="271">
        <f t="shared" si="8"/>
        <v>133.33333333333334</v>
      </c>
      <c r="M23" s="382"/>
      <c r="N23" s="382">
        <f t="shared" si="33"/>
        <v>66.666666666666671</v>
      </c>
      <c r="O23" s="255">
        <f t="shared" si="10"/>
        <v>0</v>
      </c>
      <c r="P23" s="255">
        <f t="shared" si="11"/>
        <v>1065.0472334682861</v>
      </c>
      <c r="Q23" s="256">
        <v>2</v>
      </c>
      <c r="R23" s="257">
        <f>IF(AND(O23&gt;0,Q23&gt;0),SUMIF('Исходные данные'!$C$14:$H$14,Q23,'Исходные данные'!$C$22:$H$22),IF(O23=0,0,IF(Q23=0,"РОТ")))</f>
        <v>0</v>
      </c>
      <c r="S23" s="256">
        <v>2</v>
      </c>
      <c r="T23" s="257">
        <f>IF(AND(P23&gt;0,S23&gt;0),SUMIF('Исходные данные'!$C$14:$H$14,S23,'Исходные данные'!$C$34:$H$34),IF(P23=0,0,IF(S23=0,"РОТ")))</f>
        <v>105.700598073999</v>
      </c>
      <c r="U23" s="258">
        <f>O23*R23*'Исходные данные'!$C$40%</f>
        <v>0</v>
      </c>
      <c r="V23" s="258">
        <f>P23*S23*'Исходные данные'!$C$40%</f>
        <v>0</v>
      </c>
      <c r="W23" s="258">
        <f t="shared" si="12"/>
        <v>0</v>
      </c>
      <c r="X23" s="259">
        <f t="shared" si="13"/>
        <v>0</v>
      </c>
      <c r="Y23" s="258">
        <f t="shared" si="14"/>
        <v>0</v>
      </c>
      <c r="Z23" s="259">
        <f t="shared" si="15"/>
        <v>5628.8064777327945</v>
      </c>
      <c r="AA23" s="258">
        <f t="shared" si="16"/>
        <v>0</v>
      </c>
      <c r="AB23" s="259">
        <f t="shared" si="17"/>
        <v>0</v>
      </c>
      <c r="AC23" s="259">
        <v>2.5</v>
      </c>
      <c r="AD23" s="258">
        <f t="shared" si="18"/>
        <v>0</v>
      </c>
      <c r="AE23" s="258">
        <f t="shared" si="19"/>
        <v>295512.34008097171</v>
      </c>
      <c r="AF23" s="255">
        <f t="shared" si="20"/>
        <v>0</v>
      </c>
      <c r="AG23" s="256">
        <f t="shared" si="20"/>
        <v>43779.605937921726</v>
      </c>
      <c r="AH23" s="255">
        <f t="shared" si="21"/>
        <v>0</v>
      </c>
      <c r="AI23" s="255">
        <f t="shared" si="21"/>
        <v>339291.94601889345</v>
      </c>
      <c r="AJ23" s="255">
        <f t="shared" si="22"/>
        <v>0</v>
      </c>
      <c r="AK23" s="256">
        <f t="shared" si="22"/>
        <v>104162.62742780028</v>
      </c>
      <c r="AL23" s="255">
        <f t="shared" si="23"/>
        <v>0</v>
      </c>
      <c r="AM23" s="256">
        <f t="shared" si="24"/>
        <v>443454.57344669371</v>
      </c>
      <c r="AN23" s="260"/>
      <c r="AO23" s="261">
        <f>'Исходные данные'!$C$59</f>
        <v>0.84</v>
      </c>
      <c r="AP23" s="261"/>
      <c r="AQ23" s="256"/>
      <c r="AR23" s="256"/>
      <c r="AS23" s="255"/>
      <c r="AT23" s="256"/>
      <c r="AU23" s="255"/>
      <c r="AV23" s="255"/>
      <c r="AW23" s="255"/>
      <c r="AX23" s="255"/>
      <c r="AY23" s="255"/>
      <c r="AZ23" s="255"/>
      <c r="BA23" s="255"/>
      <c r="BB23" s="255"/>
      <c r="BC23" s="255">
        <f t="shared" si="26"/>
        <v>0</v>
      </c>
      <c r="BD23" s="256"/>
      <c r="BE23" s="255">
        <f t="shared" si="27"/>
        <v>0</v>
      </c>
      <c r="BF23" s="255"/>
      <c r="BG23" s="255"/>
      <c r="BH23" s="255"/>
      <c r="BI23" s="255"/>
      <c r="BJ23" s="255"/>
      <c r="BK23" s="255"/>
      <c r="BL23" s="255"/>
      <c r="BM23" s="255">
        <f t="shared" si="28"/>
        <v>443454.57344669371</v>
      </c>
      <c r="BN23" s="255">
        <f t="shared" si="29"/>
        <v>4434.5457344669376</v>
      </c>
      <c r="BO23" s="255">
        <f t="shared" si="30"/>
        <v>10.650472334682862</v>
      </c>
      <c r="BP23" s="255"/>
      <c r="BQ23" s="256"/>
    </row>
    <row r="24" spans="1:70" x14ac:dyDescent="0.2">
      <c r="A24" s="225">
        <f t="shared" si="31"/>
        <v>14</v>
      </c>
      <c r="B24" s="216" t="s">
        <v>548</v>
      </c>
      <c r="C24" s="249">
        <f t="shared" si="6"/>
        <v>22.857142857142858</v>
      </c>
      <c r="D24" s="250" t="s">
        <v>105</v>
      </c>
      <c r="E24" s="208" t="s">
        <v>115</v>
      </c>
      <c r="F24" s="223" t="s">
        <v>535</v>
      </c>
      <c r="G24" s="251">
        <f>G23</f>
        <v>400</v>
      </c>
      <c r="H24" s="252">
        <v>43612</v>
      </c>
      <c r="I24" s="252">
        <v>43613</v>
      </c>
      <c r="J24" s="253">
        <f t="shared" si="7"/>
        <v>1</v>
      </c>
      <c r="K24" s="254">
        <v>17.5</v>
      </c>
      <c r="L24" s="271">
        <f t="shared" si="8"/>
        <v>22.857142857142858</v>
      </c>
      <c r="M24" s="382">
        <f t="shared" si="9"/>
        <v>22.857142857142858</v>
      </c>
      <c r="N24" s="382">
        <f t="shared" si="33"/>
        <v>22.857142857142858</v>
      </c>
      <c r="O24" s="255">
        <f t="shared" si="10"/>
        <v>182.57952573742048</v>
      </c>
      <c r="P24" s="255">
        <f t="shared" si="11"/>
        <v>182.57952573742048</v>
      </c>
      <c r="Q24" s="256">
        <v>2</v>
      </c>
      <c r="R24" s="257">
        <f>IF(AND(O24&gt;0,Q24&gt;0),SUMIF('Исходные данные'!$C$14:$H$14,Q24,'Исходные данные'!$C$18:$H$18),IF(O24=0,0,IF(Q24=0,"РОТ")))</f>
        <v>126.44557526609226</v>
      </c>
      <c r="S24" s="256">
        <v>2</v>
      </c>
      <c r="T24" s="257">
        <f>IF(AND(P24&gt;0,S24&gt;0),SUMIF('Исходные данные'!$C$14:$H$14,S24,'Исходные данные'!$C$34:$H$34),IF(P24=0,0,IF(S24=0,"РОТ")))</f>
        <v>105.700598073999</v>
      </c>
      <c r="U24" s="258">
        <f>O24*R24*'Исходные данные'!$C$40%</f>
        <v>0</v>
      </c>
      <c r="V24" s="258">
        <f>P24*S24*'Исходные данные'!$C$40%</f>
        <v>0</v>
      </c>
      <c r="W24" s="258">
        <f t="shared" si="12"/>
        <v>0</v>
      </c>
      <c r="X24" s="259">
        <f t="shared" si="13"/>
        <v>0</v>
      </c>
      <c r="Y24" s="258">
        <f t="shared" si="14"/>
        <v>2308.6373163678431</v>
      </c>
      <c r="Z24" s="259">
        <f t="shared" si="15"/>
        <v>964.93825332562199</v>
      </c>
      <c r="AA24" s="258">
        <f t="shared" si="16"/>
        <v>0</v>
      </c>
      <c r="AB24" s="259">
        <f t="shared" si="17"/>
        <v>0</v>
      </c>
      <c r="AC24" s="259">
        <v>2.5</v>
      </c>
      <c r="AD24" s="258">
        <f t="shared" si="18"/>
        <v>63487.526200115688</v>
      </c>
      <c r="AE24" s="258">
        <f t="shared" si="19"/>
        <v>50659.258299595152</v>
      </c>
      <c r="AF24" s="255">
        <f t="shared" si="20"/>
        <v>9405.559437054173</v>
      </c>
      <c r="AG24" s="256">
        <f t="shared" si="20"/>
        <v>7505.0753036437245</v>
      </c>
      <c r="AH24" s="255">
        <f t="shared" si="21"/>
        <v>72893.085637169861</v>
      </c>
      <c r="AI24" s="255">
        <f t="shared" si="21"/>
        <v>58164.333603238876</v>
      </c>
      <c r="AJ24" s="255">
        <f t="shared" si="22"/>
        <v>22378.177290611147</v>
      </c>
      <c r="AK24" s="256">
        <f t="shared" si="22"/>
        <v>17856.450416194333</v>
      </c>
      <c r="AL24" s="255">
        <f t="shared" si="23"/>
        <v>95271.262927781005</v>
      </c>
      <c r="AM24" s="256">
        <f t="shared" si="24"/>
        <v>76020.784019433209</v>
      </c>
      <c r="AN24" s="260">
        <v>0.96</v>
      </c>
      <c r="AO24" s="261">
        <f>'Исходные данные'!$C$59</f>
        <v>0.84</v>
      </c>
      <c r="AP24" s="261">
        <f>(G24*AN24)*AO24/100</f>
        <v>3.2256</v>
      </c>
      <c r="AQ24" s="262" t="s">
        <v>153</v>
      </c>
      <c r="AR24" s="255">
        <f>'Исходные данные'!$G$84</f>
        <v>9559.3714285714286</v>
      </c>
      <c r="AS24" s="255">
        <f>AP24*AR24</f>
        <v>30834.708480000001</v>
      </c>
      <c r="AT24" s="256"/>
      <c r="AU24" s="255"/>
      <c r="AV24" s="255"/>
      <c r="AW24" s="255"/>
      <c r="AX24" s="255"/>
      <c r="AY24" s="255"/>
      <c r="AZ24" s="255"/>
      <c r="BA24" s="255"/>
      <c r="BB24" s="255">
        <f>аморт!$G$10</f>
        <v>69.696969696969703</v>
      </c>
      <c r="BC24" s="255">
        <f t="shared" si="26"/>
        <v>556.72923567660416</v>
      </c>
      <c r="BD24" s="255">
        <f>аморт!$G$25</f>
        <v>12.519247457627118</v>
      </c>
      <c r="BE24" s="255">
        <f t="shared" si="27"/>
        <v>100.00192402387978</v>
      </c>
      <c r="BF24" s="255">
        <f>'Исходные данные'!$E$88</f>
        <v>98.911965135359992</v>
      </c>
      <c r="BG24" s="255">
        <f>BF24*BQ24</f>
        <v>11530.30907863625</v>
      </c>
      <c r="BH24" s="255">
        <f>'Исходные данные'!$E$93</f>
        <v>16.685392176959997</v>
      </c>
      <c r="BI24" s="255">
        <f>BH24*BQ24</f>
        <v>1945.0400023427653</v>
      </c>
      <c r="BJ24" s="255">
        <f>'Исходные данные'!$E$98</f>
        <v>5.7618620467199984</v>
      </c>
      <c r="BK24" s="255">
        <f>BJ24*BQ24</f>
        <v>671.66849001764547</v>
      </c>
      <c r="BL24" s="255">
        <f>аморт!$C$25*10%/аморт!$F$25*L24*O6</f>
        <v>2285.7582634029663</v>
      </c>
      <c r="BM24" s="255">
        <f t="shared" si="28"/>
        <v>219216.26242131437</v>
      </c>
      <c r="BN24" s="255">
        <f t="shared" si="29"/>
        <v>2192.1626242131438</v>
      </c>
      <c r="BO24" s="255">
        <f t="shared" si="30"/>
        <v>3.6515905147484098</v>
      </c>
      <c r="BP24" s="255">
        <f>'Исходные данные'!$B$108</f>
        <v>5.0999999999999996</v>
      </c>
      <c r="BQ24" s="256">
        <f>BP24*L24</f>
        <v>116.57142857142857</v>
      </c>
      <c r="BR24" s="384">
        <f>BG24+BI24+BK24</f>
        <v>14147.017570996661</v>
      </c>
    </row>
    <row r="25" spans="1:70" ht="22.5" x14ac:dyDescent="0.2">
      <c r="A25" s="225">
        <f t="shared" si="31"/>
        <v>15</v>
      </c>
      <c r="B25" s="216" t="s">
        <v>549</v>
      </c>
      <c r="C25" s="249">
        <f t="shared" si="6"/>
        <v>100</v>
      </c>
      <c r="D25" s="250" t="s">
        <v>105</v>
      </c>
      <c r="E25" s="208" t="s">
        <v>115</v>
      </c>
      <c r="F25" s="223" t="s">
        <v>535</v>
      </c>
      <c r="G25" s="251">
        <f>G24</f>
        <v>400</v>
      </c>
      <c r="H25" s="252">
        <v>43614</v>
      </c>
      <c r="I25" s="252">
        <v>43615</v>
      </c>
      <c r="J25" s="253">
        <f t="shared" si="7"/>
        <v>1</v>
      </c>
      <c r="K25" s="254">
        <v>4</v>
      </c>
      <c r="L25" s="271">
        <f t="shared" si="8"/>
        <v>100</v>
      </c>
      <c r="M25" s="382">
        <f t="shared" si="9"/>
        <v>100</v>
      </c>
      <c r="N25" s="382">
        <f t="shared" si="33"/>
        <v>100</v>
      </c>
      <c r="O25" s="255">
        <f t="shared" si="10"/>
        <v>798.78542510121463</v>
      </c>
      <c r="P25" s="255">
        <f t="shared" si="11"/>
        <v>798.78542510121463</v>
      </c>
      <c r="Q25" s="256">
        <v>4</v>
      </c>
      <c r="R25" s="257">
        <f>IF(AND(O25&gt;0,Q25&gt;0),SUMIF('Исходные данные'!$C$14:$H$14,Q25,'Исходные данные'!$C$18:$H$18),IF(O25=0,0,IF(Q25=0,"РОТ")))</f>
        <v>156.08125696908263</v>
      </c>
      <c r="S25" s="256">
        <v>2</v>
      </c>
      <c r="T25" s="257">
        <f>IF(AND(P25&gt;0,S25&gt;0),SUMIF('Исходные данные'!$C$14:$H$14,S25,'Исходные данные'!$C$34:$H$34),IF(P25=0,0,IF(S25=0,"РОТ")))</f>
        <v>105.700598073999</v>
      </c>
      <c r="U25" s="258">
        <f>O25*R25*'Исходные данные'!$C$40%</f>
        <v>0</v>
      </c>
      <c r="V25" s="258">
        <f>P25*S25*'Исходные данные'!$C$40%</f>
        <v>0</v>
      </c>
      <c r="W25" s="258">
        <f t="shared" si="12"/>
        <v>0</v>
      </c>
      <c r="X25" s="259">
        <f t="shared" si="13"/>
        <v>0</v>
      </c>
      <c r="Y25" s="258">
        <f t="shared" si="14"/>
        <v>12467.54331983806</v>
      </c>
      <c r="Z25" s="259">
        <f t="shared" si="15"/>
        <v>4221.6048582995963</v>
      </c>
      <c r="AA25" s="258">
        <f t="shared" si="16"/>
        <v>0</v>
      </c>
      <c r="AB25" s="259">
        <f t="shared" si="17"/>
        <v>0</v>
      </c>
      <c r="AC25" s="259">
        <v>2.5</v>
      </c>
      <c r="AD25" s="258">
        <f t="shared" si="18"/>
        <v>342857.4412955466</v>
      </c>
      <c r="AE25" s="258">
        <f t="shared" si="19"/>
        <v>221634.25506072878</v>
      </c>
      <c r="AF25" s="255">
        <f t="shared" si="20"/>
        <v>50793.695006747628</v>
      </c>
      <c r="AG25" s="256">
        <f t="shared" si="20"/>
        <v>32834.704453441293</v>
      </c>
      <c r="AH25" s="255">
        <f t="shared" si="21"/>
        <v>393651.13630229421</v>
      </c>
      <c r="AI25" s="255">
        <f t="shared" si="21"/>
        <v>254468.95951417007</v>
      </c>
      <c r="AJ25" s="255">
        <f t="shared" si="22"/>
        <v>120850.89884480432</v>
      </c>
      <c r="AK25" s="256">
        <f t="shared" si="22"/>
        <v>78121.970570850215</v>
      </c>
      <c r="AL25" s="255">
        <f t="shared" si="23"/>
        <v>514502.03514709853</v>
      </c>
      <c r="AM25" s="256">
        <f t="shared" si="24"/>
        <v>332590.93008502026</v>
      </c>
      <c r="AN25" s="260"/>
      <c r="AO25" s="261">
        <f>'Исходные данные'!$C$59</f>
        <v>0.84</v>
      </c>
      <c r="AP25" s="261"/>
      <c r="AQ25" s="256"/>
      <c r="AR25" s="255"/>
      <c r="AS25" s="255"/>
      <c r="AT25" s="256"/>
      <c r="AU25" s="255"/>
      <c r="AV25" s="255"/>
      <c r="AW25" s="255"/>
      <c r="AX25" s="255"/>
      <c r="AY25" s="255"/>
      <c r="AZ25" s="255"/>
      <c r="BA25" s="255"/>
      <c r="BB25" s="255">
        <f>аморт!$G$10</f>
        <v>69.696969696969703</v>
      </c>
      <c r="BC25" s="255">
        <f t="shared" si="26"/>
        <v>556.72923567660416</v>
      </c>
      <c r="BD25" s="255">
        <f>аморт!$G$25</f>
        <v>12.519247457627118</v>
      </c>
      <c r="BE25" s="255">
        <f t="shared" si="27"/>
        <v>100.00192402387978</v>
      </c>
      <c r="BF25" s="255">
        <f>'Исходные данные'!$E$88</f>
        <v>98.911965135359992</v>
      </c>
      <c r="BG25" s="255">
        <f>BF25*BQ25</f>
        <v>50445.102219033593</v>
      </c>
      <c r="BH25" s="255">
        <f>'Исходные данные'!$E$93</f>
        <v>16.685392176959997</v>
      </c>
      <c r="BI25" s="255">
        <f>BH25*BQ25</f>
        <v>8509.5500102495971</v>
      </c>
      <c r="BJ25" s="255">
        <f>'Исходные данные'!$E$98</f>
        <v>5.7618620467199984</v>
      </c>
      <c r="BK25" s="255">
        <f>BJ25*BQ25</f>
        <v>2938.5496438271989</v>
      </c>
      <c r="BL25" s="255">
        <f>аморт!$C$25*10%/аморт!$F$25*L25*O6</f>
        <v>10000.192402387978</v>
      </c>
      <c r="BM25" s="255">
        <f t="shared" si="28"/>
        <v>919643.09066731762</v>
      </c>
      <c r="BN25" s="255">
        <f t="shared" si="29"/>
        <v>9196.4309066731767</v>
      </c>
      <c r="BO25" s="255">
        <f t="shared" si="30"/>
        <v>15.975708502024293</v>
      </c>
      <c r="BP25" s="255">
        <f>'Исходные данные'!$B$108</f>
        <v>5.0999999999999996</v>
      </c>
      <c r="BQ25" s="256">
        <f>BP25*L25</f>
        <v>509.99999999999994</v>
      </c>
    </row>
    <row r="26" spans="1:70" x14ac:dyDescent="0.2">
      <c r="A26" s="225">
        <f t="shared" si="31"/>
        <v>16</v>
      </c>
      <c r="B26" s="216" t="s">
        <v>550</v>
      </c>
      <c r="C26" s="249">
        <f t="shared" si="6"/>
        <v>11.904761904761905</v>
      </c>
      <c r="D26" s="250" t="s">
        <v>105</v>
      </c>
      <c r="E26" s="208" t="s">
        <v>136</v>
      </c>
      <c r="F26" s="223" t="s">
        <v>106</v>
      </c>
      <c r="G26" s="263">
        <f>D2</f>
        <v>100</v>
      </c>
      <c r="H26" s="252">
        <v>43616</v>
      </c>
      <c r="I26" s="252">
        <v>43618</v>
      </c>
      <c r="J26" s="253">
        <f t="shared" si="7"/>
        <v>2</v>
      </c>
      <c r="K26" s="254">
        <v>4.2</v>
      </c>
      <c r="L26" s="271">
        <f t="shared" si="8"/>
        <v>23.80952380952381</v>
      </c>
      <c r="M26" s="382">
        <f t="shared" si="9"/>
        <v>11.904761904761905</v>
      </c>
      <c r="N26" s="382">
        <f>L26/J26</f>
        <v>11.904761904761905</v>
      </c>
      <c r="O26" s="255">
        <f t="shared" si="10"/>
        <v>190.18700597647967</v>
      </c>
      <c r="P26" s="255">
        <f t="shared" si="11"/>
        <v>190.18700597647967</v>
      </c>
      <c r="Q26" s="256">
        <v>5</v>
      </c>
      <c r="R26" s="257">
        <f>IF(AND(O26&gt;0,Q26&gt;0),SUMIF('Исходные данные'!$C$14:$H$14,Q26,'Исходные данные'!$C$18:$H$18),IF(O26=0,0,IF(Q26=0,"РОТ")))</f>
        <v>179.78980233147493</v>
      </c>
      <c r="S26" s="256">
        <v>4</v>
      </c>
      <c r="T26" s="257">
        <f>IF(AND(P26&gt;0,S26&gt;0),SUMIF('Исходные данные'!$C$14:$H$14,S26,'Исходные данные'!$C$34:$H$34),IF(P26=0,0,IF(S26=0,"РОТ")))</f>
        <v>123.48200709579322</v>
      </c>
      <c r="U26" s="258">
        <f>O26*R26*'Исходные данные'!$C$40%</f>
        <v>0</v>
      </c>
      <c r="V26" s="258">
        <f>P26*S26*'Исходные данные'!$C$40%</f>
        <v>0</v>
      </c>
      <c r="W26" s="258">
        <f t="shared" si="12"/>
        <v>0</v>
      </c>
      <c r="X26" s="259">
        <f t="shared" si="13"/>
        <v>0</v>
      </c>
      <c r="Y26" s="258">
        <f t="shared" si="14"/>
        <v>3419.3684210526321</v>
      </c>
      <c r="Z26" s="259">
        <f t="shared" si="15"/>
        <v>1174.2336610757666</v>
      </c>
      <c r="AA26" s="258">
        <f t="shared" si="16"/>
        <v>0</v>
      </c>
      <c r="AB26" s="259">
        <f t="shared" si="17"/>
        <v>0</v>
      </c>
      <c r="AC26" s="259">
        <v>2.5</v>
      </c>
      <c r="AD26" s="258">
        <f t="shared" si="18"/>
        <v>94032.631578947388</v>
      </c>
      <c r="AE26" s="258">
        <f t="shared" si="19"/>
        <v>61647.267206477743</v>
      </c>
      <c r="AF26" s="255">
        <f t="shared" si="20"/>
        <v>13930.760233918129</v>
      </c>
      <c r="AG26" s="256">
        <f t="shared" si="20"/>
        <v>9132.9284750337374</v>
      </c>
      <c r="AH26" s="255">
        <f>AD26+AF26</f>
        <v>107963.39181286552</v>
      </c>
      <c r="AI26" s="255">
        <f>AE26+AG26</f>
        <v>70780.195681511483</v>
      </c>
      <c r="AJ26" s="255">
        <f t="shared" si="22"/>
        <v>33144.761286549714</v>
      </c>
      <c r="AK26" s="256">
        <f t="shared" si="22"/>
        <v>21729.520074224023</v>
      </c>
      <c r="AL26" s="255">
        <f>AH26+AJ26</f>
        <v>141108.15309941524</v>
      </c>
      <c r="AM26" s="256">
        <f>AK26+AI26</f>
        <v>92509.715755735509</v>
      </c>
      <c r="AN26" s="260">
        <v>13.2</v>
      </c>
      <c r="AO26" s="261">
        <f>'Исходные данные'!$C$59</f>
        <v>0.84</v>
      </c>
      <c r="AP26" s="261">
        <f>(G26*AN26)*AO26/100</f>
        <v>11.087999999999999</v>
      </c>
      <c r="AQ26" s="262" t="s">
        <v>153</v>
      </c>
      <c r="AR26" s="255">
        <f>'Исходные данные'!$G$84</f>
        <v>9559.3714285714286</v>
      </c>
      <c r="AS26" s="255">
        <f>AP26*AR26</f>
        <v>105994.31039999999</v>
      </c>
      <c r="AT26" s="256">
        <f>Нормы!B4</f>
        <v>40</v>
      </c>
      <c r="AU26" s="255">
        <f>AT26*G26/10</f>
        <v>400</v>
      </c>
      <c r="AV26" s="272">
        <f>Нормы!C4/1000</f>
        <v>40</v>
      </c>
      <c r="AW26" s="255">
        <f>AU26*AV26*1000</f>
        <v>16000000</v>
      </c>
      <c r="AX26" s="255"/>
      <c r="AY26" s="255"/>
      <c r="AZ26" s="255"/>
      <c r="BA26" s="255"/>
      <c r="BB26" s="255">
        <f>аморт!$G$10</f>
        <v>69.696969696969703</v>
      </c>
      <c r="BC26" s="255">
        <f t="shared" si="26"/>
        <v>1113.4584713532083</v>
      </c>
      <c r="BD26" s="255">
        <f>аморт!G60</f>
        <v>41.864400000000003</v>
      </c>
      <c r="BE26" s="255">
        <f t="shared" si="27"/>
        <v>668.81345101214583</v>
      </c>
      <c r="BF26" s="255">
        <f>'Исходные данные'!$E$88</f>
        <v>98.911965135359992</v>
      </c>
      <c r="BG26" s="255">
        <f>BF26*BQ26</f>
        <v>12010.738623579427</v>
      </c>
      <c r="BH26" s="255">
        <f>'Исходные данные'!$E$93</f>
        <v>16.685392176959997</v>
      </c>
      <c r="BI26" s="255">
        <f>BH26*BQ26</f>
        <v>2026.083335773714</v>
      </c>
      <c r="BJ26" s="255">
        <f>'Исходные данные'!$E$98</f>
        <v>5.7618620467199984</v>
      </c>
      <c r="BK26" s="255">
        <f>BJ26*BQ26</f>
        <v>699.65467710171413</v>
      </c>
      <c r="BL26" s="255">
        <f>аморт!$C$60*10%/аморт!$F$60*L26*O6</f>
        <v>6369.6519144013891</v>
      </c>
      <c r="BM26" s="255">
        <f t="shared" si="28"/>
        <v>16362500.579728374</v>
      </c>
      <c r="BN26" s="255">
        <f t="shared" si="29"/>
        <v>163625.00579728375</v>
      </c>
      <c r="BO26" s="255">
        <f t="shared" si="30"/>
        <v>3.8037401195295932</v>
      </c>
      <c r="BP26" s="255">
        <f>'Исходные данные'!$B$108</f>
        <v>5.0999999999999996</v>
      </c>
      <c r="BQ26" s="256">
        <f>BP26*L26</f>
        <v>121.42857142857143</v>
      </c>
    </row>
    <row r="27" spans="1:70" s="285" customFormat="1" x14ac:dyDescent="0.2">
      <c r="A27" s="273"/>
      <c r="B27" s="274" t="s">
        <v>21</v>
      </c>
      <c r="C27" s="275"/>
      <c r="D27" s="276"/>
      <c r="E27" s="277"/>
      <c r="F27" s="278"/>
      <c r="G27" s="279"/>
      <c r="H27" s="280"/>
      <c r="I27" s="280"/>
      <c r="J27" s="281">
        <f>SUM(J11:J26)</f>
        <v>129</v>
      </c>
      <c r="K27" s="281"/>
      <c r="L27" s="282">
        <f t="shared" ref="L27:AB27" si="34">SUM(L11:L26)</f>
        <v>1318.1345867119526</v>
      </c>
      <c r="M27" s="283">
        <f t="shared" si="34"/>
        <v>153.60597488932498</v>
      </c>
      <c r="N27" s="283">
        <f t="shared" si="34"/>
        <v>239.11810796649627</v>
      </c>
      <c r="O27" s="283">
        <f t="shared" si="34"/>
        <v>3012.2912948951112</v>
      </c>
      <c r="P27" s="283">
        <f t="shared" si="34"/>
        <v>8803.3249862705525</v>
      </c>
      <c r="Q27" s="283">
        <f t="shared" si="34"/>
        <v>55</v>
      </c>
      <c r="R27" s="283">
        <f t="shared" si="34"/>
        <v>2262.1903699949321</v>
      </c>
      <c r="S27" s="283">
        <f t="shared" si="34"/>
        <v>28</v>
      </c>
      <c r="T27" s="283">
        <f t="shared" si="34"/>
        <v>1128.1316168271669</v>
      </c>
      <c r="U27" s="283">
        <f t="shared" si="34"/>
        <v>0</v>
      </c>
      <c r="V27" s="283">
        <f t="shared" si="34"/>
        <v>0</v>
      </c>
      <c r="W27" s="283">
        <f t="shared" si="34"/>
        <v>0</v>
      </c>
      <c r="X27" s="283">
        <f t="shared" si="34"/>
        <v>0</v>
      </c>
      <c r="Y27" s="283">
        <f t="shared" si="34"/>
        <v>49032.836663705129</v>
      </c>
      <c r="Z27" s="283">
        <f t="shared" si="34"/>
        <v>46794.207139729668</v>
      </c>
      <c r="AA27" s="283">
        <f t="shared" si="34"/>
        <v>0</v>
      </c>
      <c r="AB27" s="283">
        <f t="shared" si="34"/>
        <v>0</v>
      </c>
      <c r="AC27" s="283"/>
      <c r="AD27" s="283">
        <f t="shared" ref="AD27:AM27" si="35">SUM(AD11:AD26)</f>
        <v>1348403.008251891</v>
      </c>
      <c r="AE27" s="283">
        <f t="shared" si="35"/>
        <v>2456695.8748358078</v>
      </c>
      <c r="AF27" s="283">
        <f t="shared" si="35"/>
        <v>199763.40862990965</v>
      </c>
      <c r="AG27" s="283">
        <f t="shared" si="35"/>
        <v>363954.94442011957</v>
      </c>
      <c r="AH27" s="283">
        <f t="shared" si="35"/>
        <v>1548166.4168818006</v>
      </c>
      <c r="AI27" s="283">
        <f t="shared" si="35"/>
        <v>2820650.8192559266</v>
      </c>
      <c r="AJ27" s="283">
        <f t="shared" si="35"/>
        <v>475287.08998271276</v>
      </c>
      <c r="AK27" s="283">
        <f t="shared" si="35"/>
        <v>865939.80151156953</v>
      </c>
      <c r="AL27" s="283">
        <f t="shared" si="35"/>
        <v>2023453.5068645137</v>
      </c>
      <c r="AM27" s="283">
        <f t="shared" si="35"/>
        <v>3686590.6207674965</v>
      </c>
      <c r="AN27" s="284"/>
      <c r="AO27" s="284"/>
      <c r="AP27" s="284">
        <f>SUM(AP11:AP26)</f>
        <v>117.83519999999997</v>
      </c>
      <c r="AQ27" s="283"/>
      <c r="AR27" s="283"/>
      <c r="AS27" s="283">
        <f>SUM(AS11:AS26)</f>
        <v>1127397.1161599997</v>
      </c>
      <c r="AT27" s="283"/>
      <c r="AU27" s="283">
        <f>SUM(AU11:AU26)</f>
        <v>400</v>
      </c>
      <c r="AV27" s="283"/>
      <c r="AW27" s="283">
        <f>SUM(AW11:AW26)</f>
        <v>16000000</v>
      </c>
      <c r="AX27" s="283"/>
      <c r="AY27" s="283">
        <f>SUM(AY11:AY26)</f>
        <v>2550</v>
      </c>
      <c r="AZ27" s="283"/>
      <c r="BA27" s="283">
        <f>SUM(BA11:BA26)</f>
        <v>4185000</v>
      </c>
      <c r="BB27" s="283"/>
      <c r="BC27" s="281">
        <f>SUM(BC11:BC26)</f>
        <v>48893.889464350395</v>
      </c>
      <c r="BD27" s="267"/>
      <c r="BE27" s="281">
        <f>SUM(BE11:BE26)</f>
        <v>37290.875348757349</v>
      </c>
      <c r="BF27" s="283"/>
      <c r="BG27" s="283">
        <f>SUM(BG11:BG26)</f>
        <v>315721.79730714991</v>
      </c>
      <c r="BH27" s="283"/>
      <c r="BI27" s="283">
        <f>SUM(BI11:BI26)</f>
        <v>40639.80979207145</v>
      </c>
      <c r="BJ27" s="283"/>
      <c r="BK27" s="283">
        <f>SUM(BK11:BK26)</f>
        <v>23012.78569557648</v>
      </c>
      <c r="BL27" s="283">
        <f>SUM(BL11:BL26)</f>
        <v>66910.506288985591</v>
      </c>
      <c r="BM27" s="283">
        <f>SUM(BM11:BM26)</f>
        <v>27554910.907688901</v>
      </c>
      <c r="BN27" s="283"/>
      <c r="BO27" s="283"/>
      <c r="BP27" s="283"/>
      <c r="BQ27" s="283">
        <f>SUM(BQ11:BQ26)</f>
        <v>3136.7554366278791</v>
      </c>
    </row>
    <row r="28" spans="1:70" s="301" customFormat="1" x14ac:dyDescent="0.2">
      <c r="A28" s="430"/>
      <c r="B28" s="507" t="s">
        <v>551</v>
      </c>
      <c r="C28" s="507"/>
      <c r="D28" s="507"/>
      <c r="E28" s="507"/>
      <c r="F28" s="429"/>
      <c r="G28" s="302"/>
      <c r="H28" s="303"/>
      <c r="I28" s="303"/>
      <c r="J28" s="302"/>
      <c r="K28" s="302"/>
      <c r="L28" s="304"/>
      <c r="M28" s="305"/>
      <c r="N28" s="305"/>
      <c r="O28" s="304"/>
      <c r="P28" s="304"/>
      <c r="Q28" s="305"/>
      <c r="R28" s="306"/>
      <c r="S28" s="305"/>
      <c r="T28" s="306"/>
      <c r="U28" s="307">
        <v>0</v>
      </c>
      <c r="V28" s="307">
        <v>0</v>
      </c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4"/>
      <c r="AI28" s="304"/>
      <c r="AJ28" s="304"/>
      <c r="AK28" s="304"/>
      <c r="AL28" s="304"/>
      <c r="AM28" s="304"/>
      <c r="AN28" s="308"/>
      <c r="AO28" s="308"/>
      <c r="AP28" s="309"/>
      <c r="AQ28" s="305"/>
      <c r="AR28" s="305"/>
      <c r="AS28" s="304"/>
      <c r="AT28" s="305"/>
      <c r="AU28" s="304"/>
      <c r="AV28" s="304"/>
      <c r="AW28" s="304"/>
      <c r="AX28" s="304"/>
      <c r="AY28" s="304"/>
      <c r="AZ28" s="304"/>
      <c r="BA28" s="304"/>
      <c r="BB28" s="304"/>
      <c r="BC28" s="304"/>
      <c r="BD28" s="267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</row>
    <row r="29" spans="1:70" s="231" customFormat="1" ht="22.5" x14ac:dyDescent="0.2">
      <c r="A29" s="225">
        <v>1</v>
      </c>
      <c r="B29" s="216" t="s">
        <v>552</v>
      </c>
      <c r="C29" s="249">
        <f>M29</f>
        <v>8.8495575221238933</v>
      </c>
      <c r="D29" s="250" t="s">
        <v>105</v>
      </c>
      <c r="E29" s="208" t="s">
        <v>111</v>
      </c>
      <c r="F29" s="223" t="s">
        <v>106</v>
      </c>
      <c r="G29" s="263">
        <f>D2*2</f>
        <v>200</v>
      </c>
      <c r="H29" s="264">
        <v>43637</v>
      </c>
      <c r="I29" s="264">
        <v>43638</v>
      </c>
      <c r="J29" s="253">
        <f t="shared" ref="J29:J30" si="36">I29-H29</f>
        <v>1</v>
      </c>
      <c r="K29" s="254">
        <v>22.6</v>
      </c>
      <c r="L29" s="255">
        <f>G29/K29</f>
        <v>8.8495575221238933</v>
      </c>
      <c r="M29" s="382">
        <f t="shared" ref="M29:M30" si="37">L29/J29</f>
        <v>8.8495575221238933</v>
      </c>
      <c r="N29" s="268"/>
      <c r="O29" s="255">
        <f>IF(M29=0,0,L29*$O$6)</f>
        <v>70.688975672673848</v>
      </c>
      <c r="P29" s="255">
        <f>IF(N29=0,0,L29*$O$6)</f>
        <v>0</v>
      </c>
      <c r="Q29" s="268">
        <v>4</v>
      </c>
      <c r="R29" s="257">
        <f>IF(AND(O29&gt;0,Q29&gt;0),SUMIF('Исходные данные'!$C$14:$H$14,Q29,'Исходные данные'!$C$18:$H$18),IF(O29=0,0,IF(Q29=0,"РОТ")))</f>
        <v>156.08125696908263</v>
      </c>
      <c r="S29" s="268"/>
      <c r="T29" s="257"/>
      <c r="U29" s="258">
        <f>O29*R29*'Исходные данные'!$C$40%</f>
        <v>0</v>
      </c>
      <c r="V29" s="258">
        <f>P29*S29*'Исходные данные'!$C$40%</f>
        <v>0</v>
      </c>
      <c r="W29" s="258">
        <f>O29*R29*$W$6</f>
        <v>0</v>
      </c>
      <c r="X29" s="259">
        <f>P29*T29*$W$6</f>
        <v>0</v>
      </c>
      <c r="Y29" s="258">
        <f>(O29*R29+U29+W29)*$Y$6</f>
        <v>1103.3224176847839</v>
      </c>
      <c r="Z29" s="259">
        <f>(P29*T29+V29+X29)*$Z$6</f>
        <v>0</v>
      </c>
      <c r="AA29" s="258">
        <f>(O29*R29+U29)*$AA$6</f>
        <v>0</v>
      </c>
      <c r="AB29" s="259">
        <f>(P29*T29+V29)*$AA$6</f>
        <v>0</v>
      </c>
      <c r="AC29" s="259">
        <v>2.5</v>
      </c>
      <c r="AD29" s="258">
        <f>(O29*R29+U29+W29+Y29+AA29)*AC29</f>
        <v>30341.366486331553</v>
      </c>
      <c r="AE29" s="258">
        <f>(P29*T29+V29+X29+Z29+AB29)*AC29</f>
        <v>0</v>
      </c>
      <c r="AF29" s="255">
        <f>AD29*$AF$6</f>
        <v>4495.0172572343035</v>
      </c>
      <c r="AG29" s="256">
        <f>AE29*$AF$6</f>
        <v>0</v>
      </c>
      <c r="AH29" s="255">
        <f>AD29+AF29</f>
        <v>34836.383743565857</v>
      </c>
      <c r="AI29" s="255">
        <f>AE29+AG29</f>
        <v>0</v>
      </c>
      <c r="AJ29" s="255">
        <f>AH29*$AJ$6</f>
        <v>10694.769809274718</v>
      </c>
      <c r="AK29" s="256">
        <f>AI29*$AJ$6</f>
        <v>0</v>
      </c>
      <c r="AL29" s="255">
        <f>AH29+AJ29</f>
        <v>45531.153552840573</v>
      </c>
      <c r="AM29" s="256">
        <f>AK29+AI29</f>
        <v>0</v>
      </c>
      <c r="AN29" s="260">
        <v>2.2999999999999998</v>
      </c>
      <c r="AO29" s="261">
        <f>'Исходные данные'!$C$59</f>
        <v>0.84</v>
      </c>
      <c r="AP29" s="261">
        <f>(G29*AN29)*AO29/100</f>
        <v>3.863999999999999</v>
      </c>
      <c r="AQ29" s="262" t="s">
        <v>153</v>
      </c>
      <c r="AR29" s="255">
        <f>'Исходные данные'!$G$84</f>
        <v>9559.3714285714286</v>
      </c>
      <c r="AS29" s="255">
        <f>AP29*AR29</f>
        <v>36937.411199999988</v>
      </c>
      <c r="AT29" s="268"/>
      <c r="AU29" s="267"/>
      <c r="AV29" s="267"/>
      <c r="AW29" s="267"/>
      <c r="AX29" s="267"/>
      <c r="AY29" s="267"/>
      <c r="AZ29" s="267"/>
      <c r="BA29" s="267"/>
      <c r="BB29" s="255">
        <f>аморт!$G$10</f>
        <v>69.696969696969703</v>
      </c>
      <c r="BC29" s="255">
        <f t="shared" ref="BC29:BC30" si="38">BB29*J29*$O$6</f>
        <v>556.72923567660416</v>
      </c>
      <c r="BD29" s="255">
        <f>аморт!G36</f>
        <v>294.73684210526318</v>
      </c>
      <c r="BE29" s="255">
        <f t="shared" ref="BE29:BE30" si="39">BD29*J29*$O$6</f>
        <v>2354.314937140422</v>
      </c>
      <c r="BF29" s="255">
        <f>'Исходные данные'!$E$88</f>
        <v>98.911965135359992</v>
      </c>
      <c r="BG29" s="255">
        <f>BF29*BQ29</f>
        <v>4464.1683379675742</v>
      </c>
      <c r="BH29" s="255">
        <f>'Исходные данные'!$E$93</f>
        <v>16.685392176959997</v>
      </c>
      <c r="BI29" s="255">
        <f>BH29*BQ29</f>
        <v>753.05752303093789</v>
      </c>
      <c r="BJ29" s="255">
        <f>'Исходные данные'!$E$98</f>
        <v>5.7618620467199984</v>
      </c>
      <c r="BK29" s="255">
        <f>BJ29*BQ29</f>
        <v>260.04864104665478</v>
      </c>
      <c r="BL29" s="255">
        <f>аморт!$C$36*10%/аморт!$F$36*L29*O6</f>
        <v>10417.322730709833</v>
      </c>
      <c r="BM29" s="255">
        <f>AL29+AM29+AS29+AW29+BA29+BC29+BE29+BG29+BI29+BK29+BL29</f>
        <v>101274.20615841256</v>
      </c>
      <c r="BN29" s="255">
        <f>BM29/$D$2</f>
        <v>1012.7420615841256</v>
      </c>
      <c r="BO29" s="255">
        <f>(O29+P29)/$D$2</f>
        <v>0.70688975672673848</v>
      </c>
      <c r="BP29" s="255">
        <f>'Исходные данные'!$B$108</f>
        <v>5.0999999999999996</v>
      </c>
      <c r="BQ29" s="256">
        <f>BP29*L29</f>
        <v>45.132743362831853</v>
      </c>
    </row>
    <row r="30" spans="1:70" s="231" customFormat="1" x14ac:dyDescent="0.2">
      <c r="A30" s="225">
        <v>2</v>
      </c>
      <c r="B30" s="216" t="s">
        <v>553</v>
      </c>
      <c r="C30" s="249">
        <f>M30</f>
        <v>17.857142857142858</v>
      </c>
      <c r="D30" s="250" t="s">
        <v>105</v>
      </c>
      <c r="E30" s="208" t="s">
        <v>130</v>
      </c>
      <c r="F30" s="223" t="s">
        <v>106</v>
      </c>
      <c r="G30" s="263">
        <f>D2*2</f>
        <v>200</v>
      </c>
      <c r="H30" s="264">
        <v>43654</v>
      </c>
      <c r="I30" s="264">
        <v>43656</v>
      </c>
      <c r="J30" s="253">
        <f t="shared" si="36"/>
        <v>2</v>
      </c>
      <c r="K30" s="254">
        <v>5.6</v>
      </c>
      <c r="L30" s="255">
        <f>G30/K30</f>
        <v>35.714285714285715</v>
      </c>
      <c r="M30" s="256">
        <f t="shared" si="37"/>
        <v>17.857142857142858</v>
      </c>
      <c r="N30" s="268"/>
      <c r="O30" s="255">
        <f>IF(M30=0,0,L30*$O$6)</f>
        <v>285.2805089647195</v>
      </c>
      <c r="P30" s="255">
        <f>IF(N30=0,0,L30*$O$6)</f>
        <v>0</v>
      </c>
      <c r="Q30" s="268">
        <v>4</v>
      </c>
      <c r="R30" s="257">
        <f>IF(AND(O30&gt;0,Q30&gt;0),SUMIF('Исходные данные'!$C$14:$H$14,Q30,'Исходные данные'!$C$18:$H$18),IF(O30=0,0,IF(Q30=0,"РОТ")))</f>
        <v>156.08125696908263</v>
      </c>
      <c r="S30" s="268"/>
      <c r="T30" s="257"/>
      <c r="U30" s="258">
        <f>O30*R30*'Исходные данные'!$C$40%</f>
        <v>0</v>
      </c>
      <c r="V30" s="258">
        <f>P30*S30*'Исходные данные'!$C$40%</f>
        <v>0</v>
      </c>
      <c r="W30" s="258">
        <f>O30*R30*$W$6</f>
        <v>0</v>
      </c>
      <c r="X30" s="259">
        <f>P30*T30*$W$6</f>
        <v>0</v>
      </c>
      <c r="Y30" s="258">
        <f>(O30*R30+U30+W30)*$Y$6</f>
        <v>4452.6940427993068</v>
      </c>
      <c r="Z30" s="259">
        <f>(P30*T30+V30+X30)*$Z$6</f>
        <v>0</v>
      </c>
      <c r="AA30" s="258">
        <f>(O30*R30+U30)*$AA$6</f>
        <v>0</v>
      </c>
      <c r="AB30" s="259">
        <f>(P30*T30+V30)*$AA$6</f>
        <v>0</v>
      </c>
      <c r="AC30" s="259">
        <v>2.5</v>
      </c>
      <c r="AD30" s="258">
        <f>(O30*R30+U30+W30+Y30+AA30)*AC30</f>
        <v>122449.08617698093</v>
      </c>
      <c r="AE30" s="258">
        <f>(P30*T30+V30+X30+Z30+AB30)*AC30</f>
        <v>0</v>
      </c>
      <c r="AF30" s="255">
        <f>AD30*$AF$6</f>
        <v>18140.605359552726</v>
      </c>
      <c r="AG30" s="256">
        <f>AE30*$AF$6</f>
        <v>0</v>
      </c>
      <c r="AH30" s="255">
        <f>AD30+AF30</f>
        <v>140589.69153653365</v>
      </c>
      <c r="AI30" s="255">
        <f>AE30+AG30</f>
        <v>0</v>
      </c>
      <c r="AJ30" s="255">
        <f>AH30*$AJ$6</f>
        <v>43161.035301715827</v>
      </c>
      <c r="AK30" s="256">
        <f>AI30*$AJ$6</f>
        <v>0</v>
      </c>
      <c r="AL30" s="255">
        <f>AH30+AJ30</f>
        <v>183750.72683824948</v>
      </c>
      <c r="AM30" s="256">
        <f>AK30+AI30</f>
        <v>0</v>
      </c>
      <c r="AN30" s="260">
        <v>8.1999999999999993</v>
      </c>
      <c r="AO30" s="261">
        <f>'Исходные данные'!$C$59</f>
        <v>0.84</v>
      </c>
      <c r="AP30" s="261">
        <f>(G30*AN30)*AO30/100</f>
        <v>13.775999999999996</v>
      </c>
      <c r="AQ30" s="262" t="s">
        <v>153</v>
      </c>
      <c r="AR30" s="255">
        <f>'Исходные данные'!$G$84</f>
        <v>9559.3714285714286</v>
      </c>
      <c r="AS30" s="255">
        <f>AP30*AR30</f>
        <v>131689.90079999997</v>
      </c>
      <c r="AT30" s="268"/>
      <c r="AU30" s="267"/>
      <c r="AV30" s="267"/>
      <c r="AW30" s="267"/>
      <c r="AX30" s="267"/>
      <c r="AY30" s="267"/>
      <c r="AZ30" s="267"/>
      <c r="BA30" s="267"/>
      <c r="BB30" s="255">
        <f>аморт!$G$10</f>
        <v>69.696969696969703</v>
      </c>
      <c r="BC30" s="255">
        <f t="shared" si="38"/>
        <v>1113.4584713532083</v>
      </c>
      <c r="BD30" s="255">
        <f>аморт!G56</f>
        <v>33.463717948717949</v>
      </c>
      <c r="BE30" s="255">
        <f t="shared" si="39"/>
        <v>534.60660334267618</v>
      </c>
      <c r="BF30" s="255">
        <f>'Исходные данные'!$E$88</f>
        <v>98.911965135359992</v>
      </c>
      <c r="BG30" s="255">
        <f>BF30*BQ30</f>
        <v>18016.107935369142</v>
      </c>
      <c r="BH30" s="255">
        <f>'Исходные данные'!$E$93</f>
        <v>16.685392176959997</v>
      </c>
      <c r="BI30" s="255">
        <f>BH30*BQ30</f>
        <v>3039.1250036605707</v>
      </c>
      <c r="BJ30" s="255">
        <f>'Исходные данные'!$E$98</f>
        <v>5.7618620467199984</v>
      </c>
      <c r="BK30" s="255">
        <f>BJ30*BQ30</f>
        <v>1049.4820156525711</v>
      </c>
      <c r="BL30" s="255">
        <f>аморт!$C$56*10%/аморт!$F$56*L30*O6</f>
        <v>7637.2371906096605</v>
      </c>
      <c r="BM30" s="255">
        <f>AL30+AM30+AS30+AW30+BA30+BC30+BE30+BG30+BI30+BK30+BL30</f>
        <v>346830.6448582373</v>
      </c>
      <c r="BN30" s="255">
        <f>BM30/$D$2</f>
        <v>3468.3064485823729</v>
      </c>
      <c r="BO30" s="255">
        <f>(O30+P30)/$D$2</f>
        <v>2.852805089647195</v>
      </c>
      <c r="BP30" s="255">
        <f>'Исходные данные'!$B$108</f>
        <v>5.0999999999999996</v>
      </c>
      <c r="BQ30" s="256">
        <f>BP30*L30</f>
        <v>182.14285714285714</v>
      </c>
    </row>
    <row r="31" spans="1:70" s="293" customFormat="1" x14ac:dyDescent="0.2">
      <c r="A31" s="286"/>
      <c r="B31" s="274" t="s">
        <v>21</v>
      </c>
      <c r="C31" s="274"/>
      <c r="D31" s="274"/>
      <c r="E31" s="274"/>
      <c r="F31" s="287"/>
      <c r="G31" s="288"/>
      <c r="H31" s="289"/>
      <c r="I31" s="289"/>
      <c r="J31" s="290">
        <f>SUM(J29:J30)</f>
        <v>3</v>
      </c>
      <c r="K31" s="290"/>
      <c r="L31" s="291">
        <f t="shared" ref="L31:BA31" si="40">SUM(L29:L30)</f>
        <v>44.56384323640961</v>
      </c>
      <c r="M31" s="291">
        <f t="shared" si="40"/>
        <v>26.706700379266749</v>
      </c>
      <c r="N31" s="291">
        <f t="shared" si="40"/>
        <v>0</v>
      </c>
      <c r="O31" s="291">
        <f t="shared" si="40"/>
        <v>355.96948463739335</v>
      </c>
      <c r="P31" s="291">
        <f t="shared" si="40"/>
        <v>0</v>
      </c>
      <c r="Q31" s="291">
        <f t="shared" si="40"/>
        <v>8</v>
      </c>
      <c r="R31" s="291">
        <f t="shared" si="40"/>
        <v>312.16251393816526</v>
      </c>
      <c r="S31" s="291">
        <f t="shared" si="40"/>
        <v>0</v>
      </c>
      <c r="T31" s="291">
        <f t="shared" si="40"/>
        <v>0</v>
      </c>
      <c r="U31" s="291">
        <f t="shared" si="40"/>
        <v>0</v>
      </c>
      <c r="V31" s="291">
        <f t="shared" si="40"/>
        <v>0</v>
      </c>
      <c r="W31" s="291">
        <f t="shared" si="40"/>
        <v>0</v>
      </c>
      <c r="X31" s="291">
        <f t="shared" si="40"/>
        <v>0</v>
      </c>
      <c r="Y31" s="291">
        <f t="shared" si="40"/>
        <v>5556.0164604840902</v>
      </c>
      <c r="Z31" s="291">
        <f t="shared" si="40"/>
        <v>0</v>
      </c>
      <c r="AA31" s="291">
        <f t="shared" si="40"/>
        <v>0</v>
      </c>
      <c r="AB31" s="291">
        <f t="shared" si="40"/>
        <v>0</v>
      </c>
      <c r="AC31" s="291"/>
      <c r="AD31" s="291">
        <f t="shared" si="40"/>
        <v>152790.45266331249</v>
      </c>
      <c r="AE31" s="291">
        <f t="shared" si="40"/>
        <v>0</v>
      </c>
      <c r="AF31" s="291">
        <f t="shared" si="40"/>
        <v>22635.62261678703</v>
      </c>
      <c r="AG31" s="291">
        <f t="shared" si="40"/>
        <v>0</v>
      </c>
      <c r="AH31" s="291">
        <f t="shared" si="40"/>
        <v>175426.0752800995</v>
      </c>
      <c r="AI31" s="291">
        <f t="shared" si="40"/>
        <v>0</v>
      </c>
      <c r="AJ31" s="291">
        <f t="shared" si="40"/>
        <v>53855.805110990543</v>
      </c>
      <c r="AK31" s="291">
        <f t="shared" si="40"/>
        <v>0</v>
      </c>
      <c r="AL31" s="291">
        <f t="shared" si="40"/>
        <v>229281.88039109006</v>
      </c>
      <c r="AM31" s="291">
        <f t="shared" si="40"/>
        <v>0</v>
      </c>
      <c r="AN31" s="292"/>
      <c r="AO31" s="292"/>
      <c r="AP31" s="292">
        <f t="shared" si="40"/>
        <v>17.639999999999993</v>
      </c>
      <c r="AQ31" s="291"/>
      <c r="AR31" s="291"/>
      <c r="AS31" s="291">
        <f t="shared" si="40"/>
        <v>168627.31199999998</v>
      </c>
      <c r="AT31" s="291"/>
      <c r="AU31" s="291">
        <f t="shared" si="40"/>
        <v>0</v>
      </c>
      <c r="AV31" s="291"/>
      <c r="AW31" s="291">
        <f t="shared" si="40"/>
        <v>0</v>
      </c>
      <c r="AX31" s="291"/>
      <c r="AY31" s="291">
        <f t="shared" si="40"/>
        <v>0</v>
      </c>
      <c r="AZ31" s="291"/>
      <c r="BA31" s="291">
        <f t="shared" si="40"/>
        <v>0</v>
      </c>
      <c r="BB31" s="291"/>
      <c r="BC31" s="290">
        <f>SUM(BC29:BC30)</f>
        <v>1670.1877070298124</v>
      </c>
      <c r="BD31" s="268"/>
      <c r="BE31" s="290">
        <f>SUM(BE29:BE30)</f>
        <v>2888.9215404830984</v>
      </c>
      <c r="BF31" s="291"/>
      <c r="BG31" s="291">
        <f t="shared" ref="BG31:BI31" si="41">SUM(BG29:BG30)</f>
        <v>22480.276273336716</v>
      </c>
      <c r="BH31" s="291"/>
      <c r="BI31" s="291">
        <f t="shared" si="41"/>
        <v>3792.1825266915084</v>
      </c>
      <c r="BJ31" s="291"/>
      <c r="BK31" s="291">
        <f t="shared" ref="BK31:BQ31" si="42">SUM(BK29:BK30)</f>
        <v>1309.5306566992258</v>
      </c>
      <c r="BL31" s="291">
        <f t="shared" si="42"/>
        <v>18054.559921319495</v>
      </c>
      <c r="BM31" s="291">
        <f t="shared" si="42"/>
        <v>448104.85101664986</v>
      </c>
      <c r="BN31" s="291"/>
      <c r="BO31" s="291"/>
      <c r="BP31" s="291"/>
      <c r="BQ31" s="291">
        <f t="shared" si="42"/>
        <v>227.275600505689</v>
      </c>
    </row>
    <row r="32" spans="1:70" s="301" customFormat="1" x14ac:dyDescent="0.2">
      <c r="A32" s="430"/>
      <c r="B32" s="511" t="s">
        <v>72</v>
      </c>
      <c r="C32" s="511"/>
      <c r="D32" s="511"/>
      <c r="E32" s="511"/>
      <c r="F32" s="429"/>
      <c r="G32" s="302"/>
      <c r="H32" s="303"/>
      <c r="I32" s="303"/>
      <c r="J32" s="302"/>
      <c r="K32" s="302"/>
      <c r="L32" s="305"/>
      <c r="M32" s="305"/>
      <c r="N32" s="305"/>
      <c r="O32" s="305"/>
      <c r="P32" s="305"/>
      <c r="Q32" s="305"/>
      <c r="R32" s="306"/>
      <c r="S32" s="305"/>
      <c r="T32" s="306"/>
      <c r="U32" s="307">
        <v>0</v>
      </c>
      <c r="V32" s="307">
        <v>0</v>
      </c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8"/>
      <c r="AO32" s="308"/>
      <c r="AP32" s="308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268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</row>
    <row r="33" spans="1:69" x14ac:dyDescent="0.2">
      <c r="A33" s="225">
        <v>1</v>
      </c>
      <c r="B33" s="216" t="s">
        <v>554</v>
      </c>
      <c r="C33" s="249">
        <f>M33</f>
        <v>4.1335978835978837</v>
      </c>
      <c r="D33" s="219" t="s">
        <v>186</v>
      </c>
      <c r="E33" s="219" t="s">
        <v>131</v>
      </c>
      <c r="F33" s="223" t="s">
        <v>555</v>
      </c>
      <c r="G33" s="263">
        <f>SUM(G34:G37)</f>
        <v>150000</v>
      </c>
      <c r="H33" s="252">
        <v>43631</v>
      </c>
      <c r="I33" s="252">
        <v>43679</v>
      </c>
      <c r="J33" s="253">
        <f t="shared" ref="J33:J37" si="43">I33-H33</f>
        <v>48</v>
      </c>
      <c r="K33" s="254">
        <v>756</v>
      </c>
      <c r="L33" s="255">
        <f>G33/K33</f>
        <v>198.4126984126984</v>
      </c>
      <c r="M33" s="382">
        <f t="shared" ref="M33:M37" si="44">L33/J33</f>
        <v>4.1335978835978837</v>
      </c>
      <c r="N33" s="256"/>
      <c r="O33" s="255">
        <f>IF(M33=0,0,L33*$O$6)</f>
        <v>1584.8917164706638</v>
      </c>
      <c r="P33" s="255">
        <f>IF(N33=0,0,L33*$O$6)</f>
        <v>0</v>
      </c>
      <c r="Q33" s="256">
        <v>5</v>
      </c>
      <c r="R33" s="257">
        <f>IF(AND(O33&gt;0,Q33&gt;0),SUMIF('Исходные данные'!$C$14:$H$14,Q33,'Исходные данные'!$C$26:$H$26),IF(O33=0,0,IF(Q33=0,"РОТ")))</f>
        <v>219.30404460212878</v>
      </c>
      <c r="S33" s="256"/>
      <c r="T33" s="257"/>
      <c r="U33" s="258">
        <f>O33*R33*'Исходные данные'!$C$40%</f>
        <v>0</v>
      </c>
      <c r="V33" s="258">
        <f>P33*S33*'Исходные данные'!$C$40%</f>
        <v>0</v>
      </c>
      <c r="W33" s="258">
        <f>O33*R33*$W$6</f>
        <v>0</v>
      </c>
      <c r="X33" s="259">
        <f>P33*T33*$W$6</f>
        <v>0</v>
      </c>
      <c r="Y33" s="258">
        <f>(O33*R33+U33+W33)*$Y$6</f>
        <v>34757.316367842686</v>
      </c>
      <c r="Z33" s="259">
        <f>(P33*T33+V33+X33)*$Z$6</f>
        <v>0</v>
      </c>
      <c r="AA33" s="258">
        <f>(O33*R33+U33)*$AA$6</f>
        <v>0</v>
      </c>
      <c r="AB33" s="259">
        <f>(P33*T33+V33)*$AA$6</f>
        <v>0</v>
      </c>
      <c r="AC33" s="259">
        <v>2.5</v>
      </c>
      <c r="AD33" s="258">
        <f>(O33*R33+U33+W33+Y33+AA33)*AC33</f>
        <v>955826.20011567383</v>
      </c>
      <c r="AE33" s="258">
        <f>(P33*T33+V33+X33+Z33+AB33)*AC33</f>
        <v>0</v>
      </c>
      <c r="AF33" s="255">
        <f t="shared" ref="AF33:AG37" si="45">AD33*$AF$6</f>
        <v>141603.88149861831</v>
      </c>
      <c r="AG33" s="256">
        <f t="shared" si="45"/>
        <v>0</v>
      </c>
      <c r="AH33" s="255">
        <f t="shared" ref="AH33:AI37" si="46">AD33+AF33</f>
        <v>1097430.0816142922</v>
      </c>
      <c r="AI33" s="255">
        <f t="shared" si="46"/>
        <v>0</v>
      </c>
      <c r="AJ33" s="255">
        <f t="shared" ref="AJ33:AK37" si="47">AH33*$AJ$6</f>
        <v>336911.03505558771</v>
      </c>
      <c r="AK33" s="256">
        <f t="shared" si="47"/>
        <v>0</v>
      </c>
      <c r="AL33" s="255">
        <f>AH33+AJ33</f>
        <v>1434341.11666988</v>
      </c>
      <c r="AM33" s="256">
        <f>AK33+AI33</f>
        <v>0</v>
      </c>
      <c r="AN33" s="260">
        <v>0.185</v>
      </c>
      <c r="AO33" s="261">
        <f>'Исходные данные'!$C$59</f>
        <v>0.84</v>
      </c>
      <c r="AP33" s="261">
        <f>(G33*AN33)*AO33/100</f>
        <v>233.1</v>
      </c>
      <c r="AQ33" s="262" t="s">
        <v>153</v>
      </c>
      <c r="AR33" s="255">
        <f>AR11</f>
        <v>9573.3714285714286</v>
      </c>
      <c r="AS33" s="255">
        <f>AP33*AR33</f>
        <v>2231552.88</v>
      </c>
      <c r="AT33" s="256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f>аморт!G90</f>
        <v>29.328248977777776</v>
      </c>
      <c r="BE33" s="255">
        <f t="shared" ref="BE33:BE37" si="48">BD33*J33*$O$6</f>
        <v>11244.949357050471</v>
      </c>
      <c r="BF33" s="255"/>
      <c r="BG33" s="255"/>
      <c r="BH33" s="255"/>
      <c r="BI33" s="255"/>
      <c r="BJ33" s="255"/>
      <c r="BK33" s="255"/>
      <c r="BL33" s="255">
        <f>аморт!$C$90*10%/аморт!$F$90*L33*O6</f>
        <v>41875.764741864157</v>
      </c>
      <c r="BM33" s="255">
        <f>AL33+AM33+AS33+AW33+BA33+BC33+BE33+BG33+BI33+BK33+BL33</f>
        <v>3719014.7107687946</v>
      </c>
      <c r="BN33" s="255">
        <f>BM33/$D$2</f>
        <v>37190.147107687946</v>
      </c>
      <c r="BO33" s="255">
        <f>(O33+P33)/$D$2</f>
        <v>15.848917164706638</v>
      </c>
      <c r="BP33" s="255"/>
      <c r="BQ33" s="256"/>
    </row>
    <row r="34" spans="1:69" x14ac:dyDescent="0.2">
      <c r="A34" s="431">
        <f>A33+1</f>
        <v>2</v>
      </c>
      <c r="B34" s="216" t="s">
        <v>556</v>
      </c>
      <c r="C34" s="249">
        <f>M34</f>
        <v>22.045855379188712</v>
      </c>
      <c r="D34" s="250" t="s">
        <v>532</v>
      </c>
      <c r="E34" s="219" t="s">
        <v>132</v>
      </c>
      <c r="F34" s="223" t="s">
        <v>555</v>
      </c>
      <c r="G34" s="263">
        <f>D2*Нормы!C36</f>
        <v>25000</v>
      </c>
      <c r="H34" s="252">
        <v>43631</v>
      </c>
      <c r="I34" s="252">
        <v>43632</v>
      </c>
      <c r="J34" s="253">
        <f t="shared" si="43"/>
        <v>1</v>
      </c>
      <c r="K34" s="254">
        <v>1134</v>
      </c>
      <c r="L34" s="271">
        <f>G34/K34</f>
        <v>22.045855379188712</v>
      </c>
      <c r="M34" s="382">
        <f t="shared" si="44"/>
        <v>22.045855379188712</v>
      </c>
      <c r="N34" s="256"/>
      <c r="O34" s="255">
        <f>IF(M34=0,0,L34*$O$6)</f>
        <v>176.09907960785154</v>
      </c>
      <c r="P34" s="255">
        <f>IF(N34=0,0,L34*$O$6)</f>
        <v>0</v>
      </c>
      <c r="Q34" s="256">
        <v>5</v>
      </c>
      <c r="R34" s="257">
        <f>IF(AND(O34&gt;0,Q34&gt;0),SUMIF('Исходные данные'!$C$14:$H$14,Q34,'Исходные данные'!$C$26:$H$26),IF(O34=0,0,IF(Q34=0,"РОТ")))</f>
        <v>219.30404460212878</v>
      </c>
      <c r="S34" s="256"/>
      <c r="T34" s="257"/>
      <c r="U34" s="258">
        <f>O34*R34*'Исходные данные'!$C$40%</f>
        <v>0</v>
      </c>
      <c r="V34" s="258">
        <f>P34*S34*'Исходные данные'!$C$40%</f>
        <v>0</v>
      </c>
      <c r="W34" s="258">
        <f>O34*R34*$W$6</f>
        <v>0</v>
      </c>
      <c r="X34" s="259">
        <f>P34*T34*$W$6</f>
        <v>0</v>
      </c>
      <c r="Y34" s="258">
        <f>(O34*R34+U34+W34)*$Y$6</f>
        <v>3861.9240408714104</v>
      </c>
      <c r="Z34" s="259">
        <f>(P34*T34+V34+X34)*$Z$6</f>
        <v>0</v>
      </c>
      <c r="AA34" s="258">
        <f>(O34*R34+U34)*$AA$6</f>
        <v>0</v>
      </c>
      <c r="AB34" s="259">
        <f>(P34*T34+V34)*$AA$6</f>
        <v>0</v>
      </c>
      <c r="AC34" s="259">
        <v>2.5</v>
      </c>
      <c r="AD34" s="258">
        <f>(O34*R34+U34+W34+Y34+AA34)*AC34</f>
        <v>106202.91112396379</v>
      </c>
      <c r="AE34" s="258">
        <f>(P34*T34+V34+X34+Z34+AB34)*AC34</f>
        <v>0</v>
      </c>
      <c r="AF34" s="255">
        <f t="shared" si="45"/>
        <v>15733.764610957594</v>
      </c>
      <c r="AG34" s="256">
        <f t="shared" si="45"/>
        <v>0</v>
      </c>
      <c r="AH34" s="255">
        <f t="shared" si="46"/>
        <v>121936.67573492139</v>
      </c>
      <c r="AI34" s="255">
        <f t="shared" si="46"/>
        <v>0</v>
      </c>
      <c r="AJ34" s="255">
        <f t="shared" si="47"/>
        <v>37434.559450620865</v>
      </c>
      <c r="AK34" s="256">
        <f t="shared" si="47"/>
        <v>0</v>
      </c>
      <c r="AL34" s="255">
        <f>AH34+AJ34</f>
        <v>159371.23518554226</v>
      </c>
      <c r="AM34" s="256">
        <f>AK34+AI34</f>
        <v>0</v>
      </c>
      <c r="AN34" s="260">
        <v>0.11619047619047621</v>
      </c>
      <c r="AO34" s="261">
        <f>'Исходные данные'!$C$59</f>
        <v>0.84</v>
      </c>
      <c r="AP34" s="261">
        <f>(G34*AN34)*AO34/100</f>
        <v>24.4</v>
      </c>
      <c r="AQ34" s="262" t="s">
        <v>153</v>
      </c>
      <c r="AR34" s="255">
        <f>AR$11</f>
        <v>9573.3714285714286</v>
      </c>
      <c r="AS34" s="255">
        <f>AP34*AR34</f>
        <v>233590.26285714284</v>
      </c>
      <c r="AT34" s="256"/>
      <c r="AU34" s="255"/>
      <c r="AV34" s="255"/>
      <c r="AW34" s="255"/>
      <c r="AX34" s="255"/>
      <c r="AY34" s="255"/>
      <c r="AZ34" s="255"/>
      <c r="BA34" s="255"/>
      <c r="BB34" s="255">
        <f>аморт!$G$12</f>
        <v>61.781971818181816</v>
      </c>
      <c r="BC34" s="255">
        <f t="shared" ref="BC34:BC37" si="49">BB34*J34*$O$6</f>
        <v>493.50538622377621</v>
      </c>
      <c r="BD34" s="255">
        <f>аморт!$G$44</f>
        <v>14.767357037037037</v>
      </c>
      <c r="BE34" s="255">
        <f t="shared" si="48"/>
        <v>117.95949568451042</v>
      </c>
      <c r="BF34" s="255">
        <f>'Исходные данные'!$C$88</f>
        <v>101.43277978079999</v>
      </c>
      <c r="BG34" s="255">
        <f>BF34*BQ34</f>
        <v>25939.599767576718</v>
      </c>
      <c r="BH34" s="255">
        <f>'Исходные данные'!$C$93</f>
        <v>11.283646508159999</v>
      </c>
      <c r="BI34" s="255">
        <f>BH34*BQ34</f>
        <v>2885.5886131978832</v>
      </c>
      <c r="BJ34" s="255">
        <f>'Исходные данные'!$C$98</f>
        <v>8.0425991068799991</v>
      </c>
      <c r="BK34" s="255">
        <f>BJ34*BQ34</f>
        <v>2056.7493306835977</v>
      </c>
      <c r="BL34" s="255">
        <f>аморт!$C$44*10%/аморт!$F$44*L34*O6</f>
        <v>2600.5179824627517</v>
      </c>
      <c r="BM34" s="255">
        <f>AL34+AM34+AS34+AW34+BA34+BC34+BE34+BG34+BI34+BK34+BL34</f>
        <v>427055.41861851444</v>
      </c>
      <c r="BN34" s="255">
        <f>BM34/$D$2</f>
        <v>4270.5541861851443</v>
      </c>
      <c r="BO34" s="255">
        <f>(O34+P34)/$D$2</f>
        <v>1.7609907960785154</v>
      </c>
      <c r="BP34" s="255">
        <f>'Исходные данные'!$B$112</f>
        <v>11.6</v>
      </c>
      <c r="BQ34" s="256">
        <f>BP34*L34</f>
        <v>255.73192239858906</v>
      </c>
    </row>
    <row r="35" spans="1:69" x14ac:dyDescent="0.2">
      <c r="A35" s="431">
        <f>A34+1</f>
        <v>3</v>
      </c>
      <c r="B35" s="216" t="s">
        <v>557</v>
      </c>
      <c r="C35" s="249">
        <f>M35</f>
        <v>5.2910052910052912</v>
      </c>
      <c r="D35" s="250" t="s">
        <v>532</v>
      </c>
      <c r="E35" s="219" t="s">
        <v>132</v>
      </c>
      <c r="F35" s="223" t="s">
        <v>555</v>
      </c>
      <c r="G35" s="263">
        <f>D2*Нормы!C37</f>
        <v>30000</v>
      </c>
      <c r="H35" s="252">
        <v>43638</v>
      </c>
      <c r="I35" s="252">
        <v>43643</v>
      </c>
      <c r="J35" s="253">
        <f t="shared" si="43"/>
        <v>5</v>
      </c>
      <c r="K35" s="254">
        <v>1134</v>
      </c>
      <c r="L35" s="271">
        <f>G35/K35</f>
        <v>26.455026455026456</v>
      </c>
      <c r="M35" s="382">
        <f t="shared" si="44"/>
        <v>5.2910052910052912</v>
      </c>
      <c r="N35" s="256"/>
      <c r="O35" s="255">
        <f>IF(M35=0,0,L35*$O$6)</f>
        <v>211.31889552942184</v>
      </c>
      <c r="P35" s="255">
        <f>IF(N35=0,0,L35*$O$6)</f>
        <v>0</v>
      </c>
      <c r="Q35" s="256">
        <v>5</v>
      </c>
      <c r="R35" s="257">
        <f>IF(AND(O35&gt;0,Q35&gt;0),SUMIF('Исходные данные'!$C$14:$H$14,Q35,'Исходные данные'!$C$26:$H$26),IF(O35=0,0,IF(Q35=0,"РОТ")))</f>
        <v>219.30404460212878</v>
      </c>
      <c r="S35" s="256"/>
      <c r="T35" s="257"/>
      <c r="U35" s="258">
        <f>O35*R35*'Исходные данные'!$C$40%</f>
        <v>0</v>
      </c>
      <c r="V35" s="258">
        <f>P35*S35*'Исходные данные'!$C$40%</f>
        <v>0</v>
      </c>
      <c r="W35" s="258">
        <f>O35*R35*$W$6</f>
        <v>0</v>
      </c>
      <c r="X35" s="259">
        <f>P35*T35*$W$6</f>
        <v>0</v>
      </c>
      <c r="Y35" s="258">
        <f>(O35*R35+U35+W35)*$Y$6</f>
        <v>4634.3088490456921</v>
      </c>
      <c r="Z35" s="259">
        <f>(P35*T35+V35+X35)*$Z$6</f>
        <v>0</v>
      </c>
      <c r="AA35" s="258">
        <f>(O35*R35+U35)*$AA$6</f>
        <v>0</v>
      </c>
      <c r="AB35" s="259">
        <f>(P35*T35+V35)*$AA$6</f>
        <v>0</v>
      </c>
      <c r="AC35" s="259">
        <v>2.5</v>
      </c>
      <c r="AD35" s="258">
        <f>(O35*R35+U35+W35+Y35+AA35)*AC35</f>
        <v>127443.49334875653</v>
      </c>
      <c r="AE35" s="258">
        <f>(P35*T35+V35+X35+Z35+AB35)*AC35</f>
        <v>0</v>
      </c>
      <c r="AF35" s="255">
        <f t="shared" si="45"/>
        <v>18880.517533149112</v>
      </c>
      <c r="AG35" s="256">
        <f t="shared" si="45"/>
        <v>0</v>
      </c>
      <c r="AH35" s="255">
        <f t="shared" si="46"/>
        <v>146324.01088190565</v>
      </c>
      <c r="AI35" s="255">
        <f t="shared" si="46"/>
        <v>0</v>
      </c>
      <c r="AJ35" s="255">
        <f t="shared" si="47"/>
        <v>44921.471340745033</v>
      </c>
      <c r="AK35" s="256">
        <f t="shared" si="47"/>
        <v>0</v>
      </c>
      <c r="AL35" s="255">
        <f>AH35+AJ35</f>
        <v>191245.48222265067</v>
      </c>
      <c r="AM35" s="256">
        <f>AK35+AI35</f>
        <v>0</v>
      </c>
      <c r="AN35" s="260">
        <v>0.11619047619047621</v>
      </c>
      <c r="AO35" s="261">
        <f>'Исходные данные'!$C$59</f>
        <v>0.84</v>
      </c>
      <c r="AP35" s="261">
        <f>(G35*AN35)*AO35/100</f>
        <v>29.280000000000005</v>
      </c>
      <c r="AQ35" s="262" t="s">
        <v>153</v>
      </c>
      <c r="AR35" s="255">
        <f>AR$11</f>
        <v>9573.3714285714286</v>
      </c>
      <c r="AS35" s="255">
        <f>AP35*AR35</f>
        <v>280308.31542857148</v>
      </c>
      <c r="AT35" s="256"/>
      <c r="AU35" s="255"/>
      <c r="AV35" s="255"/>
      <c r="AW35" s="255"/>
      <c r="AX35" s="255"/>
      <c r="AY35" s="255"/>
      <c r="AZ35" s="255"/>
      <c r="BA35" s="255"/>
      <c r="BB35" s="255">
        <f>аморт!$G$12</f>
        <v>61.781971818181816</v>
      </c>
      <c r="BC35" s="255">
        <f t="shared" si="49"/>
        <v>2467.5269311188813</v>
      </c>
      <c r="BD35" s="255">
        <f>аморт!$G$44</f>
        <v>14.767357037037037</v>
      </c>
      <c r="BE35" s="255">
        <f t="shared" si="48"/>
        <v>589.79747842255222</v>
      </c>
      <c r="BF35" s="255">
        <f>'Исходные данные'!$C$88</f>
        <v>101.43277978079999</v>
      </c>
      <c r="BG35" s="255">
        <f>BF35*BQ35</f>
        <v>31127.51972109206</v>
      </c>
      <c r="BH35" s="255">
        <f>'Исходные данные'!$C$93</f>
        <v>11.283646508159999</v>
      </c>
      <c r="BI35" s="255">
        <f>BH35*BQ35</f>
        <v>3462.7063358374598</v>
      </c>
      <c r="BJ35" s="255">
        <f>'Исходные данные'!$C$98</f>
        <v>8.0425991068799991</v>
      </c>
      <c r="BK35" s="255">
        <f>BJ35*BQ35</f>
        <v>2468.099196820317</v>
      </c>
      <c r="BL35" s="255">
        <f>аморт!$C$44*10%/аморт!$F$44*L35*O6</f>
        <v>3120.6215789553021</v>
      </c>
      <c r="BM35" s="255">
        <f>AL35+AM35+AS35+AW35+BA35+BC35+BE35+BG35+BI35+BK35+BL35</f>
        <v>514790.06889346882</v>
      </c>
      <c r="BN35" s="255">
        <f>BM35/$D$2</f>
        <v>5147.9006889346883</v>
      </c>
      <c r="BO35" s="255">
        <f>(O35+P35)/$D$2</f>
        <v>2.1131889552942185</v>
      </c>
      <c r="BP35" s="255">
        <f>'Исходные данные'!$B$112</f>
        <v>11.6</v>
      </c>
      <c r="BQ35" s="256">
        <f>BP35*L35</f>
        <v>306.87830687830689</v>
      </c>
    </row>
    <row r="36" spans="1:69" x14ac:dyDescent="0.2">
      <c r="A36" s="431">
        <f>A35+1</f>
        <v>4</v>
      </c>
      <c r="B36" s="216" t="s">
        <v>74</v>
      </c>
      <c r="C36" s="249">
        <f>M36</f>
        <v>2.4691358024691357</v>
      </c>
      <c r="D36" s="250" t="s">
        <v>532</v>
      </c>
      <c r="E36" s="219" t="s">
        <v>132</v>
      </c>
      <c r="F36" s="223" t="s">
        <v>555</v>
      </c>
      <c r="G36" s="263">
        <f>D2*Нормы!B38*Нормы!C38</f>
        <v>70000</v>
      </c>
      <c r="H36" s="252">
        <v>43651</v>
      </c>
      <c r="I36" s="252">
        <v>43676</v>
      </c>
      <c r="J36" s="253">
        <f t="shared" si="43"/>
        <v>25</v>
      </c>
      <c r="K36" s="254">
        <v>1134</v>
      </c>
      <c r="L36" s="255">
        <f>G36/K36</f>
        <v>61.728395061728392</v>
      </c>
      <c r="M36" s="382">
        <f t="shared" si="44"/>
        <v>2.4691358024691357</v>
      </c>
      <c r="N36" s="256"/>
      <c r="O36" s="255">
        <f>IF(M36=0,0,L36*$O$6)</f>
        <v>493.07742290198428</v>
      </c>
      <c r="P36" s="255">
        <f>IF(N36=0,0,L36*$O$6)</f>
        <v>0</v>
      </c>
      <c r="Q36" s="256">
        <v>5</v>
      </c>
      <c r="R36" s="257">
        <f>IF(AND(O36&gt;0,Q36&gt;0),SUMIF('Исходные данные'!$C$14:$H$14,Q36,'Исходные данные'!$C$26:$H$26),IF(O36=0,0,IF(Q36=0,"РОТ")))</f>
        <v>219.30404460212878</v>
      </c>
      <c r="S36" s="256"/>
      <c r="T36" s="257"/>
      <c r="U36" s="258">
        <f>O36*R36*'Исходные данные'!$C$40%</f>
        <v>0</v>
      </c>
      <c r="V36" s="258">
        <f>P36*S36*'Исходные данные'!$C$40%</f>
        <v>0</v>
      </c>
      <c r="W36" s="258">
        <f>O36*R36*$W$6</f>
        <v>0</v>
      </c>
      <c r="X36" s="259">
        <f>P36*T36*$W$6</f>
        <v>0</v>
      </c>
      <c r="Y36" s="258">
        <f>(O36*R36+U36+W36)*$Y$6</f>
        <v>10813.387314439948</v>
      </c>
      <c r="Z36" s="259">
        <f>(P36*T36+V36+X36)*$Z$6</f>
        <v>0</v>
      </c>
      <c r="AA36" s="258">
        <f>(O36*R36+U36)*$AA$6</f>
        <v>0</v>
      </c>
      <c r="AB36" s="259">
        <f>(P36*T36+V36)*$AA$6</f>
        <v>0</v>
      </c>
      <c r="AC36" s="259">
        <v>2.5</v>
      </c>
      <c r="AD36" s="258">
        <f>(O36*R36+U36+W36+Y36+AA36)*AC36</f>
        <v>297368.15114709851</v>
      </c>
      <c r="AE36" s="258">
        <f>(P36*T36+V36+X36+Z36+AB36)*AC36</f>
        <v>0</v>
      </c>
      <c r="AF36" s="255">
        <f t="shared" si="45"/>
        <v>44054.540910681251</v>
      </c>
      <c r="AG36" s="256">
        <f t="shared" si="45"/>
        <v>0</v>
      </c>
      <c r="AH36" s="255">
        <f t="shared" si="46"/>
        <v>341422.69205777976</v>
      </c>
      <c r="AI36" s="255">
        <f t="shared" si="46"/>
        <v>0</v>
      </c>
      <c r="AJ36" s="255">
        <f t="shared" si="47"/>
        <v>104816.76646173839</v>
      </c>
      <c r="AK36" s="256">
        <f t="shared" si="47"/>
        <v>0</v>
      </c>
      <c r="AL36" s="255">
        <f>AH36+AJ36</f>
        <v>446239.45851951814</v>
      </c>
      <c r="AM36" s="256">
        <f>AK36+AI36</f>
        <v>0</v>
      </c>
      <c r="AN36" s="260">
        <v>0.11619047619047621</v>
      </c>
      <c r="AO36" s="261">
        <f>'Исходные данные'!$C$59</f>
        <v>0.84</v>
      </c>
      <c r="AP36" s="261">
        <f>(G36*AN36)*AO36/100</f>
        <v>68.319999999999993</v>
      </c>
      <c r="AQ36" s="262" t="s">
        <v>153</v>
      </c>
      <c r="AR36" s="255">
        <f>AR$11</f>
        <v>9573.3714285714286</v>
      </c>
      <c r="AS36" s="255">
        <f>AP36*AR36</f>
        <v>654052.73599999992</v>
      </c>
      <c r="AT36" s="256"/>
      <c r="AU36" s="255"/>
      <c r="AV36" s="255"/>
      <c r="AW36" s="255"/>
      <c r="AX36" s="255"/>
      <c r="AY36" s="255"/>
      <c r="AZ36" s="255"/>
      <c r="BA36" s="255"/>
      <c r="BB36" s="255">
        <f>аморт!$G$12</f>
        <v>61.781971818181816</v>
      </c>
      <c r="BC36" s="255">
        <f t="shared" si="49"/>
        <v>12337.634655594406</v>
      </c>
      <c r="BD36" s="255">
        <f>аморт!$G$44</f>
        <v>14.767357037037037</v>
      </c>
      <c r="BE36" s="255">
        <f t="shared" si="48"/>
        <v>2948.9873921127605</v>
      </c>
      <c r="BF36" s="255">
        <f>'Исходные данные'!$C$88</f>
        <v>101.43277978079999</v>
      </c>
      <c r="BG36" s="255">
        <f>BF36*BQ36</f>
        <v>72630.879349214796</v>
      </c>
      <c r="BH36" s="255">
        <f>'Исходные данные'!$C$93</f>
        <v>11.283646508159999</v>
      </c>
      <c r="BI36" s="255">
        <f>BH36*BQ36</f>
        <v>8079.6481169540721</v>
      </c>
      <c r="BJ36" s="255">
        <f>'Исходные данные'!$C$98</f>
        <v>8.0425991068799991</v>
      </c>
      <c r="BK36" s="255">
        <f>BJ36*BQ36</f>
        <v>5758.8981259140728</v>
      </c>
      <c r="BL36" s="255">
        <f>аморт!$C$44*10%/аморт!$F$44*L36*O6</f>
        <v>7281.4503508957041</v>
      </c>
      <c r="BM36" s="255">
        <f>AL36+AM36+AS36+AW36+BA36+BC36+BE36+BG36+BI36+BK36+BL36</f>
        <v>1209329.6925102039</v>
      </c>
      <c r="BN36" s="255">
        <f>BM36/$D$2</f>
        <v>12093.296925102039</v>
      </c>
      <c r="BO36" s="255">
        <f>(O36+P36)/$D$2</f>
        <v>4.9307742290198426</v>
      </c>
      <c r="BP36" s="255">
        <f>'Исходные данные'!$B$112</f>
        <v>11.6</v>
      </c>
      <c r="BQ36" s="256">
        <f>BP36*L36</f>
        <v>716.04938271604931</v>
      </c>
    </row>
    <row r="37" spans="1:69" x14ac:dyDescent="0.2">
      <c r="A37" s="431">
        <f>A36+1</f>
        <v>5</v>
      </c>
      <c r="B37" s="216" t="s">
        <v>558</v>
      </c>
      <c r="C37" s="249">
        <f>M37</f>
        <v>5.511463844797178</v>
      </c>
      <c r="D37" s="250" t="s">
        <v>532</v>
      </c>
      <c r="E37" s="219" t="s">
        <v>132</v>
      </c>
      <c r="F37" s="223" t="s">
        <v>555</v>
      </c>
      <c r="G37" s="263">
        <f>D2*Нормы!C39</f>
        <v>25000</v>
      </c>
      <c r="H37" s="252">
        <v>43678</v>
      </c>
      <c r="I37" s="252">
        <v>43682</v>
      </c>
      <c r="J37" s="253">
        <f t="shared" si="43"/>
        <v>4</v>
      </c>
      <c r="K37" s="254">
        <v>1134</v>
      </c>
      <c r="L37" s="271">
        <f>G37/K37</f>
        <v>22.045855379188712</v>
      </c>
      <c r="M37" s="382">
        <f t="shared" si="44"/>
        <v>5.511463844797178</v>
      </c>
      <c r="N37" s="256"/>
      <c r="O37" s="255">
        <f>IF(M37=0,0,L37*$O$6)</f>
        <v>176.09907960785154</v>
      </c>
      <c r="P37" s="255">
        <f>IF(N37=0,0,L37*$O$6)</f>
        <v>0</v>
      </c>
      <c r="Q37" s="256">
        <v>5</v>
      </c>
      <c r="R37" s="257">
        <f>IF(AND(O37&gt;0,Q37&gt;0),SUMIF('Исходные данные'!$C$14:$H$14,Q37,'Исходные данные'!$C$26:$H$26),IF(O37=0,0,IF(Q37=0,"РОТ")))</f>
        <v>219.30404460212878</v>
      </c>
      <c r="S37" s="256"/>
      <c r="T37" s="257"/>
      <c r="U37" s="258">
        <f>O37*R37*'Исходные данные'!$C$40%</f>
        <v>0</v>
      </c>
      <c r="V37" s="258">
        <f>P37*S37*'Исходные данные'!$C$40%</f>
        <v>0</v>
      </c>
      <c r="W37" s="258">
        <f>O37*R37*$W$6</f>
        <v>0</v>
      </c>
      <c r="X37" s="259">
        <f>P37*T37*$W$6</f>
        <v>0</v>
      </c>
      <c r="Y37" s="258">
        <f>(O37*R37+U37+W37)*$Y$6</f>
        <v>3861.9240408714104</v>
      </c>
      <c r="Z37" s="259">
        <f>(P37*T37+V37+X37)*$Z$6</f>
        <v>0</v>
      </c>
      <c r="AA37" s="258">
        <f>(O37*R37+U37)*$AA$6</f>
        <v>0</v>
      </c>
      <c r="AB37" s="259">
        <f>(P37*T37+V37)*$AA$6</f>
        <v>0</v>
      </c>
      <c r="AC37" s="259">
        <v>2.5</v>
      </c>
      <c r="AD37" s="258">
        <f>(O37*R37+U37+W37+Y37+AA37)*AC37</f>
        <v>106202.91112396379</v>
      </c>
      <c r="AE37" s="258">
        <f>(P37*T37+V37+X37+Z37+AB37)*AC37</f>
        <v>0</v>
      </c>
      <c r="AF37" s="255">
        <f t="shared" si="45"/>
        <v>15733.764610957594</v>
      </c>
      <c r="AG37" s="256">
        <f t="shared" si="45"/>
        <v>0</v>
      </c>
      <c r="AH37" s="255">
        <f t="shared" si="46"/>
        <v>121936.67573492139</v>
      </c>
      <c r="AI37" s="255">
        <f t="shared" si="46"/>
        <v>0</v>
      </c>
      <c r="AJ37" s="255">
        <f t="shared" si="47"/>
        <v>37434.559450620865</v>
      </c>
      <c r="AK37" s="256">
        <f t="shared" si="47"/>
        <v>0</v>
      </c>
      <c r="AL37" s="255">
        <f>AH37+AJ37</f>
        <v>159371.23518554226</v>
      </c>
      <c r="AM37" s="256">
        <f>AK37+AI37</f>
        <v>0</v>
      </c>
      <c r="AN37" s="260">
        <v>0.11619047619047621</v>
      </c>
      <c r="AO37" s="261">
        <f>'Исходные данные'!$C$59</f>
        <v>0.84</v>
      </c>
      <c r="AP37" s="261">
        <f>(G37*AN37)*AO37/100</f>
        <v>24.4</v>
      </c>
      <c r="AQ37" s="262" t="s">
        <v>153</v>
      </c>
      <c r="AR37" s="255">
        <f>AR$11</f>
        <v>9573.3714285714286</v>
      </c>
      <c r="AS37" s="255">
        <f>AP37*AR37</f>
        <v>233590.26285714284</v>
      </c>
      <c r="AT37" s="256"/>
      <c r="AU37" s="255"/>
      <c r="AV37" s="255"/>
      <c r="AW37" s="255"/>
      <c r="AX37" s="255"/>
      <c r="AY37" s="255"/>
      <c r="AZ37" s="255"/>
      <c r="BA37" s="255"/>
      <c r="BB37" s="255">
        <f>аморт!$G$12</f>
        <v>61.781971818181816</v>
      </c>
      <c r="BC37" s="255">
        <f t="shared" si="49"/>
        <v>1974.0215448951049</v>
      </c>
      <c r="BD37" s="255">
        <f>аморт!$G$44</f>
        <v>14.767357037037037</v>
      </c>
      <c r="BE37" s="255">
        <f t="shared" si="48"/>
        <v>471.83798273804166</v>
      </c>
      <c r="BF37" s="255">
        <f>'Исходные данные'!$C$88</f>
        <v>101.43277978079999</v>
      </c>
      <c r="BG37" s="255">
        <f>BF37*BQ37</f>
        <v>25939.599767576718</v>
      </c>
      <c r="BH37" s="255">
        <f>'Исходные данные'!$C$93</f>
        <v>11.283646508159999</v>
      </c>
      <c r="BI37" s="255">
        <f>BH37*BQ37</f>
        <v>2885.5886131978832</v>
      </c>
      <c r="BJ37" s="255">
        <f>'Исходные данные'!$C$98</f>
        <v>8.0425991068799991</v>
      </c>
      <c r="BK37" s="255">
        <f>BJ37*BQ37</f>
        <v>2056.7493306835977</v>
      </c>
      <c r="BL37" s="255">
        <f>аморт!$C$44*10%/аморт!$F$44*L37*O6</f>
        <v>2600.5179824627517</v>
      </c>
      <c r="BM37" s="255">
        <f>AL37+AM37+AS37+AW37+BA37+BC37+BE37+BG37+BI37+BK37+BL37</f>
        <v>428889.81326423923</v>
      </c>
      <c r="BN37" s="255">
        <f>BM37/$D$2</f>
        <v>4288.8981326423927</v>
      </c>
      <c r="BO37" s="255">
        <f>(O37+P37)/$D$2</f>
        <v>1.7609907960785154</v>
      </c>
      <c r="BP37" s="255">
        <f>'Исходные данные'!$B$112</f>
        <v>11.6</v>
      </c>
      <c r="BQ37" s="256">
        <f>BP37*L37</f>
        <v>255.73192239858906</v>
      </c>
    </row>
    <row r="38" spans="1:69" s="285" customFormat="1" x14ac:dyDescent="0.2">
      <c r="A38" s="273"/>
      <c r="B38" s="274" t="s">
        <v>21</v>
      </c>
      <c r="C38" s="274"/>
      <c r="D38" s="274"/>
      <c r="E38" s="274"/>
      <c r="F38" s="278"/>
      <c r="G38" s="279"/>
      <c r="H38" s="280"/>
      <c r="I38" s="280"/>
      <c r="J38" s="281">
        <f>SUM(J33:J37)</f>
        <v>83</v>
      </c>
      <c r="K38" s="281"/>
      <c r="L38" s="283">
        <f t="shared" ref="L38:BA38" si="50">SUM(L33:L37)</f>
        <v>330.68783068783068</v>
      </c>
      <c r="M38" s="283">
        <f t="shared" si="50"/>
        <v>39.451058201058196</v>
      </c>
      <c r="N38" s="283">
        <f t="shared" si="50"/>
        <v>0</v>
      </c>
      <c r="O38" s="283">
        <f t="shared" si="50"/>
        <v>2641.4861941177733</v>
      </c>
      <c r="P38" s="283">
        <f t="shared" si="50"/>
        <v>0</v>
      </c>
      <c r="Q38" s="283">
        <f t="shared" si="50"/>
        <v>25</v>
      </c>
      <c r="R38" s="283">
        <f t="shared" si="50"/>
        <v>1096.5202230106438</v>
      </c>
      <c r="S38" s="283">
        <f t="shared" si="50"/>
        <v>0</v>
      </c>
      <c r="T38" s="283">
        <f t="shared" si="50"/>
        <v>0</v>
      </c>
      <c r="U38" s="283">
        <f t="shared" si="50"/>
        <v>0</v>
      </c>
      <c r="V38" s="283">
        <f t="shared" si="50"/>
        <v>0</v>
      </c>
      <c r="W38" s="283">
        <f t="shared" si="50"/>
        <v>0</v>
      </c>
      <c r="X38" s="283">
        <f t="shared" si="50"/>
        <v>0</v>
      </c>
      <c r="Y38" s="283">
        <f t="shared" si="50"/>
        <v>57928.860613071149</v>
      </c>
      <c r="Z38" s="283">
        <f t="shared" si="50"/>
        <v>0</v>
      </c>
      <c r="AA38" s="283">
        <f t="shared" si="50"/>
        <v>0</v>
      </c>
      <c r="AB38" s="283">
        <f t="shared" si="50"/>
        <v>0</v>
      </c>
      <c r="AC38" s="283"/>
      <c r="AD38" s="283">
        <f t="shared" si="50"/>
        <v>1593043.6668594566</v>
      </c>
      <c r="AE38" s="283">
        <f t="shared" si="50"/>
        <v>0</v>
      </c>
      <c r="AF38" s="283">
        <f t="shared" si="50"/>
        <v>236006.46916436384</v>
      </c>
      <c r="AG38" s="283">
        <f t="shared" si="50"/>
        <v>0</v>
      </c>
      <c r="AH38" s="283">
        <f t="shared" si="50"/>
        <v>1829050.1360238204</v>
      </c>
      <c r="AI38" s="283">
        <f t="shared" si="50"/>
        <v>0</v>
      </c>
      <c r="AJ38" s="283">
        <f t="shared" si="50"/>
        <v>561518.39175931283</v>
      </c>
      <c r="AK38" s="283">
        <f t="shared" si="50"/>
        <v>0</v>
      </c>
      <c r="AL38" s="283">
        <f t="shared" si="50"/>
        <v>2390568.5277831331</v>
      </c>
      <c r="AM38" s="283">
        <f t="shared" si="50"/>
        <v>0</v>
      </c>
      <c r="AN38" s="284"/>
      <c r="AO38" s="284"/>
      <c r="AP38" s="284">
        <f t="shared" si="50"/>
        <v>379.5</v>
      </c>
      <c r="AQ38" s="283"/>
      <c r="AR38" s="283"/>
      <c r="AS38" s="283">
        <f t="shared" si="50"/>
        <v>3633094.4571428569</v>
      </c>
      <c r="AT38" s="283"/>
      <c r="AU38" s="283">
        <f t="shared" si="50"/>
        <v>0</v>
      </c>
      <c r="AV38" s="283"/>
      <c r="AW38" s="283">
        <f t="shared" si="50"/>
        <v>0</v>
      </c>
      <c r="AX38" s="283"/>
      <c r="AY38" s="283">
        <f t="shared" si="50"/>
        <v>0</v>
      </c>
      <c r="AZ38" s="283"/>
      <c r="BA38" s="283">
        <f t="shared" si="50"/>
        <v>0</v>
      </c>
      <c r="BB38" s="283"/>
      <c r="BC38" s="281">
        <f>SUM(BC33:BC37)</f>
        <v>17272.688517832168</v>
      </c>
      <c r="BD38" s="267"/>
      <c r="BE38" s="281">
        <f>SUM(BE33:BE37)</f>
        <v>15373.531706008334</v>
      </c>
      <c r="BF38" s="283"/>
      <c r="BG38" s="283">
        <f t="shared" ref="BG38:BI38" si="51">SUM(BG33:BG37)</f>
        <v>155637.59860546028</v>
      </c>
      <c r="BH38" s="283"/>
      <c r="BI38" s="283">
        <f t="shared" si="51"/>
        <v>17313.531679187297</v>
      </c>
      <c r="BJ38" s="283"/>
      <c r="BK38" s="283">
        <f t="shared" ref="BK38:BQ38" si="52">SUM(BK33:BK37)</f>
        <v>12340.495984101584</v>
      </c>
      <c r="BL38" s="283">
        <f t="shared" si="52"/>
        <v>57478.872636640663</v>
      </c>
      <c r="BM38" s="283">
        <f t="shared" si="52"/>
        <v>6299079.7040552218</v>
      </c>
      <c r="BN38" s="283"/>
      <c r="BO38" s="283"/>
      <c r="BP38" s="283"/>
      <c r="BQ38" s="283">
        <f t="shared" si="52"/>
        <v>1534.3915343915346</v>
      </c>
    </row>
    <row r="39" spans="1:69" s="319" customFormat="1" x14ac:dyDescent="0.2">
      <c r="A39" s="310"/>
      <c r="B39" s="511" t="s">
        <v>65</v>
      </c>
      <c r="C39" s="511"/>
      <c r="D39" s="511"/>
      <c r="E39" s="511"/>
      <c r="F39" s="311"/>
      <c r="G39" s="312"/>
      <c r="H39" s="313"/>
      <c r="I39" s="313"/>
      <c r="J39" s="312"/>
      <c r="K39" s="314"/>
      <c r="L39" s="315"/>
      <c r="M39" s="316"/>
      <c r="N39" s="316"/>
      <c r="O39" s="315"/>
      <c r="P39" s="315"/>
      <c r="Q39" s="316"/>
      <c r="R39" s="306"/>
      <c r="S39" s="316"/>
      <c r="T39" s="306"/>
      <c r="U39" s="307">
        <v>0</v>
      </c>
      <c r="V39" s="307">
        <v>0</v>
      </c>
      <c r="W39" s="315"/>
      <c r="X39" s="315"/>
      <c r="Y39" s="315"/>
      <c r="Z39" s="315"/>
      <c r="AA39" s="315"/>
      <c r="AB39" s="315"/>
      <c r="AC39" s="315"/>
      <c r="AD39" s="315"/>
      <c r="AE39" s="316"/>
      <c r="AF39" s="316"/>
      <c r="AG39" s="316"/>
      <c r="AH39" s="315"/>
      <c r="AI39" s="315"/>
      <c r="AJ39" s="315"/>
      <c r="AK39" s="315"/>
      <c r="AL39" s="315"/>
      <c r="AM39" s="315"/>
      <c r="AN39" s="317"/>
      <c r="AO39" s="317"/>
      <c r="AP39" s="318"/>
      <c r="AQ39" s="316"/>
      <c r="AR39" s="316"/>
      <c r="AS39" s="315"/>
      <c r="AT39" s="316"/>
      <c r="AU39" s="315"/>
      <c r="AV39" s="315"/>
      <c r="AW39" s="315"/>
      <c r="AX39" s="315"/>
      <c r="AY39" s="315"/>
      <c r="AZ39" s="315"/>
      <c r="BA39" s="315"/>
      <c r="BB39" s="315"/>
      <c r="BC39" s="315"/>
      <c r="BD39" s="25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6"/>
    </row>
    <row r="40" spans="1:69" x14ac:dyDescent="0.2">
      <c r="A40" s="431">
        <v>1</v>
      </c>
      <c r="B40" s="216" t="s">
        <v>559</v>
      </c>
      <c r="C40" s="249">
        <f t="shared" ref="C40:C47" si="53">M40</f>
        <v>4.0816326530612246</v>
      </c>
      <c r="D40" s="250" t="s">
        <v>105</v>
      </c>
      <c r="E40" s="208" t="s">
        <v>133</v>
      </c>
      <c r="F40" s="223" t="s">
        <v>106</v>
      </c>
      <c r="G40" s="263">
        <f>D2</f>
        <v>100</v>
      </c>
      <c r="H40" s="252">
        <v>43687</v>
      </c>
      <c r="I40" s="252">
        <v>43694</v>
      </c>
      <c r="J40" s="253">
        <f t="shared" ref="J40:J49" si="54">I40-H40</f>
        <v>7</v>
      </c>
      <c r="K40" s="254">
        <v>3.5</v>
      </c>
      <c r="L40" s="255">
        <f t="shared" ref="L40:L49" si="55">G40/K40</f>
        <v>28.571428571428573</v>
      </c>
      <c r="M40" s="382">
        <f t="shared" ref="M40:M47" si="56">L40/J40</f>
        <v>4.0816326530612246</v>
      </c>
      <c r="N40" s="256"/>
      <c r="O40" s="255">
        <f t="shared" ref="O40:O49" si="57">IF(M40=0,0,L40*$O$6)</f>
        <v>228.2244071717756</v>
      </c>
      <c r="P40" s="255">
        <f t="shared" ref="P40:P49" si="58">IF(N40=0,0,L40*$O$6)</f>
        <v>0</v>
      </c>
      <c r="Q40" s="256">
        <v>3</v>
      </c>
      <c r="R40" s="257">
        <f>IF(AND(O40&gt;0,Q40&gt;0),SUMIF('Исходные данные'!$C$14:$H$14,Q40,'Исходные данные'!$C$18:$H$18),IF(O40=0,0,IF(Q40=0,"РОТ")))</f>
        <v>138.29984794728838</v>
      </c>
      <c r="S40" s="256"/>
      <c r="T40" s="257"/>
      <c r="U40" s="258">
        <f>O40*R40*'Исходные данные'!$C$40%</f>
        <v>0</v>
      </c>
      <c r="V40" s="258">
        <f>P40*S40*'Исходные данные'!$C$40%</f>
        <v>0</v>
      </c>
      <c r="W40" s="258">
        <f t="shared" ref="W40:W49" si="59">O40*R40*$W$6</f>
        <v>0</v>
      </c>
      <c r="X40" s="259">
        <f t="shared" ref="X40:X49" si="60">P40*T40*$W$6</f>
        <v>0</v>
      </c>
      <c r="Y40" s="258">
        <f t="shared" ref="Y40:Y49" si="61">(O40*R40+U40+W40)*$Y$6</f>
        <v>3156.34008097166</v>
      </c>
      <c r="Z40" s="259">
        <f t="shared" ref="Z40:Z49" si="62">(P40*T40+V40+X40)*$Z$6</f>
        <v>0</v>
      </c>
      <c r="AA40" s="258">
        <f t="shared" ref="AA40:AA49" si="63">(O40*R40+U40)*$AA$6</f>
        <v>0</v>
      </c>
      <c r="AB40" s="259">
        <f t="shared" ref="AB40:AB49" si="64">(P40*T40+V40)*$AA$6</f>
        <v>0</v>
      </c>
      <c r="AC40" s="259">
        <v>2.5</v>
      </c>
      <c r="AD40" s="258">
        <f t="shared" ref="AD40:AD49" si="65">(O40*R40+U40+W40+Y40+AA40)*AC40</f>
        <v>86799.352226720643</v>
      </c>
      <c r="AE40" s="258">
        <f t="shared" ref="AE40:AE49" si="66">(P40*T40+V40+X40+Z40+AB40)*AC40</f>
        <v>0</v>
      </c>
      <c r="AF40" s="255">
        <f t="shared" ref="AF40:AG49" si="67">AD40*$AF$6</f>
        <v>12859.163292847499</v>
      </c>
      <c r="AG40" s="256">
        <f t="shared" si="67"/>
        <v>0</v>
      </c>
      <c r="AH40" s="255">
        <f t="shared" ref="AH40:AI49" si="68">AD40+AF40</f>
        <v>99658.515519568144</v>
      </c>
      <c r="AI40" s="255">
        <f t="shared" si="68"/>
        <v>0</v>
      </c>
      <c r="AJ40" s="255">
        <f t="shared" ref="AJ40:AK49" si="69">AH40*$AJ$6</f>
        <v>30595.164264507421</v>
      </c>
      <c r="AK40" s="256">
        <f t="shared" si="69"/>
        <v>0</v>
      </c>
      <c r="AL40" s="255">
        <f t="shared" ref="AL40:AL49" si="70">AH40+AJ40</f>
        <v>130253.67978407556</v>
      </c>
      <c r="AM40" s="256">
        <f t="shared" ref="AM40:AM49" si="71">AK40+AI40</f>
        <v>0</v>
      </c>
      <c r="AN40" s="260">
        <v>10.1</v>
      </c>
      <c r="AO40" s="261">
        <f>'Исходные данные'!$C$59</f>
        <v>0.84</v>
      </c>
      <c r="AP40" s="261">
        <f>(G40*AN40)*AO40/100</f>
        <v>8.484</v>
      </c>
      <c r="AQ40" s="262" t="s">
        <v>153</v>
      </c>
      <c r="AR40" s="255">
        <f>'Исходные данные'!$G$84</f>
        <v>9559.3714285714286</v>
      </c>
      <c r="AS40" s="255">
        <f>AP40*AR40</f>
        <v>81101.707200000004</v>
      </c>
      <c r="AT40" s="256"/>
      <c r="AU40" s="255"/>
      <c r="AV40" s="255"/>
      <c r="AW40" s="255"/>
      <c r="AX40" s="255"/>
      <c r="AY40" s="255"/>
      <c r="AZ40" s="255"/>
      <c r="BA40" s="255"/>
      <c r="BB40" s="255">
        <f>аморт!$G$10</f>
        <v>69.696969696969703</v>
      </c>
      <c r="BC40" s="255">
        <f t="shared" ref="BC40:BC41" si="72">BB40*J40*$O$6</f>
        <v>3897.104649736229</v>
      </c>
      <c r="BD40" s="255">
        <f>аморт!G49</f>
        <v>158.73015873015876</v>
      </c>
      <c r="BE40" s="255">
        <f t="shared" ref="BE40:BE47" si="73">BD40*J40*$O$6</f>
        <v>8875.393612235719</v>
      </c>
      <c r="BF40" s="255">
        <f>'Исходные данные'!$E$88</f>
        <v>98.911965135359992</v>
      </c>
      <c r="BG40" s="255">
        <f>BF40*BQ40</f>
        <v>14412.886348295315</v>
      </c>
      <c r="BH40" s="255">
        <f>'Исходные данные'!$E$93</f>
        <v>16.685392176959997</v>
      </c>
      <c r="BI40" s="255">
        <f>BH40*BQ40</f>
        <v>2431.3000029284567</v>
      </c>
      <c r="BJ40" s="255">
        <f>'Исходные данные'!$E$98</f>
        <v>5.7618620467199984</v>
      </c>
      <c r="BK40" s="255">
        <f>BJ40*BQ40</f>
        <v>839.58561252205698</v>
      </c>
      <c r="BL40" s="255">
        <f>аморт!$C$49*10%/аморт!$F$49*L40*O6</f>
        <v>25358.267463530625</v>
      </c>
      <c r="BM40" s="255">
        <f t="shared" ref="BM40:BM49" si="74">AL40+AM40+AS40+AW40+BA40+BC40+BE40+BG40+BI40+BK40+BL40</f>
        <v>267169.92467332399</v>
      </c>
      <c r="BN40" s="255">
        <f t="shared" ref="BN40:BN49" si="75">BM40/$D$2</f>
        <v>2671.6992467332398</v>
      </c>
      <c r="BO40" s="255">
        <f t="shared" ref="BO40:BO49" si="76">(O40+P40)/$D$2</f>
        <v>2.2822440717177561</v>
      </c>
      <c r="BP40" s="255">
        <f>'Исходные данные'!$B$108</f>
        <v>5.0999999999999996</v>
      </c>
      <c r="BQ40" s="256">
        <f>BP40*L40</f>
        <v>145.71428571428572</v>
      </c>
    </row>
    <row r="41" spans="1:69" x14ac:dyDescent="0.2">
      <c r="A41" s="431">
        <v>2</v>
      </c>
      <c r="B41" s="216" t="s">
        <v>560</v>
      </c>
      <c r="C41" s="249">
        <f t="shared" si="53"/>
        <v>2.9411764705882355</v>
      </c>
      <c r="D41" s="250" t="s">
        <v>105</v>
      </c>
      <c r="E41" s="208" t="s">
        <v>134</v>
      </c>
      <c r="F41" s="223" t="s">
        <v>106</v>
      </c>
      <c r="G41" s="263">
        <f>G40</f>
        <v>100</v>
      </c>
      <c r="H41" s="252">
        <v>43692</v>
      </c>
      <c r="I41" s="252">
        <v>43709</v>
      </c>
      <c r="J41" s="253">
        <f t="shared" si="54"/>
        <v>17</v>
      </c>
      <c r="K41" s="254">
        <v>2</v>
      </c>
      <c r="L41" s="255">
        <f t="shared" si="55"/>
        <v>50</v>
      </c>
      <c r="M41" s="382">
        <f t="shared" si="56"/>
        <v>2.9411764705882355</v>
      </c>
      <c r="N41" s="256"/>
      <c r="O41" s="255">
        <f t="shared" si="57"/>
        <v>399.39271255060731</v>
      </c>
      <c r="P41" s="255">
        <f t="shared" si="58"/>
        <v>0</v>
      </c>
      <c r="Q41" s="256">
        <v>4</v>
      </c>
      <c r="R41" s="257">
        <f>IF(AND(O41&gt;0,Q41&gt;0),SUMIF('Исходные данные'!$C$14:$H$14,Q41,'Исходные данные'!$C$18:$H$18),IF(O41=0,0,IF(Q41=0,"РОТ")))</f>
        <v>156.08125696908263</v>
      </c>
      <c r="S41" s="256"/>
      <c r="T41" s="257"/>
      <c r="U41" s="258">
        <f>O41*R41*'Исходные данные'!$C$40%</f>
        <v>0</v>
      </c>
      <c r="V41" s="258">
        <f>P41*S41*'Исходные данные'!$C$40%</f>
        <v>0</v>
      </c>
      <c r="W41" s="258">
        <f t="shared" si="59"/>
        <v>0</v>
      </c>
      <c r="X41" s="259">
        <f t="shared" si="60"/>
        <v>0</v>
      </c>
      <c r="Y41" s="258">
        <f t="shared" si="61"/>
        <v>6233.7716599190298</v>
      </c>
      <c r="Z41" s="259">
        <f t="shared" si="62"/>
        <v>0</v>
      </c>
      <c r="AA41" s="258">
        <f t="shared" si="63"/>
        <v>0</v>
      </c>
      <c r="AB41" s="259">
        <f t="shared" si="64"/>
        <v>0</v>
      </c>
      <c r="AC41" s="259">
        <v>2.5</v>
      </c>
      <c r="AD41" s="258">
        <f t="shared" si="65"/>
        <v>171428.7206477733</v>
      </c>
      <c r="AE41" s="258">
        <f t="shared" si="66"/>
        <v>0</v>
      </c>
      <c r="AF41" s="255">
        <f t="shared" si="67"/>
        <v>25396.847503373814</v>
      </c>
      <c r="AG41" s="256">
        <f t="shared" si="67"/>
        <v>0</v>
      </c>
      <c r="AH41" s="255">
        <f t="shared" si="68"/>
        <v>196825.5681511471</v>
      </c>
      <c r="AI41" s="255">
        <f t="shared" si="68"/>
        <v>0</v>
      </c>
      <c r="AJ41" s="255">
        <f t="shared" si="69"/>
        <v>60425.449422402162</v>
      </c>
      <c r="AK41" s="256">
        <f t="shared" si="69"/>
        <v>0</v>
      </c>
      <c r="AL41" s="255">
        <f t="shared" si="70"/>
        <v>257251.01757354927</v>
      </c>
      <c r="AM41" s="256">
        <f t="shared" si="71"/>
        <v>0</v>
      </c>
      <c r="AN41" s="260">
        <v>33.5</v>
      </c>
      <c r="AO41" s="261">
        <f>'Исходные данные'!$C$59</f>
        <v>0.84</v>
      </c>
      <c r="AP41" s="261">
        <f>(G41*AN41)*AO41/100</f>
        <v>28.14</v>
      </c>
      <c r="AQ41" s="262" t="s">
        <v>153</v>
      </c>
      <c r="AR41" s="255">
        <f>'Исходные данные'!$G$84</f>
        <v>9559.3714285714286</v>
      </c>
      <c r="AS41" s="255">
        <f>AP41*AR41</f>
        <v>269000.712</v>
      </c>
      <c r="AT41" s="256"/>
      <c r="AU41" s="255"/>
      <c r="AV41" s="255"/>
      <c r="AW41" s="255"/>
      <c r="AX41" s="255"/>
      <c r="AY41" s="255"/>
      <c r="AZ41" s="255"/>
      <c r="BA41" s="255"/>
      <c r="BB41" s="255">
        <f>аморт!$G$10</f>
        <v>69.696969696969703</v>
      </c>
      <c r="BC41" s="255">
        <f t="shared" si="72"/>
        <v>9464.3970065022713</v>
      </c>
      <c r="BD41" s="255">
        <f>аморт!$G$61</f>
        <v>50.979843750000001</v>
      </c>
      <c r="BE41" s="255">
        <f t="shared" si="73"/>
        <v>6922.7325474443323</v>
      </c>
      <c r="BF41" s="255">
        <f>'Исходные данные'!$E$88</f>
        <v>98.911965135359992</v>
      </c>
      <c r="BG41" s="255">
        <f>BF41*BQ41</f>
        <v>25222.551109516797</v>
      </c>
      <c r="BH41" s="255">
        <f>'Исходные данные'!$E$93</f>
        <v>16.685392176959997</v>
      </c>
      <c r="BI41" s="255">
        <f>BH41*BQ41</f>
        <v>4254.7750051247986</v>
      </c>
      <c r="BJ41" s="255">
        <f>'Исходные данные'!$E$98</f>
        <v>5.7618620467199984</v>
      </c>
      <c r="BK41" s="255">
        <f>BJ41*BQ41</f>
        <v>1469.2748219135995</v>
      </c>
      <c r="BL41" s="255">
        <f>аморт!$C$61*10%/аморт!$F$61*L41*O6</f>
        <v>16288.782464574901</v>
      </c>
      <c r="BM41" s="255">
        <f t="shared" si="74"/>
        <v>589874.24252862576</v>
      </c>
      <c r="BN41" s="255">
        <f t="shared" si="75"/>
        <v>5898.7424252862575</v>
      </c>
      <c r="BO41" s="255">
        <f t="shared" si="76"/>
        <v>3.9939271255060733</v>
      </c>
      <c r="BP41" s="255">
        <f>'Исходные данные'!$B$108</f>
        <v>5.0999999999999996</v>
      </c>
      <c r="BQ41" s="256">
        <f>BP41*L41</f>
        <v>254.99999999999997</v>
      </c>
    </row>
    <row r="42" spans="1:69" ht="33.75" x14ac:dyDescent="0.2">
      <c r="A42" s="431">
        <v>3</v>
      </c>
      <c r="B42" s="216" t="s">
        <v>561</v>
      </c>
      <c r="C42" s="249"/>
      <c r="D42" s="508" t="s">
        <v>118</v>
      </c>
      <c r="E42" s="509"/>
      <c r="F42" s="223" t="s">
        <v>535</v>
      </c>
      <c r="G42" s="263">
        <f>M2/10</f>
        <v>1000</v>
      </c>
      <c r="H42" s="252">
        <v>43709</v>
      </c>
      <c r="I42" s="252">
        <v>43718</v>
      </c>
      <c r="J42" s="253">
        <f t="shared" si="54"/>
        <v>9</v>
      </c>
      <c r="K42" s="254">
        <v>0.65</v>
      </c>
      <c r="L42" s="255">
        <f t="shared" si="55"/>
        <v>1538.4615384615383</v>
      </c>
      <c r="M42" s="382"/>
      <c r="N42" s="382">
        <f>L42/J42</f>
        <v>170.94017094017093</v>
      </c>
      <c r="O42" s="255">
        <f t="shared" si="57"/>
        <v>0</v>
      </c>
      <c r="P42" s="255">
        <f t="shared" si="58"/>
        <v>12289.006540018685</v>
      </c>
      <c r="Q42" s="256"/>
      <c r="R42" s="257"/>
      <c r="S42" s="256">
        <v>3</v>
      </c>
      <c r="T42" s="257">
        <f>IF(AND(P42&gt;0,S42&gt;0),SUMIF('Исходные данные'!$C$14:$H$14,S42,'Исходные данные'!$C$34:$H$34),IF(P42=0,0,IF(S42=0,"РОТ")))</f>
        <v>113.60344652812975</v>
      </c>
      <c r="U42" s="258">
        <f>O42*R42*'Исходные данные'!$C$40%</f>
        <v>0</v>
      </c>
      <c r="V42" s="258">
        <f>P42*S42*'Исходные данные'!$C$40%</f>
        <v>0</v>
      </c>
      <c r="W42" s="258">
        <f t="shared" si="59"/>
        <v>0</v>
      </c>
      <c r="X42" s="259">
        <f t="shared" si="60"/>
        <v>0</v>
      </c>
      <c r="Y42" s="258">
        <f t="shared" si="61"/>
        <v>0</v>
      </c>
      <c r="Z42" s="259">
        <f t="shared" si="62"/>
        <v>69803.674867642476</v>
      </c>
      <c r="AA42" s="258">
        <f t="shared" si="63"/>
        <v>0</v>
      </c>
      <c r="AB42" s="259">
        <f t="shared" si="64"/>
        <v>0</v>
      </c>
      <c r="AC42" s="259">
        <v>2.5</v>
      </c>
      <c r="AD42" s="258">
        <f t="shared" si="65"/>
        <v>0</v>
      </c>
      <c r="AE42" s="258">
        <f t="shared" si="66"/>
        <v>3664692.93055123</v>
      </c>
      <c r="AF42" s="255">
        <f t="shared" si="67"/>
        <v>0</v>
      </c>
      <c r="AG42" s="256">
        <f t="shared" si="67"/>
        <v>542917.47119277471</v>
      </c>
      <c r="AH42" s="255">
        <f t="shared" si="68"/>
        <v>0</v>
      </c>
      <c r="AI42" s="255">
        <f t="shared" si="68"/>
        <v>4207610.4017440043</v>
      </c>
      <c r="AJ42" s="255">
        <f t="shared" si="69"/>
        <v>0</v>
      </c>
      <c r="AK42" s="256">
        <f t="shared" si="69"/>
        <v>1291736.3933354092</v>
      </c>
      <c r="AL42" s="255">
        <f t="shared" si="70"/>
        <v>0</v>
      </c>
      <c r="AM42" s="256">
        <f t="shared" si="71"/>
        <v>5499346.7950794138</v>
      </c>
      <c r="AN42" s="260"/>
      <c r="AO42" s="260"/>
      <c r="AP42" s="261"/>
      <c r="AQ42" s="256"/>
      <c r="AR42" s="256"/>
      <c r="AS42" s="255"/>
      <c r="AT42" s="256"/>
      <c r="AU42" s="255"/>
      <c r="AV42" s="255"/>
      <c r="AW42" s="255"/>
      <c r="AX42" s="255"/>
      <c r="AY42" s="255"/>
      <c r="AZ42" s="255"/>
      <c r="BA42" s="255"/>
      <c r="BB42" s="255"/>
      <c r="BC42" s="255">
        <f t="shared" ref="BC42:BC49" si="77">BB42*J42</f>
        <v>0</v>
      </c>
      <c r="BD42" s="255"/>
      <c r="BE42" s="255">
        <f t="shared" si="73"/>
        <v>0</v>
      </c>
      <c r="BF42" s="255"/>
      <c r="BG42" s="255"/>
      <c r="BH42" s="255"/>
      <c r="BI42" s="255"/>
      <c r="BJ42" s="255"/>
      <c r="BK42" s="255"/>
      <c r="BL42" s="255"/>
      <c r="BM42" s="255">
        <f t="shared" si="74"/>
        <v>5499346.7950794138</v>
      </c>
      <c r="BN42" s="255">
        <f t="shared" si="75"/>
        <v>54993.46795079414</v>
      </c>
      <c r="BO42" s="255">
        <f t="shared" si="76"/>
        <v>122.89006540018686</v>
      </c>
      <c r="BP42" s="255"/>
      <c r="BQ42" s="256"/>
    </row>
    <row r="43" spans="1:69" x14ac:dyDescent="0.2">
      <c r="A43" s="431">
        <v>4</v>
      </c>
      <c r="B43" s="216" t="s">
        <v>562</v>
      </c>
      <c r="C43" s="249">
        <f t="shared" si="53"/>
        <v>3.3333333333333335</v>
      </c>
      <c r="D43" s="250" t="s">
        <v>105</v>
      </c>
      <c r="E43" s="208" t="s">
        <v>134</v>
      </c>
      <c r="F43" s="223" t="s">
        <v>106</v>
      </c>
      <c r="G43" s="263">
        <f>D2</f>
        <v>100</v>
      </c>
      <c r="H43" s="252">
        <v>43718</v>
      </c>
      <c r="I43" s="252">
        <v>43733</v>
      </c>
      <c r="J43" s="253">
        <f t="shared" si="54"/>
        <v>15</v>
      </c>
      <c r="K43" s="254">
        <v>2</v>
      </c>
      <c r="L43" s="255">
        <f t="shared" si="55"/>
        <v>50</v>
      </c>
      <c r="M43" s="382">
        <f t="shared" si="56"/>
        <v>3.3333333333333335</v>
      </c>
      <c r="N43" s="256"/>
      <c r="O43" s="255">
        <f t="shared" si="57"/>
        <v>399.39271255060731</v>
      </c>
      <c r="P43" s="255">
        <f t="shared" si="58"/>
        <v>0</v>
      </c>
      <c r="Q43" s="256">
        <v>4</v>
      </c>
      <c r="R43" s="257">
        <f>IF(AND(O43&gt;0,Q43&gt;0),SUMIF('Исходные данные'!$C$14:$H$14,Q43,'Исходные данные'!$C$18:$H$18),IF(O43=0,0,IF(Q43=0,"РОТ")))</f>
        <v>156.08125696908263</v>
      </c>
      <c r="S43" s="256"/>
      <c r="T43" s="257"/>
      <c r="U43" s="258">
        <f>O43*R43*'Исходные данные'!$C$40%</f>
        <v>0</v>
      </c>
      <c r="V43" s="258">
        <f>P43*S43*'Исходные данные'!$C$40%</f>
        <v>0</v>
      </c>
      <c r="W43" s="258">
        <f t="shared" si="59"/>
        <v>0</v>
      </c>
      <c r="X43" s="259">
        <f t="shared" si="60"/>
        <v>0</v>
      </c>
      <c r="Y43" s="258">
        <f t="shared" si="61"/>
        <v>6233.7716599190298</v>
      </c>
      <c r="Z43" s="259">
        <f t="shared" si="62"/>
        <v>0</v>
      </c>
      <c r="AA43" s="258">
        <f t="shared" si="63"/>
        <v>0</v>
      </c>
      <c r="AB43" s="259">
        <f t="shared" si="64"/>
        <v>0</v>
      </c>
      <c r="AC43" s="259">
        <v>2.5</v>
      </c>
      <c r="AD43" s="258">
        <f t="shared" si="65"/>
        <v>171428.7206477733</v>
      </c>
      <c r="AE43" s="258">
        <f t="shared" si="66"/>
        <v>0</v>
      </c>
      <c r="AF43" s="255">
        <f t="shared" si="67"/>
        <v>25396.847503373814</v>
      </c>
      <c r="AG43" s="256">
        <f t="shared" si="67"/>
        <v>0</v>
      </c>
      <c r="AH43" s="255">
        <f t="shared" si="68"/>
        <v>196825.5681511471</v>
      </c>
      <c r="AI43" s="255">
        <f t="shared" si="68"/>
        <v>0</v>
      </c>
      <c r="AJ43" s="255">
        <f t="shared" si="69"/>
        <v>60425.449422402162</v>
      </c>
      <c r="AK43" s="256">
        <f t="shared" si="69"/>
        <v>0</v>
      </c>
      <c r="AL43" s="255">
        <f t="shared" si="70"/>
        <v>257251.01757354927</v>
      </c>
      <c r="AM43" s="256">
        <f t="shared" si="71"/>
        <v>0</v>
      </c>
      <c r="AN43" s="260">
        <v>33.5</v>
      </c>
      <c r="AO43" s="261">
        <f>'Исходные данные'!$C$59</f>
        <v>0.84</v>
      </c>
      <c r="AP43" s="261">
        <f>(G43*AN43)*AO43/100</f>
        <v>28.14</v>
      </c>
      <c r="AQ43" s="262" t="s">
        <v>153</v>
      </c>
      <c r="AR43" s="255">
        <f>'Исходные данные'!$G$84</f>
        <v>9559.3714285714286</v>
      </c>
      <c r="AS43" s="255">
        <f>AP43*AR43</f>
        <v>269000.712</v>
      </c>
      <c r="AT43" s="256"/>
      <c r="AU43" s="255"/>
      <c r="AV43" s="255"/>
      <c r="AW43" s="255"/>
      <c r="AX43" s="255"/>
      <c r="AY43" s="255"/>
      <c r="AZ43" s="255"/>
      <c r="BA43" s="255"/>
      <c r="BB43" s="255">
        <f>аморт!$G$10</f>
        <v>69.696969696969703</v>
      </c>
      <c r="BC43" s="255">
        <f t="shared" ref="BC43" si="78">BB43*J43*$O$6</f>
        <v>8350.9385351490619</v>
      </c>
      <c r="BD43" s="255">
        <f>аморт!$G$61</f>
        <v>50.979843750000001</v>
      </c>
      <c r="BE43" s="255">
        <f t="shared" si="73"/>
        <v>6108.293424215587</v>
      </c>
      <c r="BF43" s="255">
        <f>'Исходные данные'!$E$88</f>
        <v>98.911965135359992</v>
      </c>
      <c r="BG43" s="255">
        <f>BF43*BQ43</f>
        <v>25222.551109516797</v>
      </c>
      <c r="BH43" s="255">
        <f>'Исходные данные'!$E$93</f>
        <v>16.685392176959997</v>
      </c>
      <c r="BI43" s="255">
        <f>BH43*BQ43</f>
        <v>4254.7750051247986</v>
      </c>
      <c r="BJ43" s="255">
        <f>'Исходные данные'!$E$98</f>
        <v>5.7618620467199984</v>
      </c>
      <c r="BK43" s="255">
        <f>BJ43*BQ43</f>
        <v>1469.2748219135995</v>
      </c>
      <c r="BL43" s="255">
        <f>аморт!$C$61*10%/аморт!$F$61*L43*O6</f>
        <v>16288.782464574901</v>
      </c>
      <c r="BM43" s="255">
        <f t="shared" si="74"/>
        <v>587946.34493404394</v>
      </c>
      <c r="BN43" s="255">
        <f t="shared" si="75"/>
        <v>5879.4634493404392</v>
      </c>
      <c r="BO43" s="255">
        <f t="shared" si="76"/>
        <v>3.9939271255060733</v>
      </c>
      <c r="BP43" s="255">
        <f>'Исходные данные'!$B$108</f>
        <v>5.0999999999999996</v>
      </c>
      <c r="BQ43" s="256">
        <f>BP43*L43</f>
        <v>254.99999999999997</v>
      </c>
    </row>
    <row r="44" spans="1:69" ht="22.5" x14ac:dyDescent="0.2">
      <c r="A44" s="431">
        <v>5</v>
      </c>
      <c r="B44" s="216" t="s">
        <v>563</v>
      </c>
      <c r="C44" s="249"/>
      <c r="D44" s="508" t="s">
        <v>118</v>
      </c>
      <c r="E44" s="509"/>
      <c r="F44" s="223" t="s">
        <v>106</v>
      </c>
      <c r="G44" s="263">
        <f>D2</f>
        <v>100</v>
      </c>
      <c r="H44" s="252">
        <v>43718</v>
      </c>
      <c r="I44" s="252">
        <v>43733</v>
      </c>
      <c r="J44" s="253">
        <f t="shared" si="54"/>
        <v>15</v>
      </c>
      <c r="K44" s="254">
        <v>0.65</v>
      </c>
      <c r="L44" s="255">
        <f t="shared" si="55"/>
        <v>153.84615384615384</v>
      </c>
      <c r="M44" s="382"/>
      <c r="N44" s="382">
        <f t="shared" ref="N44:N49" si="79">L44/J44</f>
        <v>10.256410256410255</v>
      </c>
      <c r="O44" s="255">
        <f t="shared" si="57"/>
        <v>0</v>
      </c>
      <c r="P44" s="255">
        <f t="shared" si="58"/>
        <v>1228.9006540018686</v>
      </c>
      <c r="Q44" s="256"/>
      <c r="R44" s="257"/>
      <c r="S44" s="256">
        <v>3</v>
      </c>
      <c r="T44" s="257">
        <f>IF(AND(P44&gt;0,S44&gt;0),SUMIF('Исходные данные'!$C$14:$H$14,S44,'Исходные данные'!$C$34:$H$34),IF(P44=0,0,IF(S44=0,"РОТ")))</f>
        <v>113.60344652812975</v>
      </c>
      <c r="U44" s="258">
        <f>O44*R44*'Исходные данные'!$C$40%</f>
        <v>0</v>
      </c>
      <c r="V44" s="258">
        <f>P44*S44*'Исходные данные'!$C$40%</f>
        <v>0</v>
      </c>
      <c r="W44" s="258">
        <f t="shared" si="59"/>
        <v>0</v>
      </c>
      <c r="X44" s="259">
        <f t="shared" si="60"/>
        <v>0</v>
      </c>
      <c r="Y44" s="258">
        <f t="shared" si="61"/>
        <v>0</v>
      </c>
      <c r="Z44" s="259">
        <f t="shared" si="62"/>
        <v>6980.3674867642476</v>
      </c>
      <c r="AA44" s="258">
        <f t="shared" si="63"/>
        <v>0</v>
      </c>
      <c r="AB44" s="259">
        <f t="shared" si="64"/>
        <v>0</v>
      </c>
      <c r="AC44" s="259">
        <v>2.5</v>
      </c>
      <c r="AD44" s="258">
        <f t="shared" si="65"/>
        <v>0</v>
      </c>
      <c r="AE44" s="258">
        <f t="shared" si="66"/>
        <v>366469.29305512295</v>
      </c>
      <c r="AF44" s="255">
        <f t="shared" si="67"/>
        <v>0</v>
      </c>
      <c r="AG44" s="256">
        <f t="shared" si="67"/>
        <v>54291.747119277461</v>
      </c>
      <c r="AH44" s="255">
        <f t="shared" si="68"/>
        <v>0</v>
      </c>
      <c r="AI44" s="255">
        <f t="shared" si="68"/>
        <v>420761.04017440043</v>
      </c>
      <c r="AJ44" s="255">
        <f t="shared" si="69"/>
        <v>0</v>
      </c>
      <c r="AK44" s="256">
        <f t="shared" si="69"/>
        <v>129173.63933354094</v>
      </c>
      <c r="AL44" s="255">
        <f t="shared" si="70"/>
        <v>0</v>
      </c>
      <c r="AM44" s="256">
        <f t="shared" si="71"/>
        <v>549934.67950794136</v>
      </c>
      <c r="AN44" s="260"/>
      <c r="AO44" s="260"/>
      <c r="AP44" s="261"/>
      <c r="AQ44" s="256"/>
      <c r="AR44" s="256"/>
      <c r="AS44" s="255"/>
      <c r="AT44" s="256"/>
      <c r="AU44" s="255"/>
      <c r="AV44" s="255"/>
      <c r="AW44" s="255"/>
      <c r="AX44" s="255"/>
      <c r="AY44" s="255"/>
      <c r="AZ44" s="255"/>
      <c r="BA44" s="255"/>
      <c r="BB44" s="255"/>
      <c r="BC44" s="255">
        <f t="shared" si="77"/>
        <v>0</v>
      </c>
      <c r="BD44" s="255"/>
      <c r="BE44" s="255">
        <f t="shared" si="73"/>
        <v>0</v>
      </c>
      <c r="BF44" s="255"/>
      <c r="BG44" s="255"/>
      <c r="BH44" s="255"/>
      <c r="BI44" s="255"/>
      <c r="BJ44" s="255"/>
      <c r="BK44" s="255"/>
      <c r="BL44" s="255"/>
      <c r="BM44" s="255">
        <f t="shared" si="74"/>
        <v>549934.67950794136</v>
      </c>
      <c r="BN44" s="255">
        <f t="shared" si="75"/>
        <v>5499.3467950794138</v>
      </c>
      <c r="BO44" s="255">
        <f t="shared" si="76"/>
        <v>12.289006540018686</v>
      </c>
      <c r="BP44" s="255"/>
      <c r="BQ44" s="256"/>
    </row>
    <row r="45" spans="1:69" x14ac:dyDescent="0.2">
      <c r="A45" s="431">
        <v>6</v>
      </c>
      <c r="B45" s="216" t="s">
        <v>564</v>
      </c>
      <c r="C45" s="249"/>
      <c r="D45" s="508" t="s">
        <v>118</v>
      </c>
      <c r="E45" s="509"/>
      <c r="F45" s="223" t="s">
        <v>535</v>
      </c>
      <c r="G45" s="263">
        <f>M2/10</f>
        <v>1000</v>
      </c>
      <c r="H45" s="252">
        <v>43718</v>
      </c>
      <c r="I45" s="252">
        <v>43733</v>
      </c>
      <c r="J45" s="253">
        <f t="shared" si="54"/>
        <v>15</v>
      </c>
      <c r="K45" s="254">
        <v>6.5</v>
      </c>
      <c r="L45" s="255">
        <f t="shared" si="55"/>
        <v>153.84615384615384</v>
      </c>
      <c r="M45" s="382"/>
      <c r="N45" s="382">
        <f t="shared" si="79"/>
        <v>10.256410256410255</v>
      </c>
      <c r="O45" s="255">
        <f t="shared" si="57"/>
        <v>0</v>
      </c>
      <c r="P45" s="255">
        <f t="shared" si="58"/>
        <v>1228.9006540018686</v>
      </c>
      <c r="Q45" s="256">
        <v>2</v>
      </c>
      <c r="R45" s="257"/>
      <c r="S45" s="256">
        <v>2</v>
      </c>
      <c r="T45" s="257">
        <f>IF(AND(P45&gt;0,S45&gt;0),SUMIF('Исходные данные'!$C$14:$H$14,S45,'Исходные данные'!$C$34:$H$34),IF(P45=0,0,IF(S45=0,"РОТ")))</f>
        <v>105.700598073999</v>
      </c>
      <c r="U45" s="258">
        <f>O45*R45*'Исходные данные'!$C$40%</f>
        <v>0</v>
      </c>
      <c r="V45" s="258">
        <f>P45*S45*'Исходные данные'!$C$40%</f>
        <v>0</v>
      </c>
      <c r="W45" s="258">
        <f t="shared" si="59"/>
        <v>0</v>
      </c>
      <c r="X45" s="259">
        <f t="shared" si="60"/>
        <v>0</v>
      </c>
      <c r="Y45" s="258">
        <f t="shared" si="61"/>
        <v>0</v>
      </c>
      <c r="Z45" s="259">
        <f t="shared" si="62"/>
        <v>6494.7767050763014</v>
      </c>
      <c r="AA45" s="258">
        <f t="shared" si="63"/>
        <v>0</v>
      </c>
      <c r="AB45" s="259">
        <f t="shared" si="64"/>
        <v>0</v>
      </c>
      <c r="AC45" s="259">
        <v>2.5</v>
      </c>
      <c r="AD45" s="258">
        <f t="shared" si="65"/>
        <v>0</v>
      </c>
      <c r="AE45" s="258">
        <f t="shared" si="66"/>
        <v>340975.77701650583</v>
      </c>
      <c r="AF45" s="255">
        <f t="shared" si="67"/>
        <v>0</v>
      </c>
      <c r="AG45" s="256">
        <f t="shared" si="67"/>
        <v>50514.929928371224</v>
      </c>
      <c r="AH45" s="255">
        <f t="shared" si="68"/>
        <v>0</v>
      </c>
      <c r="AI45" s="255">
        <f t="shared" si="68"/>
        <v>391490.70694487705</v>
      </c>
      <c r="AJ45" s="255">
        <f t="shared" si="69"/>
        <v>0</v>
      </c>
      <c r="AK45" s="256">
        <f t="shared" si="69"/>
        <v>120187.64703207725</v>
      </c>
      <c r="AL45" s="255">
        <f t="shared" si="70"/>
        <v>0</v>
      </c>
      <c r="AM45" s="256">
        <f t="shared" si="71"/>
        <v>511678.3539769543</v>
      </c>
      <c r="AN45" s="260"/>
      <c r="AO45" s="260"/>
      <c r="AP45" s="261"/>
      <c r="AQ45" s="256"/>
      <c r="AR45" s="256"/>
      <c r="AS45" s="255"/>
      <c r="AT45" s="256"/>
      <c r="AU45" s="255"/>
      <c r="AV45" s="255"/>
      <c r="AW45" s="255"/>
      <c r="AX45" s="255"/>
      <c r="AY45" s="255"/>
      <c r="AZ45" s="255"/>
      <c r="BA45" s="255"/>
      <c r="BB45" s="255"/>
      <c r="BC45" s="255">
        <f t="shared" si="77"/>
        <v>0</v>
      </c>
      <c r="BD45" s="256"/>
      <c r="BE45" s="255">
        <f t="shared" si="73"/>
        <v>0</v>
      </c>
      <c r="BF45" s="255"/>
      <c r="BG45" s="255"/>
      <c r="BH45" s="255"/>
      <c r="BI45" s="255"/>
      <c r="BJ45" s="255"/>
      <c r="BK45" s="255"/>
      <c r="BL45" s="255"/>
      <c r="BM45" s="255">
        <f t="shared" si="74"/>
        <v>511678.3539769543</v>
      </c>
      <c r="BN45" s="255">
        <f t="shared" si="75"/>
        <v>5116.7835397695426</v>
      </c>
      <c r="BO45" s="255">
        <f t="shared" si="76"/>
        <v>12.289006540018686</v>
      </c>
      <c r="BP45" s="255"/>
      <c r="BQ45" s="256"/>
    </row>
    <row r="46" spans="1:69" ht="22.5" x14ac:dyDescent="0.2">
      <c r="A46" s="431">
        <v>7</v>
      </c>
      <c r="B46" s="216" t="s">
        <v>565</v>
      </c>
      <c r="C46" s="249">
        <f t="shared" si="53"/>
        <v>11.111111111111111</v>
      </c>
      <c r="D46" s="250" t="s">
        <v>105</v>
      </c>
      <c r="E46" s="208" t="s">
        <v>115</v>
      </c>
      <c r="F46" s="223" t="s">
        <v>535</v>
      </c>
      <c r="G46" s="263">
        <f>G45</f>
        <v>1000</v>
      </c>
      <c r="H46" s="252">
        <v>43718</v>
      </c>
      <c r="I46" s="252">
        <v>43733</v>
      </c>
      <c r="J46" s="253">
        <f t="shared" si="54"/>
        <v>15</v>
      </c>
      <c r="K46" s="254">
        <v>6</v>
      </c>
      <c r="L46" s="255">
        <f t="shared" si="55"/>
        <v>166.66666666666666</v>
      </c>
      <c r="M46" s="382">
        <f t="shared" si="56"/>
        <v>11.111111111111111</v>
      </c>
      <c r="N46" s="382">
        <f t="shared" si="79"/>
        <v>11.111111111111111</v>
      </c>
      <c r="O46" s="255">
        <f t="shared" si="57"/>
        <v>1331.3090418353574</v>
      </c>
      <c r="P46" s="255">
        <f t="shared" si="58"/>
        <v>1331.3090418353574</v>
      </c>
      <c r="Q46" s="256">
        <v>2</v>
      </c>
      <c r="R46" s="257">
        <f>IF(AND(O46&gt;0,Q46&gt;0),SUMIF('Исходные данные'!$C$14:$H$14,Q46,'Исходные данные'!$C$18:$H$18),IF(O46=0,0,IF(Q46=0,"РОТ")))</f>
        <v>126.44557526609226</v>
      </c>
      <c r="S46" s="256">
        <v>2</v>
      </c>
      <c r="T46" s="257">
        <f>IF(AND(P46&gt;0,S46&gt;0),SUMIF('Исходные данные'!$C$14:$H$14,S46,'Исходные данные'!$C$34:$H$34),IF(P46=0,0,IF(S46=0,"РОТ")))</f>
        <v>105.700598073999</v>
      </c>
      <c r="U46" s="258">
        <f>O46*R46*'Исходные данные'!$C$40%</f>
        <v>0</v>
      </c>
      <c r="V46" s="258">
        <f>P46*S46*'Исходные данные'!$C$40%</f>
        <v>0</v>
      </c>
      <c r="W46" s="258">
        <f t="shared" si="59"/>
        <v>0</v>
      </c>
      <c r="X46" s="259">
        <f t="shared" si="60"/>
        <v>0</v>
      </c>
      <c r="Y46" s="258">
        <f t="shared" si="61"/>
        <v>16833.813765182185</v>
      </c>
      <c r="Z46" s="259">
        <f t="shared" si="62"/>
        <v>7036.0080971659918</v>
      </c>
      <c r="AA46" s="258">
        <f t="shared" si="63"/>
        <v>0</v>
      </c>
      <c r="AB46" s="259">
        <f t="shared" si="64"/>
        <v>0</v>
      </c>
      <c r="AC46" s="259">
        <v>2.5</v>
      </c>
      <c r="AD46" s="258">
        <f t="shared" si="65"/>
        <v>462929.87854251009</v>
      </c>
      <c r="AE46" s="258">
        <f t="shared" si="66"/>
        <v>369390.42510121455</v>
      </c>
      <c r="AF46" s="255">
        <f t="shared" si="67"/>
        <v>68582.20422852</v>
      </c>
      <c r="AG46" s="256">
        <f t="shared" si="67"/>
        <v>54724.507422402145</v>
      </c>
      <c r="AH46" s="255">
        <f t="shared" si="68"/>
        <v>531512.08277103014</v>
      </c>
      <c r="AI46" s="255">
        <f t="shared" si="68"/>
        <v>424114.93252361671</v>
      </c>
      <c r="AJ46" s="255">
        <f t="shared" si="69"/>
        <v>163174.20941070624</v>
      </c>
      <c r="AK46" s="256">
        <f t="shared" si="69"/>
        <v>130203.28428475032</v>
      </c>
      <c r="AL46" s="255">
        <f t="shared" si="70"/>
        <v>694686.29218173632</v>
      </c>
      <c r="AM46" s="256">
        <f t="shared" si="71"/>
        <v>554318.21680836705</v>
      </c>
      <c r="AN46" s="260">
        <v>0.96</v>
      </c>
      <c r="AO46" s="261">
        <f>'Исходные данные'!$C$59</f>
        <v>0.84</v>
      </c>
      <c r="AP46" s="261">
        <f>(G46*AN46)*AO46/100</f>
        <v>8.0640000000000001</v>
      </c>
      <c r="AQ46" s="262" t="s">
        <v>153</v>
      </c>
      <c r="AR46" s="255">
        <f>'Исходные данные'!$G$84</f>
        <v>9559.3714285714286</v>
      </c>
      <c r="AS46" s="255">
        <f>AP46*AR46</f>
        <v>77086.771200000003</v>
      </c>
      <c r="AT46" s="256"/>
      <c r="AU46" s="255"/>
      <c r="AV46" s="255"/>
      <c r="AW46" s="255"/>
      <c r="AX46" s="255"/>
      <c r="AY46" s="255"/>
      <c r="AZ46" s="255"/>
      <c r="BA46" s="255"/>
      <c r="BB46" s="255">
        <f>аморт!$G$10</f>
        <v>69.696969696969703</v>
      </c>
      <c r="BC46" s="255">
        <f t="shared" ref="BC46:BC47" si="80">BB46*J46*$O$6</f>
        <v>8350.9385351490619</v>
      </c>
      <c r="BD46" s="255">
        <f>аморт!$G$25</f>
        <v>12.519247457627118</v>
      </c>
      <c r="BE46" s="255">
        <f t="shared" si="73"/>
        <v>1500.0288603581967</v>
      </c>
      <c r="BF46" s="255">
        <f>'Исходные данные'!$E$88</f>
        <v>98.911965135359992</v>
      </c>
      <c r="BG46" s="255">
        <f>BF46*BQ46</f>
        <v>84075.170365055979</v>
      </c>
      <c r="BH46" s="255">
        <f>'Исходные данные'!$E$93</f>
        <v>16.685392176959997</v>
      </c>
      <c r="BI46" s="255">
        <f>BH46*BQ46</f>
        <v>14182.583350415996</v>
      </c>
      <c r="BJ46" s="255">
        <f>'Исходные данные'!$E$98</f>
        <v>5.7618620467199984</v>
      </c>
      <c r="BK46" s="255">
        <f>BJ46*BQ46</f>
        <v>4897.5827397119983</v>
      </c>
      <c r="BL46" s="255">
        <f>аморт!$C$25*10%/аморт!$F$25*L46*O6</f>
        <v>16666.987337313294</v>
      </c>
      <c r="BM46" s="255">
        <f t="shared" si="74"/>
        <v>1455764.5713781081</v>
      </c>
      <c r="BN46" s="255">
        <f t="shared" si="75"/>
        <v>14557.645713781081</v>
      </c>
      <c r="BO46" s="255">
        <f t="shared" si="76"/>
        <v>26.62618083670715</v>
      </c>
      <c r="BP46" s="255">
        <f>'Исходные данные'!$B$108</f>
        <v>5.0999999999999996</v>
      </c>
      <c r="BQ46" s="256">
        <f>BP46*L46</f>
        <v>849.99999999999989</v>
      </c>
    </row>
    <row r="47" spans="1:69" ht="22.5" x14ac:dyDescent="0.2">
      <c r="A47" s="431">
        <v>8</v>
      </c>
      <c r="B47" s="216" t="s">
        <v>566</v>
      </c>
      <c r="C47" s="249">
        <f t="shared" si="53"/>
        <v>6.666666666666667</v>
      </c>
      <c r="D47" s="250" t="s">
        <v>105</v>
      </c>
      <c r="E47" s="208" t="s">
        <v>115</v>
      </c>
      <c r="F47" s="223" t="s">
        <v>535</v>
      </c>
      <c r="G47" s="263">
        <f>G46</f>
        <v>1000</v>
      </c>
      <c r="H47" s="252">
        <v>43718</v>
      </c>
      <c r="I47" s="252">
        <v>43733</v>
      </c>
      <c r="J47" s="253">
        <f t="shared" si="54"/>
        <v>15</v>
      </c>
      <c r="K47" s="254">
        <v>10</v>
      </c>
      <c r="L47" s="255">
        <f t="shared" si="55"/>
        <v>100</v>
      </c>
      <c r="M47" s="382">
        <f t="shared" si="56"/>
        <v>6.666666666666667</v>
      </c>
      <c r="N47" s="382">
        <f t="shared" si="79"/>
        <v>6.666666666666667</v>
      </c>
      <c r="O47" s="255">
        <f t="shared" si="57"/>
        <v>798.78542510121463</v>
      </c>
      <c r="P47" s="255">
        <f t="shared" si="58"/>
        <v>798.78542510121463</v>
      </c>
      <c r="Q47" s="256">
        <v>2</v>
      </c>
      <c r="R47" s="257">
        <f>IF(AND(O47&gt;0,Q47&gt;0),SUMIF('Исходные данные'!$C$14:$H$14,Q47,'Исходные данные'!$C$18:$H$18),IF(O47=0,0,IF(Q47=0,"РОТ")))</f>
        <v>126.44557526609226</v>
      </c>
      <c r="S47" s="256">
        <v>2</v>
      </c>
      <c r="T47" s="257">
        <f>IF(AND(P47&gt;0,S47&gt;0),SUMIF('Исходные данные'!$C$14:$H$14,S47,'Исходные данные'!$C$34:$H$34),IF(P47=0,0,IF(S47=0,"РОТ")))</f>
        <v>105.700598073999</v>
      </c>
      <c r="U47" s="258">
        <f>O47*R47*'Исходные данные'!$C$40%</f>
        <v>0</v>
      </c>
      <c r="V47" s="258">
        <f>P47*S47*'Исходные данные'!$C$40%</f>
        <v>0</v>
      </c>
      <c r="W47" s="258">
        <f t="shared" si="59"/>
        <v>0</v>
      </c>
      <c r="X47" s="259">
        <f t="shared" si="60"/>
        <v>0</v>
      </c>
      <c r="Y47" s="258">
        <f t="shared" si="61"/>
        <v>10100.288259109315</v>
      </c>
      <c r="Z47" s="259">
        <f t="shared" si="62"/>
        <v>4221.6048582995963</v>
      </c>
      <c r="AA47" s="258">
        <f t="shared" si="63"/>
        <v>0</v>
      </c>
      <c r="AB47" s="259">
        <f t="shared" si="64"/>
        <v>0</v>
      </c>
      <c r="AC47" s="259">
        <v>2.5</v>
      </c>
      <c r="AD47" s="258">
        <f t="shared" si="65"/>
        <v>277757.9271255061</v>
      </c>
      <c r="AE47" s="258">
        <f t="shared" si="66"/>
        <v>221634.25506072878</v>
      </c>
      <c r="AF47" s="255">
        <f t="shared" si="67"/>
        <v>41149.322537112006</v>
      </c>
      <c r="AG47" s="256">
        <f t="shared" si="67"/>
        <v>32834.704453441293</v>
      </c>
      <c r="AH47" s="255">
        <f t="shared" si="68"/>
        <v>318907.24966261809</v>
      </c>
      <c r="AI47" s="255">
        <f t="shared" si="68"/>
        <v>254468.95951417007</v>
      </c>
      <c r="AJ47" s="255">
        <f t="shared" si="69"/>
        <v>97904.525646423746</v>
      </c>
      <c r="AK47" s="256">
        <f t="shared" si="69"/>
        <v>78121.970570850215</v>
      </c>
      <c r="AL47" s="255">
        <f t="shared" si="70"/>
        <v>416811.77530904184</v>
      </c>
      <c r="AM47" s="256">
        <f t="shared" si="71"/>
        <v>332590.93008502026</v>
      </c>
      <c r="AN47" s="260">
        <v>0.96</v>
      </c>
      <c r="AO47" s="261">
        <f>'Исходные данные'!$C$59</f>
        <v>0.84</v>
      </c>
      <c r="AP47" s="261">
        <f>(G47*AN47)*AO47/100</f>
        <v>8.0640000000000001</v>
      </c>
      <c r="AQ47" s="262" t="s">
        <v>153</v>
      </c>
      <c r="AR47" s="255">
        <f>'Исходные данные'!$G$84</f>
        <v>9559.3714285714286</v>
      </c>
      <c r="AS47" s="255">
        <f>AP47*AR47</f>
        <v>77086.771200000003</v>
      </c>
      <c r="AT47" s="256"/>
      <c r="AU47" s="255"/>
      <c r="AV47" s="255"/>
      <c r="AW47" s="255"/>
      <c r="AX47" s="255"/>
      <c r="AY47" s="255"/>
      <c r="AZ47" s="255"/>
      <c r="BA47" s="255"/>
      <c r="BB47" s="255">
        <f>аморт!$G$10</f>
        <v>69.696969696969703</v>
      </c>
      <c r="BC47" s="255">
        <f t="shared" si="80"/>
        <v>8350.9385351490619</v>
      </c>
      <c r="BD47" s="255">
        <f>аморт!$G$25</f>
        <v>12.519247457627118</v>
      </c>
      <c r="BE47" s="255">
        <f t="shared" si="73"/>
        <v>1500.0288603581967</v>
      </c>
      <c r="BF47" s="255">
        <f>'Исходные данные'!$E$88</f>
        <v>98.911965135359992</v>
      </c>
      <c r="BG47" s="255">
        <f>BF47*BQ47</f>
        <v>50445.102219033593</v>
      </c>
      <c r="BH47" s="255">
        <f>'Исходные данные'!$E$93</f>
        <v>16.685392176959997</v>
      </c>
      <c r="BI47" s="255">
        <f>BH47*BQ47</f>
        <v>8509.5500102495971</v>
      </c>
      <c r="BJ47" s="255">
        <f>'Исходные данные'!$E$98</f>
        <v>5.7618620467199984</v>
      </c>
      <c r="BK47" s="255">
        <f>BJ47*BQ47</f>
        <v>2938.5496438271989</v>
      </c>
      <c r="BL47" s="255">
        <f>аморт!$C$25*10%/аморт!$F$25*L47*O6</f>
        <v>10000.192402387978</v>
      </c>
      <c r="BM47" s="255">
        <f t="shared" si="74"/>
        <v>908233.83826506778</v>
      </c>
      <c r="BN47" s="255">
        <f t="shared" si="75"/>
        <v>9082.3383826506779</v>
      </c>
      <c r="BO47" s="255">
        <f t="shared" si="76"/>
        <v>15.975708502024293</v>
      </c>
      <c r="BP47" s="255">
        <f>'Исходные данные'!$B$108</f>
        <v>5.0999999999999996</v>
      </c>
      <c r="BQ47" s="256">
        <f>BP47*L47</f>
        <v>509.99999999999994</v>
      </c>
    </row>
    <row r="48" spans="1:69" x14ac:dyDescent="0.2">
      <c r="A48" s="431">
        <v>9</v>
      </c>
      <c r="B48" s="216" t="s">
        <v>567</v>
      </c>
      <c r="C48" s="266"/>
      <c r="D48" s="508" t="s">
        <v>118</v>
      </c>
      <c r="E48" s="509"/>
      <c r="F48" s="223" t="s">
        <v>535</v>
      </c>
      <c r="G48" s="263">
        <f>G47</f>
        <v>1000</v>
      </c>
      <c r="H48" s="252">
        <v>43718</v>
      </c>
      <c r="I48" s="252">
        <v>43733</v>
      </c>
      <c r="J48" s="253">
        <f t="shared" si="54"/>
        <v>15</v>
      </c>
      <c r="K48" s="254">
        <v>6.5</v>
      </c>
      <c r="L48" s="255">
        <f t="shared" si="55"/>
        <v>153.84615384615384</v>
      </c>
      <c r="M48" s="382"/>
      <c r="N48" s="382">
        <f t="shared" si="79"/>
        <v>10.256410256410255</v>
      </c>
      <c r="O48" s="255">
        <f t="shared" si="57"/>
        <v>0</v>
      </c>
      <c r="P48" s="255">
        <f t="shared" si="58"/>
        <v>1228.9006540018686</v>
      </c>
      <c r="Q48" s="256">
        <v>2</v>
      </c>
      <c r="R48" s="257"/>
      <c r="S48" s="256">
        <v>2</v>
      </c>
      <c r="T48" s="257">
        <f>IF(AND(P48&gt;0,S48&gt;0),SUMIF('Исходные данные'!$C$14:$H$14,S48,'Исходные данные'!$C$34:$H$34),IF(P48=0,0,IF(S48=0,"РОТ")))</f>
        <v>105.700598073999</v>
      </c>
      <c r="U48" s="258">
        <f>O48*R48*'Исходные данные'!$C$40%</f>
        <v>0</v>
      </c>
      <c r="V48" s="258">
        <f>P48*S48*'Исходные данные'!$C$40%</f>
        <v>0</v>
      </c>
      <c r="W48" s="258">
        <f t="shared" si="59"/>
        <v>0</v>
      </c>
      <c r="X48" s="259">
        <f t="shared" si="60"/>
        <v>0</v>
      </c>
      <c r="Y48" s="258">
        <f t="shared" si="61"/>
        <v>0</v>
      </c>
      <c r="Z48" s="259">
        <f t="shared" si="62"/>
        <v>6494.7767050763014</v>
      </c>
      <c r="AA48" s="258">
        <f t="shared" si="63"/>
        <v>0</v>
      </c>
      <c r="AB48" s="259">
        <f t="shared" si="64"/>
        <v>0</v>
      </c>
      <c r="AC48" s="259">
        <v>2.5</v>
      </c>
      <c r="AD48" s="258">
        <f t="shared" si="65"/>
        <v>0</v>
      </c>
      <c r="AE48" s="258">
        <f t="shared" si="66"/>
        <v>340975.77701650583</v>
      </c>
      <c r="AF48" s="255">
        <f t="shared" si="67"/>
        <v>0</v>
      </c>
      <c r="AG48" s="256">
        <f t="shared" si="67"/>
        <v>50514.929928371224</v>
      </c>
      <c r="AH48" s="255">
        <f t="shared" si="68"/>
        <v>0</v>
      </c>
      <c r="AI48" s="255">
        <f t="shared" si="68"/>
        <v>391490.70694487705</v>
      </c>
      <c r="AJ48" s="255">
        <f t="shared" si="69"/>
        <v>0</v>
      </c>
      <c r="AK48" s="256">
        <f t="shared" si="69"/>
        <v>120187.64703207725</v>
      </c>
      <c r="AL48" s="255">
        <f t="shared" si="70"/>
        <v>0</v>
      </c>
      <c r="AM48" s="256">
        <f t="shared" si="71"/>
        <v>511678.3539769543</v>
      </c>
      <c r="AN48" s="260"/>
      <c r="AO48" s="260"/>
      <c r="AP48" s="261"/>
      <c r="AQ48" s="256"/>
      <c r="AR48" s="256"/>
      <c r="AS48" s="255"/>
      <c r="AT48" s="256"/>
      <c r="AU48" s="255"/>
      <c r="AV48" s="255"/>
      <c r="AW48" s="255"/>
      <c r="AX48" s="255"/>
      <c r="AY48" s="255"/>
      <c r="AZ48" s="255"/>
      <c r="BA48" s="255"/>
      <c r="BB48" s="255"/>
      <c r="BC48" s="255">
        <f t="shared" si="77"/>
        <v>0</v>
      </c>
      <c r="BD48" s="256"/>
      <c r="BE48" s="255">
        <f t="shared" ref="BE48:BE49" si="81">BD48*J48</f>
        <v>0</v>
      </c>
      <c r="BF48" s="255"/>
      <c r="BG48" s="255"/>
      <c r="BH48" s="255"/>
      <c r="BI48" s="255"/>
      <c r="BJ48" s="255"/>
      <c r="BK48" s="255"/>
      <c r="BL48" s="255"/>
      <c r="BM48" s="255">
        <f t="shared" si="74"/>
        <v>511678.3539769543</v>
      </c>
      <c r="BN48" s="255">
        <f t="shared" si="75"/>
        <v>5116.7835397695426</v>
      </c>
      <c r="BO48" s="255">
        <f t="shared" si="76"/>
        <v>12.289006540018686</v>
      </c>
      <c r="BP48" s="255"/>
      <c r="BQ48" s="256"/>
    </row>
    <row r="49" spans="1:69" ht="22.5" x14ac:dyDescent="0.2">
      <c r="A49" s="431">
        <v>10</v>
      </c>
      <c r="B49" s="216" t="s">
        <v>568</v>
      </c>
      <c r="C49" s="265"/>
      <c r="D49" s="508" t="s">
        <v>118</v>
      </c>
      <c r="E49" s="509"/>
      <c r="F49" s="223" t="s">
        <v>535</v>
      </c>
      <c r="G49" s="263">
        <f>G48</f>
        <v>1000</v>
      </c>
      <c r="H49" s="252">
        <v>43718</v>
      </c>
      <c r="I49" s="252">
        <v>43733</v>
      </c>
      <c r="J49" s="253">
        <f t="shared" si="54"/>
        <v>15</v>
      </c>
      <c r="K49" s="254">
        <v>7</v>
      </c>
      <c r="L49" s="255">
        <f t="shared" si="55"/>
        <v>142.85714285714286</v>
      </c>
      <c r="M49" s="382"/>
      <c r="N49" s="382">
        <f t="shared" si="79"/>
        <v>9.5238095238095237</v>
      </c>
      <c r="O49" s="255">
        <f t="shared" si="57"/>
        <v>0</v>
      </c>
      <c r="P49" s="255">
        <f t="shared" si="58"/>
        <v>1141.122035858878</v>
      </c>
      <c r="Q49" s="256"/>
      <c r="R49" s="257"/>
      <c r="S49" s="256">
        <v>2</v>
      </c>
      <c r="T49" s="257">
        <f>IF(AND(P49&gt;0,S49&gt;0),SUMIF('Исходные данные'!$C$14:$H$14,S49,'Исходные данные'!$C$34:$H$34),IF(P49=0,0,IF(S49=0,"РОТ")))</f>
        <v>105.700598073999</v>
      </c>
      <c r="U49" s="258">
        <f>O49*R49*'Исходные данные'!$C$40%</f>
        <v>0</v>
      </c>
      <c r="V49" s="258">
        <f>P49*S49*'Исходные данные'!$C$40%</f>
        <v>0</v>
      </c>
      <c r="W49" s="258">
        <f t="shared" si="59"/>
        <v>0</v>
      </c>
      <c r="X49" s="259">
        <f t="shared" si="60"/>
        <v>0</v>
      </c>
      <c r="Y49" s="258">
        <f t="shared" si="61"/>
        <v>0</v>
      </c>
      <c r="Z49" s="259">
        <f t="shared" si="62"/>
        <v>6030.8640832851379</v>
      </c>
      <c r="AA49" s="258">
        <f t="shared" si="63"/>
        <v>0</v>
      </c>
      <c r="AB49" s="259">
        <f t="shared" si="64"/>
        <v>0</v>
      </c>
      <c r="AC49" s="259">
        <v>2.5</v>
      </c>
      <c r="AD49" s="258">
        <f t="shared" si="65"/>
        <v>0</v>
      </c>
      <c r="AE49" s="258">
        <f t="shared" si="66"/>
        <v>316620.36437246972</v>
      </c>
      <c r="AF49" s="255">
        <f t="shared" si="67"/>
        <v>0</v>
      </c>
      <c r="AG49" s="256">
        <f t="shared" si="67"/>
        <v>46906.720647773283</v>
      </c>
      <c r="AH49" s="255">
        <f t="shared" si="68"/>
        <v>0</v>
      </c>
      <c r="AI49" s="255">
        <f t="shared" si="68"/>
        <v>363527.08502024302</v>
      </c>
      <c r="AJ49" s="255">
        <f t="shared" si="69"/>
        <v>0</v>
      </c>
      <c r="AK49" s="256">
        <f t="shared" si="69"/>
        <v>111602.8151012146</v>
      </c>
      <c r="AL49" s="255">
        <f t="shared" si="70"/>
        <v>0</v>
      </c>
      <c r="AM49" s="256">
        <f t="shared" si="71"/>
        <v>475129.90012145764</v>
      </c>
      <c r="AN49" s="260"/>
      <c r="AO49" s="260"/>
      <c r="AP49" s="261"/>
      <c r="AQ49" s="256"/>
      <c r="AR49" s="256"/>
      <c r="AS49" s="255"/>
      <c r="AT49" s="256"/>
      <c r="AU49" s="255"/>
      <c r="AV49" s="255"/>
      <c r="AW49" s="255"/>
      <c r="AX49" s="255"/>
      <c r="AY49" s="255"/>
      <c r="AZ49" s="255"/>
      <c r="BA49" s="255"/>
      <c r="BB49" s="255"/>
      <c r="BC49" s="255">
        <f t="shared" si="77"/>
        <v>0</v>
      </c>
      <c r="BD49" s="255"/>
      <c r="BE49" s="255">
        <f t="shared" si="81"/>
        <v>0</v>
      </c>
      <c r="BF49" s="255"/>
      <c r="BG49" s="255"/>
      <c r="BH49" s="255"/>
      <c r="BI49" s="255"/>
      <c r="BJ49" s="255"/>
      <c r="BK49" s="255"/>
      <c r="BL49" s="255"/>
      <c r="BM49" s="255">
        <f t="shared" si="74"/>
        <v>475129.90012145764</v>
      </c>
      <c r="BN49" s="255">
        <f t="shared" si="75"/>
        <v>4751.2990012145765</v>
      </c>
      <c r="BO49" s="255">
        <f t="shared" si="76"/>
        <v>11.41122035858878</v>
      </c>
      <c r="BP49" s="255"/>
      <c r="BQ49" s="256"/>
    </row>
    <row r="50" spans="1:69" s="285" customFormat="1" x14ac:dyDescent="0.2">
      <c r="A50" s="273"/>
      <c r="B50" s="274" t="s">
        <v>21</v>
      </c>
      <c r="C50" s="274"/>
      <c r="D50" s="274"/>
      <c r="E50" s="274"/>
      <c r="F50" s="278"/>
      <c r="G50" s="279"/>
      <c r="H50" s="280"/>
      <c r="I50" s="280"/>
      <c r="J50" s="281">
        <f>SUM(J40:J49)</f>
        <v>138</v>
      </c>
      <c r="K50" s="281"/>
      <c r="L50" s="283">
        <f t="shared" ref="L50:BA50" si="82">SUM(L40:L49)</f>
        <v>2538.0952380952376</v>
      </c>
      <c r="M50" s="283">
        <f t="shared" si="82"/>
        <v>28.13392023476057</v>
      </c>
      <c r="N50" s="283">
        <f t="shared" si="82"/>
        <v>229.01098901098896</v>
      </c>
      <c r="O50" s="283">
        <f t="shared" si="82"/>
        <v>3157.1042992095622</v>
      </c>
      <c r="P50" s="283">
        <f t="shared" si="82"/>
        <v>19246.925004819743</v>
      </c>
      <c r="Q50" s="283">
        <f t="shared" si="82"/>
        <v>19</v>
      </c>
      <c r="R50" s="283">
        <f t="shared" si="82"/>
        <v>703.35351241763817</v>
      </c>
      <c r="S50" s="283">
        <f t="shared" si="82"/>
        <v>16</v>
      </c>
      <c r="T50" s="283">
        <f t="shared" si="82"/>
        <v>755.70988342625446</v>
      </c>
      <c r="U50" s="283">
        <f t="shared" si="82"/>
        <v>0</v>
      </c>
      <c r="V50" s="283">
        <f t="shared" si="82"/>
        <v>0</v>
      </c>
      <c r="W50" s="283">
        <f t="shared" si="82"/>
        <v>0</v>
      </c>
      <c r="X50" s="283">
        <f t="shared" si="82"/>
        <v>0</v>
      </c>
      <c r="Y50" s="283">
        <f t="shared" si="82"/>
        <v>42557.985425101222</v>
      </c>
      <c r="Z50" s="283">
        <f t="shared" si="82"/>
        <v>107062.07280331007</v>
      </c>
      <c r="AA50" s="283">
        <f t="shared" si="82"/>
        <v>0</v>
      </c>
      <c r="AB50" s="283">
        <f t="shared" si="82"/>
        <v>0</v>
      </c>
      <c r="AC50" s="283"/>
      <c r="AD50" s="283">
        <f t="shared" si="82"/>
        <v>1170344.5991902836</v>
      </c>
      <c r="AE50" s="283">
        <f t="shared" si="82"/>
        <v>5620758.8221737761</v>
      </c>
      <c r="AF50" s="283">
        <f t="shared" si="82"/>
        <v>173384.38506522711</v>
      </c>
      <c r="AG50" s="283">
        <f t="shared" si="82"/>
        <v>832705.01069241134</v>
      </c>
      <c r="AH50" s="283">
        <f t="shared" si="82"/>
        <v>1343728.9842555106</v>
      </c>
      <c r="AI50" s="283">
        <f t="shared" si="82"/>
        <v>6453463.8328661891</v>
      </c>
      <c r="AJ50" s="283">
        <f t="shared" si="82"/>
        <v>412524.79816644173</v>
      </c>
      <c r="AK50" s="283">
        <f t="shared" si="82"/>
        <v>1981213.3966899198</v>
      </c>
      <c r="AL50" s="283">
        <f t="shared" si="82"/>
        <v>1756253.7824219523</v>
      </c>
      <c r="AM50" s="283">
        <f t="shared" si="82"/>
        <v>8434677.2295561079</v>
      </c>
      <c r="AN50" s="284"/>
      <c r="AO50" s="284"/>
      <c r="AP50" s="284">
        <f t="shared" si="82"/>
        <v>80.891999999999996</v>
      </c>
      <c r="AQ50" s="283"/>
      <c r="AR50" s="283"/>
      <c r="AS50" s="283">
        <f t="shared" si="82"/>
        <v>773276.67359999986</v>
      </c>
      <c r="AT50" s="283"/>
      <c r="AU50" s="283">
        <f t="shared" si="82"/>
        <v>0</v>
      </c>
      <c r="AV50" s="283"/>
      <c r="AW50" s="283">
        <f t="shared" si="82"/>
        <v>0</v>
      </c>
      <c r="AX50" s="283"/>
      <c r="AY50" s="283">
        <f t="shared" si="82"/>
        <v>0</v>
      </c>
      <c r="AZ50" s="283"/>
      <c r="BA50" s="283">
        <f t="shared" si="82"/>
        <v>0</v>
      </c>
      <c r="BB50" s="283"/>
      <c r="BC50" s="281">
        <f>SUM(BC40:BC49)</f>
        <v>38414.31726168569</v>
      </c>
      <c r="BD50" s="267"/>
      <c r="BE50" s="281">
        <f>SUM(BE40:BE49)</f>
        <v>24906.477304612032</v>
      </c>
      <c r="BF50" s="283"/>
      <c r="BG50" s="283">
        <f t="shared" ref="BG50:BI50" si="83">SUM(BG40:BG49)</f>
        <v>199378.2611514185</v>
      </c>
      <c r="BH50" s="283"/>
      <c r="BI50" s="283">
        <f t="shared" si="83"/>
        <v>33632.983373843643</v>
      </c>
      <c r="BJ50" s="283"/>
      <c r="BK50" s="283">
        <f t="shared" ref="BK50:BQ50" si="84">SUM(BK40:BK49)</f>
        <v>11614.267639888452</v>
      </c>
      <c r="BL50" s="283">
        <f t="shared" si="84"/>
        <v>84603.0121323817</v>
      </c>
      <c r="BM50" s="283">
        <f t="shared" si="84"/>
        <v>11356757.004441889</v>
      </c>
      <c r="BN50" s="283"/>
      <c r="BO50" s="283"/>
      <c r="BP50" s="283"/>
      <c r="BQ50" s="283">
        <f t="shared" si="84"/>
        <v>2015.7142857142856</v>
      </c>
    </row>
    <row r="51" spans="1:69" s="319" customFormat="1" x14ac:dyDescent="0.2">
      <c r="A51" s="310"/>
      <c r="B51" s="507" t="s">
        <v>569</v>
      </c>
      <c r="C51" s="507"/>
      <c r="D51" s="507"/>
      <c r="E51" s="507"/>
      <c r="F51" s="311"/>
      <c r="G51" s="312"/>
      <c r="H51" s="313"/>
      <c r="I51" s="313"/>
      <c r="J51" s="312"/>
      <c r="K51" s="314"/>
      <c r="L51" s="315"/>
      <c r="M51" s="316"/>
      <c r="N51" s="316"/>
      <c r="O51" s="315"/>
      <c r="P51" s="315"/>
      <c r="Q51" s="316"/>
      <c r="R51" s="306"/>
      <c r="S51" s="316"/>
      <c r="T51" s="306"/>
      <c r="U51" s="307">
        <v>0</v>
      </c>
      <c r="V51" s="307">
        <v>0</v>
      </c>
      <c r="W51" s="315"/>
      <c r="X51" s="315"/>
      <c r="Y51" s="315"/>
      <c r="Z51" s="315"/>
      <c r="AA51" s="315"/>
      <c r="AB51" s="315"/>
      <c r="AC51" s="315"/>
      <c r="AD51" s="315"/>
      <c r="AE51" s="316"/>
      <c r="AF51" s="316"/>
      <c r="AG51" s="316"/>
      <c r="AH51" s="315"/>
      <c r="AI51" s="315"/>
      <c r="AJ51" s="315"/>
      <c r="AK51" s="315"/>
      <c r="AL51" s="315"/>
      <c r="AM51" s="315"/>
      <c r="AN51" s="317"/>
      <c r="AO51" s="317"/>
      <c r="AP51" s="318"/>
      <c r="AQ51" s="316"/>
      <c r="AR51" s="316"/>
      <c r="AS51" s="315"/>
      <c r="AT51" s="316"/>
      <c r="AU51" s="315"/>
      <c r="AV51" s="315"/>
      <c r="AW51" s="315"/>
      <c r="AX51" s="315"/>
      <c r="AY51" s="315"/>
      <c r="AZ51" s="315"/>
      <c r="BA51" s="315"/>
      <c r="BB51" s="315"/>
      <c r="BC51" s="315"/>
      <c r="BD51" s="25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6"/>
    </row>
    <row r="52" spans="1:69" x14ac:dyDescent="0.2">
      <c r="A52" s="431">
        <v>1</v>
      </c>
      <c r="B52" s="216" t="s">
        <v>570</v>
      </c>
      <c r="C52" s="249">
        <f>M52</f>
        <v>5.8479532163742682</v>
      </c>
      <c r="D52" s="250" t="s">
        <v>532</v>
      </c>
      <c r="E52" s="208" t="s">
        <v>113</v>
      </c>
      <c r="F52" s="223" t="s">
        <v>106</v>
      </c>
      <c r="G52" s="263">
        <f>D2</f>
        <v>100</v>
      </c>
      <c r="H52" s="252">
        <v>43723</v>
      </c>
      <c r="I52" s="252">
        <v>43725</v>
      </c>
      <c r="J52" s="253">
        <f>I52-H52</f>
        <v>2</v>
      </c>
      <c r="K52" s="254">
        <v>8.5500000000000007</v>
      </c>
      <c r="L52" s="255">
        <f>G52/K52</f>
        <v>11.695906432748536</v>
      </c>
      <c r="M52" s="382">
        <f t="shared" ref="M52" si="85">L52/J52</f>
        <v>5.8479532163742682</v>
      </c>
      <c r="N52" s="256"/>
      <c r="O52" s="255">
        <f>IF(M52=0,0,L52*$O$6)</f>
        <v>93.425195918270703</v>
      </c>
      <c r="P52" s="255">
        <f>IF(N52=0,0,L52*$O$6)</f>
        <v>0</v>
      </c>
      <c r="Q52" s="256">
        <v>6</v>
      </c>
      <c r="R52" s="257">
        <f>IF(AND(O52&gt;0,Q52&gt;0),SUMIF('Исходные данные'!$C$14:$H$14,Q52,'Исходные данные'!$C$26:$H$26),IF(O52=0,0,IF(Q52=0,"РОТ")))</f>
        <v>254.86686264571719</v>
      </c>
      <c r="S52" s="256"/>
      <c r="T52" s="257"/>
      <c r="U52" s="258">
        <f>O52*R52*'Исходные данные'!$C$40%</f>
        <v>0</v>
      </c>
      <c r="V52" s="258">
        <f>P52*S52*'Исходные данные'!$C$40%</f>
        <v>0</v>
      </c>
      <c r="W52" s="258">
        <f>O52*R52*$W$6</f>
        <v>0</v>
      </c>
      <c r="X52" s="259">
        <f>P52*T52*$W$6</f>
        <v>0</v>
      </c>
      <c r="Y52" s="258">
        <f>(O52*R52+U52+W52)*$Y$6</f>
        <v>2381.0986575751117</v>
      </c>
      <c r="Z52" s="259">
        <f>(P52*T52+V52+X52)*$Z$6</f>
        <v>0</v>
      </c>
      <c r="AA52" s="258">
        <f>(O52*R52+U52)*$AA$6</f>
        <v>0</v>
      </c>
      <c r="AB52" s="259">
        <f>(P52*T52+V52)*$AA$6</f>
        <v>0</v>
      </c>
      <c r="AC52" s="259">
        <v>2.5</v>
      </c>
      <c r="AD52" s="258">
        <f>(O52*R52+U52+W52+Y52+AA52)*AC52</f>
        <v>65480.213083315575</v>
      </c>
      <c r="AE52" s="258">
        <f>(P52*T52+V52+X52+Z52+AB52)*AC52</f>
        <v>0</v>
      </c>
      <c r="AF52" s="255">
        <f>AD52*$AF$6</f>
        <v>9700.7723086393416</v>
      </c>
      <c r="AG52" s="256">
        <f>AE52*$AF$6</f>
        <v>0</v>
      </c>
      <c r="AH52" s="255">
        <f>AD52+AF52</f>
        <v>75180.98539195492</v>
      </c>
      <c r="AI52" s="255">
        <f>AE52+AG52</f>
        <v>0</v>
      </c>
      <c r="AJ52" s="255">
        <f>AH52*$AJ$6</f>
        <v>23080.562515330159</v>
      </c>
      <c r="AK52" s="256">
        <f>AI52*$AJ$6</f>
        <v>0</v>
      </c>
      <c r="AL52" s="255">
        <f>AH52+AJ52</f>
        <v>98261.547907285072</v>
      </c>
      <c r="AM52" s="256">
        <f>AK52+AI52</f>
        <v>0</v>
      </c>
      <c r="AN52" s="260">
        <v>16.5</v>
      </c>
      <c r="AO52" s="261">
        <f>'Исходные данные'!$C$59</f>
        <v>0.84</v>
      </c>
      <c r="AP52" s="261">
        <f>(G52*AN52)*AO52/100</f>
        <v>13.86</v>
      </c>
      <c r="AQ52" s="262" t="s">
        <v>153</v>
      </c>
      <c r="AR52" s="255">
        <f>'Исходные данные'!$F$84</f>
        <v>9573.3714285714286</v>
      </c>
      <c r="AS52" s="255">
        <f>AP52*AR52</f>
        <v>132686.92799999999</v>
      </c>
      <c r="AT52" s="256"/>
      <c r="AU52" s="255"/>
      <c r="AV52" s="255"/>
      <c r="AW52" s="255"/>
      <c r="AX52" s="255"/>
      <c r="AY52" s="255"/>
      <c r="AZ52" s="255"/>
      <c r="BA52" s="255"/>
      <c r="BB52" s="255">
        <f>аморт!$G$12</f>
        <v>61.781971818181816</v>
      </c>
      <c r="BC52" s="255">
        <f t="shared" ref="BC52" si="86">BB52*J52*$O$6</f>
        <v>987.01077244755243</v>
      </c>
      <c r="BD52" s="255">
        <f>аморт!G72</f>
        <v>16.941761627906978</v>
      </c>
      <c r="BE52" s="255">
        <f t="shared" ref="BE52" si="87">BD52*J52*$O$6</f>
        <v>270.65664527822241</v>
      </c>
      <c r="BF52" s="255">
        <f>'Исходные данные'!$C$88</f>
        <v>101.43277978079999</v>
      </c>
      <c r="BG52" s="255">
        <f>BF52*BQ52</f>
        <v>13761.640297745962</v>
      </c>
      <c r="BH52" s="255">
        <f>'Исходные данные'!$C$93</f>
        <v>11.283646508159999</v>
      </c>
      <c r="BI52" s="255">
        <f>BH52*BQ52</f>
        <v>1530.8806958439295</v>
      </c>
      <c r="BJ52" s="255">
        <f>'Исходные данные'!$C$98</f>
        <v>8.0425991068799991</v>
      </c>
      <c r="BK52" s="255">
        <f>BJ52*BQ52</f>
        <v>1091.1596449100348</v>
      </c>
      <c r="BL52" s="255">
        <f>аморт!$C$72*10%/аморт!$F$72*L52*O6</f>
        <v>1266.22991943028</v>
      </c>
      <c r="BM52" s="255">
        <f>AL52+AM52+AS52+AW52+BA52+BC52+BE52+BG52+BI52+BK52+BL52</f>
        <v>249856.05388294102</v>
      </c>
      <c r="BN52" s="255">
        <f>BM52/$D$2</f>
        <v>2498.5605388294102</v>
      </c>
      <c r="BO52" s="255">
        <f>(O52+P52)/$D$2</f>
        <v>0.93425195918270698</v>
      </c>
      <c r="BP52" s="255">
        <f>'Исходные данные'!$B$112</f>
        <v>11.6</v>
      </c>
      <c r="BQ52" s="256">
        <f>BP52*L52</f>
        <v>135.67251461988303</v>
      </c>
    </row>
    <row r="53" spans="1:69" s="285" customFormat="1" x14ac:dyDescent="0.2">
      <c r="A53" s="273"/>
      <c r="B53" s="274" t="s">
        <v>21</v>
      </c>
      <c r="C53" s="274"/>
      <c r="D53" s="274"/>
      <c r="E53" s="274"/>
      <c r="F53" s="278"/>
      <c r="G53" s="279"/>
      <c r="H53" s="280"/>
      <c r="I53" s="280"/>
      <c r="J53" s="281">
        <f>SUM(J52)</f>
        <v>2</v>
      </c>
      <c r="K53" s="281"/>
      <c r="L53" s="283">
        <f t="shared" ref="L53:BA53" si="88">SUM(L52)</f>
        <v>11.695906432748536</v>
      </c>
      <c r="M53" s="283">
        <f t="shared" si="88"/>
        <v>5.8479532163742682</v>
      </c>
      <c r="N53" s="283">
        <f t="shared" si="88"/>
        <v>0</v>
      </c>
      <c r="O53" s="283">
        <f t="shared" si="88"/>
        <v>93.425195918270703</v>
      </c>
      <c r="P53" s="283">
        <f t="shared" si="88"/>
        <v>0</v>
      </c>
      <c r="Q53" s="283">
        <f t="shared" si="88"/>
        <v>6</v>
      </c>
      <c r="R53" s="283">
        <f t="shared" si="88"/>
        <v>254.86686264571719</v>
      </c>
      <c r="S53" s="283">
        <f t="shared" si="88"/>
        <v>0</v>
      </c>
      <c r="T53" s="283">
        <f t="shared" si="88"/>
        <v>0</v>
      </c>
      <c r="U53" s="283">
        <f t="shared" si="88"/>
        <v>0</v>
      </c>
      <c r="V53" s="283">
        <f t="shared" si="88"/>
        <v>0</v>
      </c>
      <c r="W53" s="283">
        <f t="shared" si="88"/>
        <v>0</v>
      </c>
      <c r="X53" s="283">
        <f t="shared" si="88"/>
        <v>0</v>
      </c>
      <c r="Y53" s="283">
        <f t="shared" si="88"/>
        <v>2381.0986575751117</v>
      </c>
      <c r="Z53" s="283">
        <f t="shared" si="88"/>
        <v>0</v>
      </c>
      <c r="AA53" s="283">
        <f t="shared" si="88"/>
        <v>0</v>
      </c>
      <c r="AB53" s="283">
        <f t="shared" si="88"/>
        <v>0</v>
      </c>
      <c r="AC53" s="283"/>
      <c r="AD53" s="283">
        <f t="shared" si="88"/>
        <v>65480.213083315575</v>
      </c>
      <c r="AE53" s="283">
        <f t="shared" si="88"/>
        <v>0</v>
      </c>
      <c r="AF53" s="283">
        <f t="shared" si="88"/>
        <v>9700.7723086393416</v>
      </c>
      <c r="AG53" s="283">
        <f t="shared" si="88"/>
        <v>0</v>
      </c>
      <c r="AH53" s="283">
        <f t="shared" si="88"/>
        <v>75180.98539195492</v>
      </c>
      <c r="AI53" s="283">
        <f t="shared" si="88"/>
        <v>0</v>
      </c>
      <c r="AJ53" s="283">
        <f t="shared" si="88"/>
        <v>23080.562515330159</v>
      </c>
      <c r="AK53" s="283">
        <f t="shared" si="88"/>
        <v>0</v>
      </c>
      <c r="AL53" s="283">
        <f t="shared" si="88"/>
        <v>98261.547907285072</v>
      </c>
      <c r="AM53" s="283">
        <f t="shared" si="88"/>
        <v>0</v>
      </c>
      <c r="AN53" s="284"/>
      <c r="AO53" s="284"/>
      <c r="AP53" s="284">
        <f t="shared" si="88"/>
        <v>13.86</v>
      </c>
      <c r="AQ53" s="283"/>
      <c r="AR53" s="283"/>
      <c r="AS53" s="283">
        <f t="shared" si="88"/>
        <v>132686.92799999999</v>
      </c>
      <c r="AT53" s="283"/>
      <c r="AU53" s="283">
        <f t="shared" si="88"/>
        <v>0</v>
      </c>
      <c r="AV53" s="283"/>
      <c r="AW53" s="283">
        <f t="shared" si="88"/>
        <v>0</v>
      </c>
      <c r="AX53" s="283"/>
      <c r="AY53" s="283">
        <f t="shared" si="88"/>
        <v>0</v>
      </c>
      <c r="AZ53" s="283"/>
      <c r="BA53" s="283">
        <f t="shared" si="88"/>
        <v>0</v>
      </c>
      <c r="BB53" s="283"/>
      <c r="BC53" s="281">
        <f>SUM(BC52)</f>
        <v>987.01077244755243</v>
      </c>
      <c r="BD53" s="267"/>
      <c r="BE53" s="281">
        <f>SUM(BE52)</f>
        <v>270.65664527822241</v>
      </c>
      <c r="BF53" s="283"/>
      <c r="BG53" s="283">
        <f t="shared" ref="BG53:BI53" si="89">SUM(BG52)</f>
        <v>13761.640297745962</v>
      </c>
      <c r="BH53" s="283"/>
      <c r="BI53" s="283">
        <f t="shared" si="89"/>
        <v>1530.8806958439295</v>
      </c>
      <c r="BJ53" s="283"/>
      <c r="BK53" s="283">
        <f t="shared" ref="BK53:BQ53" si="90">SUM(BK52)</f>
        <v>1091.1596449100348</v>
      </c>
      <c r="BL53" s="283">
        <f t="shared" si="90"/>
        <v>1266.22991943028</v>
      </c>
      <c r="BM53" s="283">
        <f t="shared" si="90"/>
        <v>249856.05388294102</v>
      </c>
      <c r="BN53" s="283"/>
      <c r="BO53" s="283"/>
      <c r="BP53" s="283"/>
      <c r="BQ53" s="283">
        <f t="shared" si="90"/>
        <v>135.67251461988303</v>
      </c>
    </row>
    <row r="54" spans="1:69" s="319" customFormat="1" x14ac:dyDescent="0.2">
      <c r="A54" s="310"/>
      <c r="B54" s="507" t="s">
        <v>571</v>
      </c>
      <c r="C54" s="507"/>
      <c r="D54" s="507"/>
      <c r="E54" s="507"/>
      <c r="F54" s="311"/>
      <c r="G54" s="312"/>
      <c r="H54" s="313"/>
      <c r="I54" s="313"/>
      <c r="J54" s="312"/>
      <c r="K54" s="314"/>
      <c r="L54" s="315"/>
      <c r="M54" s="316"/>
      <c r="N54" s="316"/>
      <c r="O54" s="315"/>
      <c r="P54" s="315"/>
      <c r="Q54" s="316"/>
      <c r="R54" s="315"/>
      <c r="S54" s="316"/>
      <c r="T54" s="306"/>
      <c r="U54" s="307">
        <v>0</v>
      </c>
      <c r="V54" s="307">
        <v>0</v>
      </c>
      <c r="W54" s="315"/>
      <c r="X54" s="315"/>
      <c r="Y54" s="315"/>
      <c r="Z54" s="315"/>
      <c r="AA54" s="315"/>
      <c r="AB54" s="315"/>
      <c r="AC54" s="315"/>
      <c r="AD54" s="315"/>
      <c r="AE54" s="316"/>
      <c r="AF54" s="316"/>
      <c r="AG54" s="316"/>
      <c r="AH54" s="315"/>
      <c r="AI54" s="315"/>
      <c r="AJ54" s="315"/>
      <c r="AK54" s="315"/>
      <c r="AL54" s="315"/>
      <c r="AM54" s="315"/>
      <c r="AN54" s="317"/>
      <c r="AO54" s="317"/>
      <c r="AP54" s="318"/>
      <c r="AQ54" s="316"/>
      <c r="AR54" s="316"/>
      <c r="AS54" s="315"/>
      <c r="AT54" s="316"/>
      <c r="AU54" s="315"/>
      <c r="AV54" s="315"/>
      <c r="AW54" s="315"/>
      <c r="AX54" s="315"/>
      <c r="AY54" s="315"/>
      <c r="AZ54" s="315"/>
      <c r="BA54" s="315"/>
      <c r="BB54" s="315"/>
      <c r="BC54" s="315"/>
      <c r="BD54" s="25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6"/>
    </row>
    <row r="55" spans="1:69" x14ac:dyDescent="0.2">
      <c r="A55" s="431">
        <v>1</v>
      </c>
      <c r="B55" s="216" t="s">
        <v>572</v>
      </c>
      <c r="C55" s="250"/>
      <c r="D55" s="250" t="s">
        <v>118</v>
      </c>
      <c r="E55" s="219"/>
      <c r="F55" s="223" t="s">
        <v>573</v>
      </c>
      <c r="G55" s="263">
        <v>55</v>
      </c>
      <c r="H55" s="252">
        <v>43666</v>
      </c>
      <c r="I55" s="252">
        <v>43723</v>
      </c>
      <c r="J55" s="253">
        <f>I55-H55</f>
        <v>57</v>
      </c>
      <c r="K55" s="254">
        <v>1</v>
      </c>
      <c r="L55" s="255">
        <f>G55/K55</f>
        <v>55</v>
      </c>
      <c r="M55" s="256"/>
      <c r="N55" s="382">
        <f>L55/J55</f>
        <v>0.96491228070175439</v>
      </c>
      <c r="O55" s="255">
        <f>IF(M55=0,0,L55*$O$6)</f>
        <v>0</v>
      </c>
      <c r="P55" s="255">
        <f>IF(N55=0,0,L55*$O$6)</f>
        <v>439.33198380566802</v>
      </c>
      <c r="Q55" s="256"/>
      <c r="R55" s="255"/>
      <c r="S55" s="256">
        <v>1</v>
      </c>
      <c r="T55" s="257">
        <f>IF(AND(P55&gt;0,S55&gt;0),SUMIF('Исходные данные'!$C$14:$H$14,S55,'Исходные данные'!$C$34:$H$34),IF(P55=0,0,IF(S55=0,"РОТ")))</f>
        <v>98.785605676634574</v>
      </c>
      <c r="U55" s="258">
        <f>O55*R55*'Исходные данные'!$C$40%</f>
        <v>0</v>
      </c>
      <c r="V55" s="258">
        <f>P55*S55*'Исходные данные'!$C$40%</f>
        <v>0</v>
      </c>
      <c r="W55" s="258">
        <f>O55*R55*$W$6</f>
        <v>0</v>
      </c>
      <c r="X55" s="259">
        <f>P55*T55*$W$6</f>
        <v>0</v>
      </c>
      <c r="Y55" s="258">
        <f>(O55*R55+U55+W55)*$Y$6</f>
        <v>0</v>
      </c>
      <c r="Z55" s="259">
        <f>(P55*T55+V55+X55)*$Z$6</f>
        <v>2169.9838056680164</v>
      </c>
      <c r="AA55" s="258">
        <f>(O55*R55+U55)*$AA$6</f>
        <v>0</v>
      </c>
      <c r="AB55" s="259">
        <f>(P55*T55+V55)*$AA$6</f>
        <v>0</v>
      </c>
      <c r="AC55" s="259">
        <v>2.5</v>
      </c>
      <c r="AD55" s="258">
        <f>(O55*R55+U55+W55+Y55+AA55)*AC55</f>
        <v>0</v>
      </c>
      <c r="AE55" s="258">
        <f>(P55*T55+V55+X55+Z55+AB55)*AC55</f>
        <v>113924.14979757086</v>
      </c>
      <c r="AF55" s="255">
        <f>AD55*$AF$6</f>
        <v>0</v>
      </c>
      <c r="AG55" s="256">
        <f>AE55*$AF$6</f>
        <v>16877.651821862346</v>
      </c>
      <c r="AH55" s="255">
        <f>AD55+AF55</f>
        <v>0</v>
      </c>
      <c r="AI55" s="255">
        <f>AE55+AG55</f>
        <v>130801.80161943322</v>
      </c>
      <c r="AJ55" s="255">
        <f>AH55*$AJ$6</f>
        <v>0</v>
      </c>
      <c r="AK55" s="256">
        <f>AI55*$AJ$6</f>
        <v>40156.153097165996</v>
      </c>
      <c r="AL55" s="255">
        <f>AH55+AJ55</f>
        <v>0</v>
      </c>
      <c r="AM55" s="256">
        <f>AK55+AI55</f>
        <v>170957.9547165992</v>
      </c>
      <c r="AN55" s="260"/>
      <c r="AO55" s="260"/>
      <c r="AP55" s="261"/>
      <c r="AQ55" s="256"/>
      <c r="AR55" s="256"/>
      <c r="AS55" s="255"/>
      <c r="AT55" s="256"/>
      <c r="AU55" s="255"/>
      <c r="AV55" s="255"/>
      <c r="AW55" s="255"/>
      <c r="AX55" s="255"/>
      <c r="AY55" s="255"/>
      <c r="AZ55" s="255"/>
      <c r="BA55" s="255"/>
      <c r="BB55" s="255"/>
      <c r="BC55" s="255">
        <f t="shared" ref="BC55" si="91">BB55*J55</f>
        <v>0</v>
      </c>
      <c r="BD55" s="255"/>
      <c r="BE55" s="255"/>
      <c r="BF55" s="255"/>
      <c r="BG55" s="255"/>
      <c r="BH55" s="255"/>
      <c r="BI55" s="255"/>
      <c r="BJ55" s="255"/>
      <c r="BK55" s="255"/>
      <c r="BL55" s="255"/>
      <c r="BM55" s="255">
        <f>AL55+AM55+AS55+AW55+BA55+BC55+BE55+BG55+BI55+BK55+BL55</f>
        <v>170957.9547165992</v>
      </c>
      <c r="BN55" s="255">
        <f>BM55/$D$2</f>
        <v>1709.5795471659919</v>
      </c>
      <c r="BO55" s="255">
        <f>(O55+P55)/$D$2</f>
        <v>4.39331983805668</v>
      </c>
      <c r="BP55" s="255"/>
      <c r="BQ55" s="256"/>
    </row>
    <row r="56" spans="1:69" s="285" customFormat="1" x14ac:dyDescent="0.2">
      <c r="A56" s="273"/>
      <c r="B56" s="274" t="s">
        <v>21</v>
      </c>
      <c r="C56" s="294"/>
      <c r="D56" s="294"/>
      <c r="E56" s="294"/>
      <c r="F56" s="278"/>
      <c r="G56" s="279"/>
      <c r="H56" s="295"/>
      <c r="I56" s="295"/>
      <c r="J56" s="281">
        <f>SUM(J55)</f>
        <v>57</v>
      </c>
      <c r="K56" s="281"/>
      <c r="L56" s="283">
        <f t="shared" ref="L56:BA56" si="92">SUM(L55)</f>
        <v>55</v>
      </c>
      <c r="M56" s="283">
        <f t="shared" si="92"/>
        <v>0</v>
      </c>
      <c r="N56" s="283">
        <f t="shared" si="92"/>
        <v>0.96491228070175439</v>
      </c>
      <c r="O56" s="283">
        <f t="shared" si="92"/>
        <v>0</v>
      </c>
      <c r="P56" s="283">
        <f t="shared" si="92"/>
        <v>439.33198380566802</v>
      </c>
      <c r="Q56" s="283">
        <f t="shared" ref="Q56:T56" si="93">SUM(Q55)</f>
        <v>0</v>
      </c>
      <c r="R56" s="283">
        <f t="shared" si="93"/>
        <v>0</v>
      </c>
      <c r="S56" s="283">
        <f t="shared" si="93"/>
        <v>1</v>
      </c>
      <c r="T56" s="283">
        <f t="shared" si="93"/>
        <v>98.785605676634574</v>
      </c>
      <c r="U56" s="296">
        <v>0</v>
      </c>
      <c r="V56" s="296">
        <v>0</v>
      </c>
      <c r="W56" s="283">
        <f t="shared" si="92"/>
        <v>0</v>
      </c>
      <c r="X56" s="283">
        <f t="shared" si="92"/>
        <v>0</v>
      </c>
      <c r="Y56" s="283">
        <f t="shared" si="92"/>
        <v>0</v>
      </c>
      <c r="Z56" s="283">
        <f t="shared" si="92"/>
        <v>2169.9838056680164</v>
      </c>
      <c r="AA56" s="283">
        <f t="shared" si="92"/>
        <v>0</v>
      </c>
      <c r="AB56" s="283">
        <f t="shared" si="92"/>
        <v>0</v>
      </c>
      <c r="AC56" s="283"/>
      <c r="AD56" s="283">
        <f t="shared" si="92"/>
        <v>0</v>
      </c>
      <c r="AE56" s="283">
        <f t="shared" si="92"/>
        <v>113924.14979757086</v>
      </c>
      <c r="AF56" s="283">
        <f t="shared" si="92"/>
        <v>0</v>
      </c>
      <c r="AG56" s="283">
        <f t="shared" si="92"/>
        <v>16877.651821862346</v>
      </c>
      <c r="AH56" s="283">
        <f t="shared" si="92"/>
        <v>0</v>
      </c>
      <c r="AI56" s="283">
        <f t="shared" si="92"/>
        <v>130801.80161943322</v>
      </c>
      <c r="AJ56" s="283">
        <f t="shared" si="92"/>
        <v>0</v>
      </c>
      <c r="AK56" s="283">
        <f t="shared" si="92"/>
        <v>40156.153097165996</v>
      </c>
      <c r="AL56" s="283">
        <f t="shared" si="92"/>
        <v>0</v>
      </c>
      <c r="AM56" s="283">
        <f t="shared" si="92"/>
        <v>170957.9547165992</v>
      </c>
      <c r="AN56" s="284"/>
      <c r="AO56" s="284"/>
      <c r="AP56" s="284">
        <f t="shared" si="92"/>
        <v>0</v>
      </c>
      <c r="AQ56" s="283"/>
      <c r="AR56" s="283"/>
      <c r="AS56" s="283">
        <f t="shared" si="92"/>
        <v>0</v>
      </c>
      <c r="AT56" s="283"/>
      <c r="AU56" s="283">
        <f t="shared" si="92"/>
        <v>0</v>
      </c>
      <c r="AV56" s="283"/>
      <c r="AW56" s="283">
        <f t="shared" si="92"/>
        <v>0</v>
      </c>
      <c r="AX56" s="283"/>
      <c r="AY56" s="283">
        <f t="shared" si="92"/>
        <v>0</v>
      </c>
      <c r="AZ56" s="283"/>
      <c r="BA56" s="283">
        <f t="shared" si="92"/>
        <v>0</v>
      </c>
      <c r="BB56" s="283"/>
      <c r="BC56" s="281">
        <f>SUM(BC55)</f>
        <v>0</v>
      </c>
      <c r="BD56" s="267"/>
      <c r="BE56" s="281">
        <f>SUM(BE55)</f>
        <v>0</v>
      </c>
      <c r="BF56" s="283"/>
      <c r="BG56" s="283">
        <f t="shared" ref="BG56:BI56" si="94">SUM(BG55)</f>
        <v>0</v>
      </c>
      <c r="BH56" s="283"/>
      <c r="BI56" s="283">
        <f t="shared" si="94"/>
        <v>0</v>
      </c>
      <c r="BJ56" s="283"/>
      <c r="BK56" s="283">
        <f t="shared" ref="BK56:BQ56" si="95">SUM(BK55)</f>
        <v>0</v>
      </c>
      <c r="BL56" s="283">
        <f t="shared" si="95"/>
        <v>0</v>
      </c>
      <c r="BM56" s="283">
        <f t="shared" si="95"/>
        <v>170957.9547165992</v>
      </c>
      <c r="BN56" s="283"/>
      <c r="BO56" s="283"/>
      <c r="BP56" s="283"/>
      <c r="BQ56" s="283">
        <f t="shared" si="95"/>
        <v>0</v>
      </c>
    </row>
    <row r="57" spans="1:69" s="293" customFormat="1" x14ac:dyDescent="0.2">
      <c r="A57" s="286"/>
      <c r="B57" s="274" t="s">
        <v>29</v>
      </c>
      <c r="C57" s="274"/>
      <c r="D57" s="274"/>
      <c r="E57" s="274"/>
      <c r="F57" s="287"/>
      <c r="G57" s="288"/>
      <c r="H57" s="297"/>
      <c r="I57" s="297"/>
      <c r="J57" s="290">
        <f>J27+J31+J38+J50+J53+J56</f>
        <v>412</v>
      </c>
      <c r="K57" s="290"/>
      <c r="L57" s="291">
        <f t="shared" ref="L57:BA57" si="96">L27+L31+L38+L50+L53+L56</f>
        <v>4298.1774051641787</v>
      </c>
      <c r="M57" s="291">
        <f t="shared" si="96"/>
        <v>253.74560692078478</v>
      </c>
      <c r="N57" s="291">
        <f t="shared" si="96"/>
        <v>469.09400925818699</v>
      </c>
      <c r="O57" s="291">
        <f t="shared" si="96"/>
        <v>9260.2764687781109</v>
      </c>
      <c r="P57" s="291">
        <f t="shared" si="96"/>
        <v>28489.581974895962</v>
      </c>
      <c r="Q57" s="291">
        <f t="shared" ref="Q57:T57" si="97">Q27+Q31+Q38+Q50+Q53+Q56</f>
        <v>113</v>
      </c>
      <c r="R57" s="291">
        <f t="shared" si="97"/>
        <v>4629.093482007097</v>
      </c>
      <c r="S57" s="291">
        <f t="shared" si="97"/>
        <v>45</v>
      </c>
      <c r="T57" s="291">
        <f t="shared" si="97"/>
        <v>1982.6271059300559</v>
      </c>
      <c r="U57" s="291">
        <f t="shared" si="96"/>
        <v>0</v>
      </c>
      <c r="V57" s="291">
        <f t="shared" si="96"/>
        <v>0</v>
      </c>
      <c r="W57" s="291">
        <f t="shared" si="96"/>
        <v>0</v>
      </c>
      <c r="X57" s="291">
        <f t="shared" si="96"/>
        <v>0</v>
      </c>
      <c r="Y57" s="291">
        <f t="shared" si="96"/>
        <v>157456.79781993671</v>
      </c>
      <c r="Z57" s="291">
        <f t="shared" si="96"/>
        <v>156026.26374870777</v>
      </c>
      <c r="AA57" s="291">
        <f t="shared" si="96"/>
        <v>0</v>
      </c>
      <c r="AB57" s="291">
        <f t="shared" si="96"/>
        <v>0</v>
      </c>
      <c r="AC57" s="291"/>
      <c r="AD57" s="291">
        <f t="shared" si="96"/>
        <v>4330061.9400482588</v>
      </c>
      <c r="AE57" s="291">
        <f t="shared" si="96"/>
        <v>8191378.8468071548</v>
      </c>
      <c r="AF57" s="291">
        <f t="shared" si="96"/>
        <v>641490.65778492705</v>
      </c>
      <c r="AG57" s="291">
        <f t="shared" si="96"/>
        <v>1213537.6069343933</v>
      </c>
      <c r="AH57" s="291">
        <f t="shared" si="96"/>
        <v>4971552.5978331855</v>
      </c>
      <c r="AI57" s="291">
        <f t="shared" si="96"/>
        <v>9404916.4537415486</v>
      </c>
      <c r="AJ57" s="291">
        <f t="shared" si="96"/>
        <v>1526266.6475347881</v>
      </c>
      <c r="AK57" s="291">
        <f t="shared" si="96"/>
        <v>2887309.3512986554</v>
      </c>
      <c r="AL57" s="291">
        <f t="shared" si="96"/>
        <v>6497819.245367974</v>
      </c>
      <c r="AM57" s="291">
        <f t="shared" si="96"/>
        <v>12292225.805040203</v>
      </c>
      <c r="AN57" s="292"/>
      <c r="AO57" s="292"/>
      <c r="AP57" s="292">
        <f t="shared" si="96"/>
        <v>609.72719999999993</v>
      </c>
      <c r="AQ57" s="291"/>
      <c r="AR57" s="291"/>
      <c r="AS57" s="291">
        <f t="shared" si="96"/>
        <v>5835082.4869028563</v>
      </c>
      <c r="AT57" s="291"/>
      <c r="AU57" s="291">
        <f t="shared" si="96"/>
        <v>400</v>
      </c>
      <c r="AV57" s="291"/>
      <c r="AW57" s="291">
        <f t="shared" si="96"/>
        <v>16000000</v>
      </c>
      <c r="AX57" s="291"/>
      <c r="AY57" s="291">
        <f t="shared" si="96"/>
        <v>2550</v>
      </c>
      <c r="AZ57" s="291"/>
      <c r="BA57" s="291">
        <f t="shared" si="96"/>
        <v>4185000</v>
      </c>
      <c r="BB57" s="291"/>
      <c r="BC57" s="290">
        <f>BC27+BC31+BC38+BC50+BC53+BC56</f>
        <v>107238.09372334562</v>
      </c>
      <c r="BD57" s="268"/>
      <c r="BE57" s="290">
        <f>BE27+BE31+BE38+BE50+BE53+BE56</f>
        <v>80730.462545139031</v>
      </c>
      <c r="BF57" s="291"/>
      <c r="BG57" s="291">
        <f t="shared" ref="BG57:BI57" si="98">BG27+BG31+BG38+BG50+BG53+BG56</f>
        <v>706979.57363511145</v>
      </c>
      <c r="BH57" s="291"/>
      <c r="BI57" s="291">
        <f t="shared" si="98"/>
        <v>96909.388067637832</v>
      </c>
      <c r="BJ57" s="291"/>
      <c r="BK57" s="291">
        <f t="shared" ref="BK57:BQ57" si="99">BK27+BK31+BK38+BK50+BK53+BK56</f>
        <v>49368.239621175773</v>
      </c>
      <c r="BL57" s="291">
        <f t="shared" si="99"/>
        <v>228313.18089875774</v>
      </c>
      <c r="BM57" s="291">
        <f t="shared" si="99"/>
        <v>46079666.475802198</v>
      </c>
      <c r="BN57" s="291"/>
      <c r="BO57" s="291"/>
      <c r="BP57" s="291"/>
      <c r="BQ57" s="291">
        <f t="shared" si="99"/>
        <v>7049.8093718592718</v>
      </c>
    </row>
    <row r="60" spans="1:69" x14ac:dyDescent="0.2">
      <c r="AD60" s="243">
        <f>AD57/O57</f>
        <v>467.59532014486479</v>
      </c>
      <c r="AE60" s="329">
        <f>AD60*'Исходные данные'!B6</f>
        <v>76880.46388715152</v>
      </c>
      <c r="AF60" s="329">
        <f>AE60/29.25</f>
        <v>2628.3919277658638</v>
      </c>
      <c r="AG60" s="329">
        <f>AF60*(52/12)</f>
        <v>11389.698353652075</v>
      </c>
      <c r="AH60" s="329">
        <f>AG60/AE60*100</f>
        <v>14.814814814814811</v>
      </c>
    </row>
    <row r="61" spans="1:69" x14ac:dyDescent="0.2">
      <c r="AG61" s="329"/>
      <c r="AH61" s="329"/>
    </row>
  </sheetData>
  <mergeCells count="118">
    <mergeCell ref="D49:E49"/>
    <mergeCell ref="B51:E51"/>
    <mergeCell ref="B54:E54"/>
    <mergeCell ref="B32:E32"/>
    <mergeCell ref="B39:E39"/>
    <mergeCell ref="D42:E42"/>
    <mergeCell ref="D44:E44"/>
    <mergeCell ref="D45:E45"/>
    <mergeCell ref="D48:E48"/>
    <mergeCell ref="B9:E9"/>
    <mergeCell ref="B10:E10"/>
    <mergeCell ref="D19:E19"/>
    <mergeCell ref="D22:E22"/>
    <mergeCell ref="D23:E23"/>
    <mergeCell ref="B28:E28"/>
    <mergeCell ref="BF7:BF8"/>
    <mergeCell ref="BG7:BG8"/>
    <mergeCell ref="BH7:BH8"/>
    <mergeCell ref="O7:O8"/>
    <mergeCell ref="P7:P8"/>
    <mergeCell ref="Q7:Q8"/>
    <mergeCell ref="R7:R8"/>
    <mergeCell ref="S7:S8"/>
    <mergeCell ref="T7:T8"/>
    <mergeCell ref="AT6:AT8"/>
    <mergeCell ref="AU6:AU8"/>
    <mergeCell ref="AV6:AV8"/>
    <mergeCell ref="AW6:AW8"/>
    <mergeCell ref="AX6:AX8"/>
    <mergeCell ref="AY6:AY8"/>
    <mergeCell ref="AN6:AN8"/>
    <mergeCell ref="AO6:AO8"/>
    <mergeCell ref="AP6:AP8"/>
    <mergeCell ref="AQ6:AQ8"/>
    <mergeCell ref="AR6:AR8"/>
    <mergeCell ref="AS6:AS8"/>
    <mergeCell ref="BJ6:BK6"/>
    <mergeCell ref="BL6:BL8"/>
    <mergeCell ref="BM6:BM8"/>
    <mergeCell ref="BN6:BN8"/>
    <mergeCell ref="BP6:BP8"/>
    <mergeCell ref="BQ6:BQ8"/>
    <mergeCell ref="AZ6:AZ8"/>
    <mergeCell ref="BA6:BA8"/>
    <mergeCell ref="BB6:BC6"/>
    <mergeCell ref="BD6:BE6"/>
    <mergeCell ref="BF6:BG6"/>
    <mergeCell ref="BH6:BI6"/>
    <mergeCell ref="BB7:BB8"/>
    <mergeCell ref="BC7:BC8"/>
    <mergeCell ref="BD7:BD8"/>
    <mergeCell ref="BE7:BE8"/>
    <mergeCell ref="BI7:BI8"/>
    <mergeCell ref="BJ7:BJ8"/>
    <mergeCell ref="BK7:BK8"/>
    <mergeCell ref="AJ6:AK6"/>
    <mergeCell ref="AL6:AL8"/>
    <mergeCell ref="AM6:AM8"/>
    <mergeCell ref="V6:V8"/>
    <mergeCell ref="W6:X6"/>
    <mergeCell ref="AA6:AB6"/>
    <mergeCell ref="AC6:AC8"/>
    <mergeCell ref="AD6:AD8"/>
    <mergeCell ref="AE6:AE8"/>
    <mergeCell ref="W7:W8"/>
    <mergeCell ref="X7:X8"/>
    <mergeCell ref="Y7:Y8"/>
    <mergeCell ref="Z7:Z8"/>
    <mergeCell ref="AA7:AA8"/>
    <mergeCell ref="AB7:AB8"/>
    <mergeCell ref="AF7:AF8"/>
    <mergeCell ref="AG7:AG8"/>
    <mergeCell ref="AJ7:AJ8"/>
    <mergeCell ref="AK7:AK8"/>
    <mergeCell ref="AF6:AG6"/>
    <mergeCell ref="AH6:AH8"/>
    <mergeCell ref="AI6:AI8"/>
    <mergeCell ref="BF4:BL5"/>
    <mergeCell ref="BM4:BN5"/>
    <mergeCell ref="BO4:BO8"/>
    <mergeCell ref="BP4:BQ5"/>
    <mergeCell ref="B6:B8"/>
    <mergeCell ref="C6:E6"/>
    <mergeCell ref="H6:H8"/>
    <mergeCell ref="I6:I8"/>
    <mergeCell ref="M6:M8"/>
    <mergeCell ref="N6:N8"/>
    <mergeCell ref="AJ4:AK5"/>
    <mergeCell ref="AL4:AM5"/>
    <mergeCell ref="AN4:AS5"/>
    <mergeCell ref="AT4:AW5"/>
    <mergeCell ref="AX4:BA5"/>
    <mergeCell ref="BB4:BE5"/>
    <mergeCell ref="W4:X5"/>
    <mergeCell ref="Y4:Z5"/>
    <mergeCell ref="AA4:AB5"/>
    <mergeCell ref="AC4:AE5"/>
    <mergeCell ref="AF4:AG5"/>
    <mergeCell ref="AH4:AI5"/>
    <mergeCell ref="K4:K8"/>
    <mergeCell ref="L4:L8"/>
    <mergeCell ref="M4:N5"/>
    <mergeCell ref="O4:P5"/>
    <mergeCell ref="Q4:T5"/>
    <mergeCell ref="U4:V5"/>
    <mergeCell ref="O6:P6"/>
    <mergeCell ref="Q6:R6"/>
    <mergeCell ref="S6:T6"/>
    <mergeCell ref="U6:U8"/>
    <mergeCell ref="A4:A8"/>
    <mergeCell ref="B4:E5"/>
    <mergeCell ref="F4:F8"/>
    <mergeCell ref="G4:G8"/>
    <mergeCell ref="H4:I5"/>
    <mergeCell ref="J4:J8"/>
    <mergeCell ref="C7:C8"/>
    <mergeCell ref="D7:D8"/>
    <mergeCell ref="E7:E8"/>
  </mergeCells>
  <dataValidations count="1">
    <dataValidation type="list" allowBlank="1" showInputMessage="1" showErrorMessage="1" sqref="AQ29:AQ30 AQ54:AR55 AQ46:AQ49 AQ39:AR39 AQ44:AR45 AQ43 AQ42:AR42 AQ40:AQ41 AQ51:AR51 AQ33:AQ37 AQ52 AR22:AR23 AQ19:AR19 AR48:AR49 AQ20:AQ26 AQ11:AQ1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headerFooter>
    <oddFooter>&amp;LОтдел СЭР села ЯНИИСХ</oddFooter>
  </headerFooter>
  <colBreaks count="1" manualBreakCount="1">
    <brk id="37" min="1" max="5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Q44"/>
  <sheetViews>
    <sheetView tabSelected="1" view="pageBreakPreview" zoomScale="90" zoomScaleNormal="100" zoomScaleSheetLayoutView="90" workbookViewId="0">
      <selection activeCell="F11" sqref="F11"/>
    </sheetView>
  </sheetViews>
  <sheetFormatPr defaultColWidth="9.140625" defaultRowHeight="12.75" x14ac:dyDescent="0.2"/>
  <cols>
    <col min="1" max="1" width="50.42578125" style="341" bestFit="1" customWidth="1"/>
    <col min="2" max="3" width="12.140625" style="341" customWidth="1"/>
    <col min="4" max="4" width="10.85546875" style="341" bestFit="1" customWidth="1"/>
    <col min="5" max="16384" width="9.140625" style="341"/>
  </cols>
  <sheetData>
    <row r="1" spans="1:69" s="234" customFormat="1" x14ac:dyDescent="0.2">
      <c r="A1" s="238" t="s">
        <v>679</v>
      </c>
      <c r="B1" s="238"/>
      <c r="C1" s="238"/>
      <c r="J1" s="239"/>
      <c r="AK1" s="240"/>
      <c r="AL1" s="327"/>
      <c r="AM1" s="327"/>
      <c r="AN1" s="240"/>
      <c r="AO1" s="240"/>
      <c r="AP1" s="240"/>
      <c r="AQ1" s="240"/>
      <c r="AR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1"/>
    </row>
    <row r="2" spans="1:69" s="234" customFormat="1" x14ac:dyDescent="0.2">
      <c r="A2" s="238"/>
      <c r="B2" s="238"/>
      <c r="C2" s="238"/>
      <c r="J2" s="239"/>
      <c r="AK2" s="240"/>
      <c r="AL2" s="240"/>
      <c r="AM2" s="240"/>
      <c r="AN2" s="240"/>
      <c r="AO2" s="240"/>
      <c r="AP2" s="240"/>
      <c r="AQ2" s="240"/>
      <c r="AR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1"/>
    </row>
    <row r="3" spans="1:69" s="234" customFormat="1" x14ac:dyDescent="0.2">
      <c r="A3" s="230"/>
      <c r="B3" s="230"/>
      <c r="C3" s="230"/>
      <c r="J3" s="239"/>
      <c r="AK3" s="240"/>
      <c r="AL3" s="240"/>
      <c r="AM3" s="240"/>
      <c r="AN3" s="240"/>
      <c r="AO3" s="240"/>
      <c r="AP3" s="240"/>
      <c r="AQ3" s="240"/>
      <c r="AR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1:69" s="234" customFormat="1" ht="12.75" customHeight="1" x14ac:dyDescent="0.2">
      <c r="A4" s="238" t="s">
        <v>533</v>
      </c>
      <c r="B4" s="239"/>
      <c r="C4" s="239"/>
      <c r="D4" s="239"/>
      <c r="E4" s="238"/>
      <c r="J4" s="239"/>
      <c r="AK4" s="240"/>
      <c r="AL4" s="240"/>
      <c r="AM4" s="240"/>
      <c r="AN4" s="240"/>
      <c r="AO4" s="240"/>
      <c r="AP4" s="240"/>
      <c r="AQ4" s="240"/>
      <c r="AR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1"/>
    </row>
    <row r="5" spans="1:69" s="234" customFormat="1" ht="12.75" customHeight="1" x14ac:dyDescent="0.2">
      <c r="A5" s="238" t="s">
        <v>362</v>
      </c>
      <c r="B5" s="239">
        <f>Картофель!D2</f>
        <v>100</v>
      </c>
      <c r="C5" s="239"/>
      <c r="D5" s="239"/>
      <c r="I5" s="239"/>
      <c r="AJ5" s="240"/>
      <c r="AM5" s="240"/>
      <c r="AN5" s="240"/>
      <c r="AO5" s="240"/>
      <c r="AP5" s="240"/>
      <c r="AQ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1"/>
    </row>
    <row r="6" spans="1:69" s="234" customFormat="1" ht="12.75" customHeight="1" x14ac:dyDescent="0.2">
      <c r="A6" s="234" t="s">
        <v>353</v>
      </c>
      <c r="B6" s="328">
        <f>Картофель!I2</f>
        <v>100</v>
      </c>
      <c r="C6" s="328"/>
      <c r="D6" s="328"/>
      <c r="I6" s="239"/>
      <c r="AJ6" s="240"/>
      <c r="AM6" s="240"/>
      <c r="AN6" s="240"/>
      <c r="AO6" s="240"/>
      <c r="AP6" s="240"/>
      <c r="AQ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1"/>
    </row>
    <row r="7" spans="1:69" s="234" customFormat="1" ht="12.75" customHeight="1" x14ac:dyDescent="0.2">
      <c r="A7" s="242" t="s">
        <v>357</v>
      </c>
      <c r="B7" s="386">
        <f>Картофель!M2</f>
        <v>10000</v>
      </c>
      <c r="C7" s="329"/>
      <c r="D7" s="329"/>
      <c r="I7" s="239"/>
      <c r="AJ7" s="240"/>
      <c r="AM7" s="240"/>
      <c r="AN7" s="240"/>
      <c r="AO7" s="240"/>
      <c r="AP7" s="240"/>
      <c r="AQ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1"/>
    </row>
    <row r="8" spans="1:69" s="331" customFormat="1" ht="12.75" customHeight="1" x14ac:dyDescent="0.2">
      <c r="A8" s="45" t="s">
        <v>596</v>
      </c>
      <c r="B8" s="332">
        <f>B7*10%</f>
        <v>1000</v>
      </c>
      <c r="C8" s="330"/>
      <c r="E8" s="234"/>
      <c r="G8" s="234"/>
      <c r="J8" s="332"/>
      <c r="AK8" s="333"/>
      <c r="AL8" s="333"/>
      <c r="AM8" s="333"/>
      <c r="AN8" s="333"/>
      <c r="AO8" s="333"/>
      <c r="AP8" s="333"/>
      <c r="AQ8" s="333"/>
      <c r="AR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4"/>
    </row>
    <row r="9" spans="1:69" s="331" customFormat="1" ht="12.75" customHeight="1" x14ac:dyDescent="0.2">
      <c r="A9" s="45" t="s">
        <v>597</v>
      </c>
      <c r="B9" s="387">
        <f>B7-B8</f>
        <v>9000</v>
      </c>
      <c r="C9" s="330"/>
      <c r="E9" s="234"/>
      <c r="G9" s="234"/>
      <c r="J9" s="332"/>
      <c r="AK9" s="333"/>
      <c r="AL9" s="333"/>
      <c r="AM9" s="333"/>
      <c r="AN9" s="333"/>
      <c r="AO9" s="333"/>
      <c r="AP9" s="333"/>
      <c r="AQ9" s="333"/>
      <c r="AR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4"/>
    </row>
    <row r="10" spans="1:69" s="336" customFormat="1" ht="33.75" customHeight="1" x14ac:dyDescent="0.2">
      <c r="A10" s="320"/>
      <c r="B10" s="335" t="s">
        <v>29</v>
      </c>
      <c r="C10" s="321" t="s">
        <v>335</v>
      </c>
      <c r="D10" s="321" t="s">
        <v>339</v>
      </c>
    </row>
    <row r="11" spans="1:69" s="340" customFormat="1" x14ac:dyDescent="0.2">
      <c r="A11" s="322" t="s">
        <v>352</v>
      </c>
      <c r="B11" s="337">
        <f>Картофель!AL57+Картофель!AM57</f>
        <v>18790045.050408177</v>
      </c>
      <c r="C11" s="338">
        <f>B11/$B$5</f>
        <v>187900.45050408176</v>
      </c>
      <c r="D11" s="339">
        <f t="shared" ref="D11:D27" si="0">B11/$B$27%</f>
        <v>38.588075943155815</v>
      </c>
    </row>
    <row r="12" spans="1:69" s="340" customFormat="1" x14ac:dyDescent="0.2">
      <c r="A12" s="323" t="s">
        <v>349</v>
      </c>
      <c r="B12" s="338">
        <f>Картофель!AW57</f>
        <v>16000000</v>
      </c>
      <c r="C12" s="338">
        <f t="shared" ref="C12:C27" si="1">B12/$B$5</f>
        <v>160000</v>
      </c>
      <c r="D12" s="339">
        <f t="shared" si="0"/>
        <v>32.858314784992011</v>
      </c>
    </row>
    <row r="13" spans="1:69" s="340" customFormat="1" x14ac:dyDescent="0.2">
      <c r="A13" s="323" t="s">
        <v>350</v>
      </c>
      <c r="B13" s="338">
        <f>Картофель!BA57</f>
        <v>4185000</v>
      </c>
      <c r="C13" s="338">
        <f t="shared" si="1"/>
        <v>41850</v>
      </c>
      <c r="D13" s="339">
        <f t="shared" si="0"/>
        <v>8.5945029609494732</v>
      </c>
    </row>
    <row r="14" spans="1:69" s="340" customFormat="1" x14ac:dyDescent="0.2">
      <c r="A14" s="323" t="s">
        <v>576</v>
      </c>
      <c r="B14" s="338"/>
      <c r="C14" s="338">
        <f t="shared" si="1"/>
        <v>0</v>
      </c>
      <c r="D14" s="339">
        <f t="shared" si="0"/>
        <v>0</v>
      </c>
    </row>
    <row r="15" spans="1:69" s="340" customFormat="1" x14ac:dyDescent="0.2">
      <c r="A15" s="323" t="s">
        <v>351</v>
      </c>
      <c r="B15" s="338">
        <f>B16+B19+B22</f>
        <v>7104621.4253940238</v>
      </c>
      <c r="C15" s="338">
        <f t="shared" si="1"/>
        <v>71046.214253940241</v>
      </c>
      <c r="D15" s="338">
        <f t="shared" si="0"/>
        <v>14.590367951487218</v>
      </c>
    </row>
    <row r="16" spans="1:69" x14ac:dyDescent="0.2">
      <c r="A16" s="324" t="s">
        <v>333</v>
      </c>
      <c r="B16" s="179">
        <f>B17+B18</f>
        <v>187968.55626848465</v>
      </c>
      <c r="C16" s="179">
        <f t="shared" si="1"/>
        <v>1879.6855626848464</v>
      </c>
      <c r="D16" s="342">
        <f t="shared" si="0"/>
        <v>0.38602062447189706</v>
      </c>
    </row>
    <row r="17" spans="1:4" x14ac:dyDescent="0.2">
      <c r="A17" s="325" t="s">
        <v>340</v>
      </c>
      <c r="B17" s="179">
        <f>Картофель!BC57</f>
        <v>107238.09372334562</v>
      </c>
      <c r="C17" s="179">
        <f t="shared" si="1"/>
        <v>1072.3809372334563</v>
      </c>
      <c r="D17" s="342">
        <f t="shared" si="0"/>
        <v>0.22022894003151042</v>
      </c>
    </row>
    <row r="18" spans="1:4" x14ac:dyDescent="0.2">
      <c r="A18" s="325" t="s">
        <v>341</v>
      </c>
      <c r="B18" s="179">
        <f>Картофель!BE57</f>
        <v>80730.462545139031</v>
      </c>
      <c r="C18" s="179">
        <f t="shared" si="1"/>
        <v>807.30462545139028</v>
      </c>
      <c r="D18" s="342">
        <f t="shared" si="0"/>
        <v>0.16579168444038661</v>
      </c>
    </row>
    <row r="19" spans="1:4" x14ac:dyDescent="0.2">
      <c r="A19" s="324" t="s">
        <v>334</v>
      </c>
      <c r="B19" s="179">
        <f>B20+B21</f>
        <v>1081570.3822226827</v>
      </c>
      <c r="C19" s="179">
        <f t="shared" si="1"/>
        <v>10815.703822226827</v>
      </c>
      <c r="D19" s="179">
        <f t="shared" si="0"/>
        <v>2.221161255074815</v>
      </c>
    </row>
    <row r="20" spans="1:4" x14ac:dyDescent="0.2">
      <c r="A20" s="325" t="s">
        <v>340</v>
      </c>
      <c r="B20" s="179">
        <f>Картофель!BG57+Картофель!BI57+Картофель!BK57</f>
        <v>853257.20132392505</v>
      </c>
      <c r="C20" s="179">
        <f t="shared" si="1"/>
        <v>8532.5720132392507</v>
      </c>
      <c r="D20" s="342">
        <f t="shared" si="0"/>
        <v>1.7522871071039272</v>
      </c>
    </row>
    <row r="21" spans="1:4" x14ac:dyDescent="0.2">
      <c r="A21" s="325" t="s">
        <v>341</v>
      </c>
      <c r="B21" s="179">
        <f>Картофель!BL57</f>
        <v>228313.18089875774</v>
      </c>
      <c r="C21" s="179">
        <f t="shared" si="1"/>
        <v>2283.1318089875772</v>
      </c>
      <c r="D21" s="342">
        <f t="shared" si="0"/>
        <v>0.468874147970888</v>
      </c>
    </row>
    <row r="22" spans="1:4" x14ac:dyDescent="0.2">
      <c r="A22" s="324" t="s">
        <v>332</v>
      </c>
      <c r="B22" s="179">
        <f>Картофель!AS57</f>
        <v>5835082.4869028563</v>
      </c>
      <c r="C22" s="179">
        <f t="shared" si="1"/>
        <v>58350.824869028562</v>
      </c>
      <c r="D22" s="342">
        <f t="shared" si="0"/>
        <v>11.983186071940505</v>
      </c>
    </row>
    <row r="23" spans="1:4" s="340" customFormat="1" x14ac:dyDescent="0.2">
      <c r="A23" s="323" t="s">
        <v>342</v>
      </c>
      <c r="B23" s="338">
        <f>B24</f>
        <v>22529.333333333332</v>
      </c>
      <c r="C23" s="338">
        <f t="shared" si="1"/>
        <v>225.29333333333332</v>
      </c>
      <c r="D23" s="338">
        <f t="shared" si="0"/>
        <v>4.6267245410167503E-2</v>
      </c>
    </row>
    <row r="24" spans="1:4" x14ac:dyDescent="0.2">
      <c r="A24" s="325" t="s">
        <v>361</v>
      </c>
      <c r="B24" s="179">
        <f>(B6*100*4/1000*33794/15)*25%</f>
        <v>22529.333333333332</v>
      </c>
      <c r="C24" s="179">
        <f t="shared" si="1"/>
        <v>225.29333333333332</v>
      </c>
      <c r="D24" s="342">
        <f t="shared" si="0"/>
        <v>4.6267245410167503E-2</v>
      </c>
    </row>
    <row r="25" spans="1:4" s="340" customFormat="1" x14ac:dyDescent="0.2">
      <c r="A25" s="323" t="s">
        <v>343</v>
      </c>
      <c r="B25" s="338">
        <f>B11+B12+B13+B14+B15+B23</f>
        <v>46102195.809135534</v>
      </c>
      <c r="C25" s="338">
        <f t="shared" si="1"/>
        <v>461021.95809135534</v>
      </c>
      <c r="D25" s="338">
        <f t="shared" si="0"/>
        <v>94.67752888599469</v>
      </c>
    </row>
    <row r="26" spans="1:4" s="340" customFormat="1" x14ac:dyDescent="0.2">
      <c r="A26" s="323" t="s">
        <v>344</v>
      </c>
      <c r="B26" s="338">
        <f>(B25-B12-B13)*10%</f>
        <v>2591719.5809135535</v>
      </c>
      <c r="C26" s="338">
        <f t="shared" si="1"/>
        <v>25917.195809135534</v>
      </c>
      <c r="D26" s="338">
        <f t="shared" si="0"/>
        <v>5.32247111400532</v>
      </c>
    </row>
    <row r="27" spans="1:4" s="340" customFormat="1" x14ac:dyDescent="0.2">
      <c r="A27" s="323" t="s">
        <v>345</v>
      </c>
      <c r="B27" s="338">
        <f>B25+B26</f>
        <v>48693915.390049085</v>
      </c>
      <c r="C27" s="338">
        <f t="shared" si="1"/>
        <v>486939.15390049084</v>
      </c>
      <c r="D27" s="338">
        <f t="shared" si="0"/>
        <v>100</v>
      </c>
    </row>
    <row r="28" spans="1:4" x14ac:dyDescent="0.2">
      <c r="A28" s="324" t="s">
        <v>346</v>
      </c>
      <c r="B28" s="179">
        <f>B27/B5</f>
        <v>486939.15390049084</v>
      </c>
      <c r="C28" s="179"/>
      <c r="D28" s="179"/>
    </row>
    <row r="29" spans="1:4" x14ac:dyDescent="0.2">
      <c r="A29" s="324" t="s">
        <v>577</v>
      </c>
      <c r="B29" s="179">
        <f>B27/B9</f>
        <v>5410.4350433387872</v>
      </c>
      <c r="C29" s="179"/>
      <c r="D29" s="179"/>
    </row>
    <row r="30" spans="1:4" x14ac:dyDescent="0.2">
      <c r="A30" s="343" t="s">
        <v>578</v>
      </c>
      <c r="B30" s="344">
        <f>B29/100</f>
        <v>54.104350433387872</v>
      </c>
      <c r="C30" s="345"/>
      <c r="D30" s="345"/>
    </row>
    <row r="31" spans="1:4" x14ac:dyDescent="0.2">
      <c r="A31" s="324" t="s">
        <v>347</v>
      </c>
      <c r="B31" s="179">
        <f>Картофель!O57+Картофель!P57</f>
        <v>37749.858443674071</v>
      </c>
      <c r="C31" s="179"/>
      <c r="D31" s="179"/>
    </row>
    <row r="32" spans="1:4" x14ac:dyDescent="0.2">
      <c r="A32" s="325" t="s">
        <v>335</v>
      </c>
      <c r="B32" s="179">
        <f>B31/B5</f>
        <v>377.49858443674071</v>
      </c>
      <c r="C32" s="179"/>
      <c r="D32" s="179"/>
    </row>
    <row r="33" spans="1:4" x14ac:dyDescent="0.2">
      <c r="A33" s="325" t="s">
        <v>336</v>
      </c>
      <c r="B33" s="179">
        <f>B31/B7</f>
        <v>3.7749858443674071</v>
      </c>
      <c r="C33" s="179"/>
      <c r="D33" s="179"/>
    </row>
    <row r="34" spans="1:4" x14ac:dyDescent="0.2">
      <c r="A34" s="324" t="s">
        <v>354</v>
      </c>
      <c r="B34" s="179">
        <f>(Картофель!AH57+Картофель!AI57)/'Картофель себ'!B31</f>
        <v>380.83504532939168</v>
      </c>
      <c r="C34" s="179"/>
      <c r="D34" s="179"/>
    </row>
    <row r="35" spans="1:4" x14ac:dyDescent="0.2">
      <c r="A35" s="325" t="s">
        <v>337</v>
      </c>
      <c r="B35" s="179">
        <f>Картофель!AH57/Картофель!O57</f>
        <v>536.86870090706691</v>
      </c>
      <c r="C35" s="179"/>
      <c r="D35" s="179"/>
    </row>
    <row r="36" spans="1:4" x14ac:dyDescent="0.2">
      <c r="A36" s="326" t="s">
        <v>338</v>
      </c>
      <c r="B36" s="179">
        <f>Картофель!AI57/Картофель!P57</f>
        <v>330.11774135643117</v>
      </c>
      <c r="C36" s="179"/>
      <c r="D36" s="179"/>
    </row>
    <row r="37" spans="1:4" x14ac:dyDescent="0.2">
      <c r="A37" s="324" t="s">
        <v>348</v>
      </c>
      <c r="B37" s="179">
        <f>B34*'Исходные данные'!$B$6</f>
        <v>62615.628702907481</v>
      </c>
      <c r="C37" s="179"/>
      <c r="D37" s="179"/>
    </row>
    <row r="38" spans="1:4" x14ac:dyDescent="0.2">
      <c r="A38" s="325" t="s">
        <v>337</v>
      </c>
      <c r="B38" s="179">
        <f>B35*'Исходные данные'!$B$6</f>
        <v>88270.162240803576</v>
      </c>
      <c r="C38" s="324"/>
      <c r="D38" s="324"/>
    </row>
    <row r="39" spans="1:4" x14ac:dyDescent="0.2">
      <c r="A39" s="326" t="s">
        <v>338</v>
      </c>
      <c r="B39" s="179">
        <f>B36*'Исходные данные'!$B$6</f>
        <v>54276.858641353225</v>
      </c>
      <c r="C39" s="324"/>
      <c r="D39" s="324"/>
    </row>
    <row r="41" spans="1:4" s="346" customFormat="1" x14ac:dyDescent="0.2"/>
    <row r="42" spans="1:4" s="346" customFormat="1" x14ac:dyDescent="0.2"/>
    <row r="43" spans="1:4" s="346" customFormat="1" x14ac:dyDescent="0.2"/>
    <row r="44" spans="1:4" s="346" customFormat="1" x14ac:dyDescent="0.2"/>
  </sheetData>
  <pageMargins left="0.7" right="0.7" top="0.75" bottom="0.75" header="0.3" footer="0.3"/>
  <pageSetup paperSize="9" orientation="portrait" verticalDpi="0" r:id="rId1"/>
  <headerFooter>
    <oddFooter>&amp;LОтдел СЭР села ЯНИИСХ</oddFooter>
  </headerFooter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U37"/>
  <sheetViews>
    <sheetView topLeftCell="A13" workbookViewId="0">
      <selection activeCell="M40" sqref="M40"/>
    </sheetView>
  </sheetViews>
  <sheetFormatPr defaultRowHeight="11.25" x14ac:dyDescent="0.2"/>
  <cols>
    <col min="1" max="1" width="3.85546875" style="15" customWidth="1"/>
    <col min="2" max="2" width="26.85546875" style="13" customWidth="1"/>
    <col min="3" max="3" width="3.42578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" style="13" customWidth="1"/>
    <col min="9" max="9" width="6.140625" style="13" customWidth="1"/>
    <col min="10" max="10" width="5.42578125" style="13" customWidth="1"/>
    <col min="11" max="15" width="6.140625" style="13" customWidth="1"/>
    <col min="16" max="16" width="7.140625" style="13" customWidth="1"/>
    <col min="17" max="17" width="6.140625" style="18" customWidth="1"/>
    <col min="18" max="21" width="6.140625" style="13" customWidth="1"/>
    <col min="22" max="22" width="8.28515625" style="13" customWidth="1"/>
    <col min="23" max="23" width="6.140625" style="13" customWidth="1"/>
    <col min="24" max="26" width="8.28515625" style="13" customWidth="1"/>
    <col min="27" max="27" width="6.7109375" style="13" customWidth="1"/>
    <col min="28" max="29" width="8.28515625" style="13" customWidth="1"/>
    <col min="30" max="30" width="6.85546875" style="13" customWidth="1"/>
    <col min="31" max="31" width="8.28515625" style="13" customWidth="1"/>
    <col min="32" max="32" width="6.140625" style="13" customWidth="1"/>
    <col min="33" max="33" width="8.28515625" style="13" customWidth="1"/>
    <col min="34" max="35" width="6.5703125" style="13" customWidth="1"/>
    <col min="36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48" width="7.42578125" style="16" customWidth="1"/>
    <col min="49" max="49" width="8.42578125" style="16" customWidth="1"/>
    <col min="50" max="52" width="7.42578125" style="16" customWidth="1"/>
    <col min="53" max="53" width="8.7109375" style="16" customWidth="1"/>
    <col min="54" max="68" width="7.42578125" style="16" customWidth="1"/>
    <col min="69" max="69" width="8.85546875" style="16" customWidth="1"/>
    <col min="70" max="71" width="7.42578125" style="16" customWidth="1"/>
    <col min="72" max="72" width="9" style="17" customWidth="1"/>
    <col min="73" max="16384" width="9.140625" style="13"/>
  </cols>
  <sheetData>
    <row r="1" spans="1:73" s="115" customFormat="1" ht="15" x14ac:dyDescent="0.2">
      <c r="B1" s="47" t="s">
        <v>54</v>
      </c>
      <c r="E1" s="116"/>
      <c r="G1" s="117"/>
      <c r="Q1" s="118"/>
      <c r="AP1" s="119"/>
      <c r="AQ1" s="120"/>
      <c r="AR1" s="120"/>
      <c r="AS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21"/>
    </row>
    <row r="2" spans="1:73" s="115" customFormat="1" ht="15" x14ac:dyDescent="0.2">
      <c r="B2" s="47" t="s">
        <v>57</v>
      </c>
      <c r="E2" s="116"/>
      <c r="G2" s="117"/>
      <c r="Q2" s="118"/>
      <c r="AP2" s="119"/>
      <c r="AQ2" s="119"/>
      <c r="AR2" s="119"/>
      <c r="AS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21"/>
    </row>
    <row r="3" spans="1:73" s="1" customFormat="1" ht="12.75" x14ac:dyDescent="0.2">
      <c r="B3" s="97"/>
      <c r="E3" s="2"/>
      <c r="G3" s="97"/>
      <c r="Q3" s="3"/>
      <c r="AP3" s="4"/>
      <c r="AQ3" s="4"/>
      <c r="AR3" s="4"/>
      <c r="AS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3" s="1" customFormat="1" ht="12.75" customHeight="1" x14ac:dyDescent="0.2">
      <c r="B4" s="46" t="s">
        <v>71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3" s="1" customFormat="1" ht="12.75" customHeight="1" x14ac:dyDescent="0.2">
      <c r="B5" s="46" t="s">
        <v>364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3" s="1" customFormat="1" ht="12.75" customHeight="1" x14ac:dyDescent="0.2">
      <c r="B6" s="46" t="s">
        <v>362</v>
      </c>
      <c r="D6" s="1">
        <v>100</v>
      </c>
      <c r="E6" s="2"/>
      <c r="F6" s="1" t="s">
        <v>358</v>
      </c>
      <c r="G6" s="46"/>
      <c r="I6" s="1">
        <v>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3" s="102" customFormat="1" ht="12.75" customHeight="1" x14ac:dyDescent="0.2">
      <c r="B7" s="45" t="s">
        <v>365</v>
      </c>
      <c r="C7" s="13"/>
      <c r="D7" s="13">
        <f>D6*I6</f>
        <v>5000</v>
      </c>
      <c r="E7" s="14"/>
      <c r="F7" s="7"/>
      <c r="G7" s="100"/>
      <c r="K7" s="1"/>
      <c r="L7" s="1"/>
      <c r="N7" s="1"/>
      <c r="Q7" s="103"/>
      <c r="AP7" s="104"/>
      <c r="AQ7" s="104"/>
      <c r="AR7" s="104"/>
      <c r="AS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</row>
    <row r="8" spans="1:73" s="102" customFormat="1" ht="12.75" customHeight="1" x14ac:dyDescent="0.2">
      <c r="B8" s="45" t="s">
        <v>366</v>
      </c>
      <c r="D8" s="13">
        <f>D7*0.85</f>
        <v>4250</v>
      </c>
      <c r="E8" s="101"/>
      <c r="F8" s="1"/>
      <c r="G8" s="100"/>
      <c r="K8" s="1"/>
      <c r="L8" s="1"/>
      <c r="N8" s="1"/>
      <c r="Q8" s="103"/>
      <c r="AP8" s="104"/>
      <c r="AQ8" s="105"/>
      <c r="AR8" s="104"/>
      <c r="AS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</row>
    <row r="9" spans="1:73" s="102" customFormat="1" ht="12.75" customHeight="1" x14ac:dyDescent="0.2">
      <c r="A9" s="45"/>
      <c r="C9" s="13"/>
      <c r="D9" s="101"/>
      <c r="E9" s="1"/>
      <c r="F9" s="100"/>
      <c r="K9" s="1"/>
      <c r="L9" s="1"/>
      <c r="N9" s="1"/>
      <c r="Q9" s="103"/>
      <c r="AP9" s="104"/>
      <c r="AQ9" s="105"/>
      <c r="AR9" s="104"/>
      <c r="AS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</row>
    <row r="10" spans="1:73" s="6" customFormat="1" ht="39.75" customHeight="1" x14ac:dyDescent="0.2">
      <c r="A10" s="518" t="s">
        <v>55</v>
      </c>
      <c r="B10" s="522" t="s">
        <v>51</v>
      </c>
      <c r="C10" s="522"/>
      <c r="D10" s="522"/>
      <c r="E10" s="522"/>
      <c r="F10" s="518" t="s">
        <v>15</v>
      </c>
      <c r="G10" s="518" t="s">
        <v>34</v>
      </c>
      <c r="H10" s="522" t="s">
        <v>30</v>
      </c>
      <c r="I10" s="522"/>
      <c r="J10" s="518" t="s">
        <v>33</v>
      </c>
      <c r="K10" s="518" t="s">
        <v>39</v>
      </c>
      <c r="L10" s="518" t="s">
        <v>38</v>
      </c>
      <c r="M10" s="522" t="s">
        <v>35</v>
      </c>
      <c r="N10" s="522"/>
      <c r="O10" s="522" t="s">
        <v>316</v>
      </c>
      <c r="P10" s="522"/>
      <c r="Q10" s="522" t="s">
        <v>315</v>
      </c>
      <c r="R10" s="522"/>
      <c r="S10" s="522"/>
      <c r="T10" s="522"/>
      <c r="U10" s="522" t="s">
        <v>317</v>
      </c>
      <c r="V10" s="522"/>
      <c r="W10" s="522" t="s">
        <v>318</v>
      </c>
      <c r="X10" s="522"/>
      <c r="Y10" s="522" t="s">
        <v>319</v>
      </c>
      <c r="Z10" s="522"/>
      <c r="AA10" s="522" t="s">
        <v>320</v>
      </c>
      <c r="AB10" s="522"/>
      <c r="AC10" s="529" t="s">
        <v>426</v>
      </c>
      <c r="AD10" s="530"/>
      <c r="AE10" s="531"/>
      <c r="AF10" s="522" t="s">
        <v>164</v>
      </c>
      <c r="AG10" s="522"/>
      <c r="AH10" s="522" t="s">
        <v>321</v>
      </c>
      <c r="AI10" s="522"/>
      <c r="AJ10" s="522" t="s">
        <v>322</v>
      </c>
      <c r="AK10" s="522"/>
      <c r="AL10" s="522" t="s">
        <v>323</v>
      </c>
      <c r="AM10" s="522"/>
      <c r="AN10" s="522" t="s">
        <v>13</v>
      </c>
      <c r="AO10" s="522"/>
      <c r="AP10" s="522"/>
      <c r="AQ10" s="522"/>
      <c r="AR10" s="522"/>
      <c r="AS10" s="522"/>
      <c r="AT10" s="522" t="s">
        <v>187</v>
      </c>
      <c r="AU10" s="522"/>
      <c r="AV10" s="522"/>
      <c r="AW10" s="522"/>
      <c r="AX10" s="522" t="s">
        <v>330</v>
      </c>
      <c r="AY10" s="522"/>
      <c r="AZ10" s="522"/>
      <c r="BA10" s="522"/>
      <c r="BB10" s="523" t="s">
        <v>395</v>
      </c>
      <c r="BC10" s="524"/>
      <c r="BD10" s="524"/>
      <c r="BE10" s="525"/>
      <c r="BF10" s="522" t="s">
        <v>44</v>
      </c>
      <c r="BG10" s="522"/>
      <c r="BH10" s="522"/>
      <c r="BI10" s="522"/>
      <c r="BJ10" s="522" t="s">
        <v>313</v>
      </c>
      <c r="BK10" s="522"/>
      <c r="BL10" s="522"/>
      <c r="BM10" s="522"/>
      <c r="BN10" s="522"/>
      <c r="BO10" s="522"/>
      <c r="BP10" s="522"/>
      <c r="BQ10" s="522" t="s">
        <v>48</v>
      </c>
      <c r="BR10" s="522"/>
      <c r="BS10" s="522" t="s">
        <v>327</v>
      </c>
      <c r="BT10" s="521" t="s">
        <v>58</v>
      </c>
      <c r="BU10" s="521"/>
    </row>
    <row r="11" spans="1:73" s="6" customFormat="1" ht="40.5" customHeight="1" x14ac:dyDescent="0.2">
      <c r="A11" s="518"/>
      <c r="B11" s="522"/>
      <c r="C11" s="522"/>
      <c r="D11" s="522"/>
      <c r="E11" s="522"/>
      <c r="F11" s="518"/>
      <c r="G11" s="518"/>
      <c r="H11" s="522"/>
      <c r="I11" s="522"/>
      <c r="J11" s="518"/>
      <c r="K11" s="518"/>
      <c r="L11" s="518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32"/>
      <c r="AD11" s="533"/>
      <c r="AE11" s="534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6"/>
      <c r="BC11" s="527"/>
      <c r="BD11" s="527"/>
      <c r="BE11" s="528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1"/>
      <c r="BU11" s="521"/>
    </row>
    <row r="12" spans="1:73" s="6" customFormat="1" ht="39.75" customHeight="1" x14ac:dyDescent="0.2">
      <c r="A12" s="518"/>
      <c r="B12" s="522" t="s">
        <v>12</v>
      </c>
      <c r="C12" s="522" t="s">
        <v>40</v>
      </c>
      <c r="D12" s="522"/>
      <c r="E12" s="522"/>
      <c r="F12" s="518"/>
      <c r="G12" s="518"/>
      <c r="H12" s="518" t="s">
        <v>31</v>
      </c>
      <c r="I12" s="518" t="s">
        <v>32</v>
      </c>
      <c r="J12" s="518"/>
      <c r="K12" s="518"/>
      <c r="L12" s="518"/>
      <c r="M12" s="518" t="s">
        <v>36</v>
      </c>
      <c r="N12" s="518" t="s">
        <v>37</v>
      </c>
      <c r="O12" s="483">
        <v>7</v>
      </c>
      <c r="P12" s="483"/>
      <c r="Q12" s="522" t="s">
        <v>36</v>
      </c>
      <c r="R12" s="522"/>
      <c r="S12" s="522" t="s">
        <v>37</v>
      </c>
      <c r="T12" s="522"/>
      <c r="U12" s="518" t="s">
        <v>16</v>
      </c>
      <c r="V12" s="518" t="s">
        <v>17</v>
      </c>
      <c r="W12" s="519"/>
      <c r="X12" s="519"/>
      <c r="Y12" s="74">
        <v>0.1</v>
      </c>
      <c r="Z12" s="74">
        <v>0.05</v>
      </c>
      <c r="AA12" s="517"/>
      <c r="AB12" s="517"/>
      <c r="AC12" s="514" t="s">
        <v>18</v>
      </c>
      <c r="AD12" s="514" t="s">
        <v>16</v>
      </c>
      <c r="AE12" s="514" t="s">
        <v>17</v>
      </c>
      <c r="AF12" s="517">
        <f ca="1">(((((AD37/O37)*167)/29*(52/12)))/((AD37/O37)*167))</f>
        <v>0.14942528735632182</v>
      </c>
      <c r="AG12" s="517"/>
      <c r="AH12" s="518" t="s">
        <v>16</v>
      </c>
      <c r="AI12" s="518" t="s">
        <v>17</v>
      </c>
      <c r="AJ12" s="517">
        <v>0.3</v>
      </c>
      <c r="AK12" s="517"/>
      <c r="AL12" s="518" t="s">
        <v>16</v>
      </c>
      <c r="AM12" s="518" t="s">
        <v>17</v>
      </c>
      <c r="AN12" s="520" t="s">
        <v>329</v>
      </c>
      <c r="AO12" s="518" t="s">
        <v>42</v>
      </c>
      <c r="AP12" s="513" t="s">
        <v>49</v>
      </c>
      <c r="AQ12" s="513" t="s">
        <v>43</v>
      </c>
      <c r="AR12" s="513" t="s">
        <v>324</v>
      </c>
      <c r="AS12" s="513" t="s">
        <v>325</v>
      </c>
      <c r="AT12" s="520" t="s">
        <v>214</v>
      </c>
      <c r="AU12" s="513" t="s">
        <v>188</v>
      </c>
      <c r="AV12" s="513" t="s">
        <v>326</v>
      </c>
      <c r="AW12" s="513" t="s">
        <v>325</v>
      </c>
      <c r="AX12" s="520" t="s">
        <v>214</v>
      </c>
      <c r="AY12" s="513" t="s">
        <v>188</v>
      </c>
      <c r="AZ12" s="513" t="s">
        <v>326</v>
      </c>
      <c r="BA12" s="513" t="s">
        <v>325</v>
      </c>
      <c r="BB12" s="520" t="s">
        <v>405</v>
      </c>
      <c r="BC12" s="513" t="s">
        <v>406</v>
      </c>
      <c r="BD12" s="513" t="s">
        <v>407</v>
      </c>
      <c r="BE12" s="513" t="s">
        <v>325</v>
      </c>
      <c r="BF12" s="521" t="s">
        <v>45</v>
      </c>
      <c r="BG12" s="521"/>
      <c r="BH12" s="521" t="s">
        <v>46</v>
      </c>
      <c r="BI12" s="521"/>
      <c r="BJ12" s="521" t="s">
        <v>308</v>
      </c>
      <c r="BK12" s="521"/>
      <c r="BL12" s="521" t="s">
        <v>309</v>
      </c>
      <c r="BM12" s="521"/>
      <c r="BN12" s="521" t="s">
        <v>310</v>
      </c>
      <c r="BO12" s="521"/>
      <c r="BP12" s="518" t="s">
        <v>311</v>
      </c>
      <c r="BQ12" s="513" t="s">
        <v>312</v>
      </c>
      <c r="BR12" s="513" t="s">
        <v>328</v>
      </c>
      <c r="BS12" s="522"/>
      <c r="BT12" s="513" t="s">
        <v>50</v>
      </c>
      <c r="BU12" s="513" t="s">
        <v>14</v>
      </c>
    </row>
    <row r="13" spans="1:73" s="6" customFormat="1" ht="48" customHeight="1" x14ac:dyDescent="0.2">
      <c r="A13" s="518"/>
      <c r="B13" s="522"/>
      <c r="C13" s="518" t="s">
        <v>41</v>
      </c>
      <c r="D13" s="518" t="s">
        <v>53</v>
      </c>
      <c r="E13" s="518" t="s">
        <v>52</v>
      </c>
      <c r="F13" s="518"/>
      <c r="G13" s="518"/>
      <c r="H13" s="518"/>
      <c r="I13" s="518"/>
      <c r="J13" s="518"/>
      <c r="K13" s="518"/>
      <c r="L13" s="518"/>
      <c r="M13" s="518"/>
      <c r="N13" s="518"/>
      <c r="O13" s="518" t="s">
        <v>36</v>
      </c>
      <c r="P13" s="518" t="s">
        <v>37</v>
      </c>
      <c r="Q13" s="535" t="s">
        <v>19</v>
      </c>
      <c r="R13" s="518" t="s">
        <v>20</v>
      </c>
      <c r="S13" s="535" t="s">
        <v>19</v>
      </c>
      <c r="T13" s="518" t="s">
        <v>20</v>
      </c>
      <c r="U13" s="518"/>
      <c r="V13" s="518"/>
      <c r="W13" s="518" t="s">
        <v>16</v>
      </c>
      <c r="X13" s="518" t="s">
        <v>17</v>
      </c>
      <c r="Y13" s="518" t="s">
        <v>173</v>
      </c>
      <c r="Z13" s="518" t="s">
        <v>174</v>
      </c>
      <c r="AA13" s="518" t="s">
        <v>16</v>
      </c>
      <c r="AB13" s="518" t="s">
        <v>17</v>
      </c>
      <c r="AC13" s="515"/>
      <c r="AD13" s="515"/>
      <c r="AE13" s="515"/>
      <c r="AF13" s="518" t="s">
        <v>16</v>
      </c>
      <c r="AG13" s="518" t="s">
        <v>17</v>
      </c>
      <c r="AH13" s="518"/>
      <c r="AI13" s="518"/>
      <c r="AJ13" s="518" t="s">
        <v>16</v>
      </c>
      <c r="AK13" s="518" t="s">
        <v>17</v>
      </c>
      <c r="AL13" s="518"/>
      <c r="AM13" s="518"/>
      <c r="AN13" s="520"/>
      <c r="AO13" s="518"/>
      <c r="AP13" s="513"/>
      <c r="AQ13" s="513"/>
      <c r="AR13" s="513"/>
      <c r="AS13" s="513"/>
      <c r="AT13" s="520"/>
      <c r="AU13" s="513"/>
      <c r="AV13" s="513"/>
      <c r="AW13" s="513"/>
      <c r="AX13" s="520"/>
      <c r="AY13" s="513"/>
      <c r="AZ13" s="513"/>
      <c r="BA13" s="513"/>
      <c r="BB13" s="520"/>
      <c r="BC13" s="513"/>
      <c r="BD13" s="513"/>
      <c r="BE13" s="513"/>
      <c r="BF13" s="513" t="s">
        <v>47</v>
      </c>
      <c r="BG13" s="513" t="s">
        <v>314</v>
      </c>
      <c r="BH13" s="513" t="s">
        <v>47</v>
      </c>
      <c r="BI13" s="513" t="s">
        <v>314</v>
      </c>
      <c r="BJ13" s="513" t="s">
        <v>307</v>
      </c>
      <c r="BK13" s="513" t="s">
        <v>314</v>
      </c>
      <c r="BL13" s="513" t="s">
        <v>307</v>
      </c>
      <c r="BM13" s="513" t="s">
        <v>314</v>
      </c>
      <c r="BN13" s="513" t="s">
        <v>307</v>
      </c>
      <c r="BO13" s="513" t="s">
        <v>314</v>
      </c>
      <c r="BP13" s="518"/>
      <c r="BQ13" s="513"/>
      <c r="BR13" s="513"/>
      <c r="BS13" s="522"/>
      <c r="BT13" s="513"/>
      <c r="BU13" s="513"/>
    </row>
    <row r="14" spans="1:73" s="6" customFormat="1" ht="76.5" customHeight="1" x14ac:dyDescent="0.2">
      <c r="A14" s="518"/>
      <c r="B14" s="522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35"/>
      <c r="R14" s="518"/>
      <c r="S14" s="535"/>
      <c r="T14" s="518"/>
      <c r="U14" s="518"/>
      <c r="V14" s="518"/>
      <c r="W14" s="518"/>
      <c r="X14" s="518"/>
      <c r="Y14" s="518"/>
      <c r="Z14" s="518"/>
      <c r="AA14" s="518"/>
      <c r="AB14" s="518"/>
      <c r="AC14" s="516"/>
      <c r="AD14" s="516"/>
      <c r="AE14" s="516"/>
      <c r="AF14" s="518"/>
      <c r="AG14" s="518"/>
      <c r="AH14" s="518"/>
      <c r="AI14" s="518"/>
      <c r="AJ14" s="518"/>
      <c r="AK14" s="518"/>
      <c r="AL14" s="518"/>
      <c r="AM14" s="518"/>
      <c r="AN14" s="520"/>
      <c r="AO14" s="518"/>
      <c r="AP14" s="513"/>
      <c r="AQ14" s="513"/>
      <c r="AR14" s="513"/>
      <c r="AS14" s="513"/>
      <c r="AT14" s="520"/>
      <c r="AU14" s="513"/>
      <c r="AV14" s="513"/>
      <c r="AW14" s="513"/>
      <c r="AX14" s="520"/>
      <c r="AY14" s="513"/>
      <c r="AZ14" s="513"/>
      <c r="BA14" s="513"/>
      <c r="BB14" s="520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8"/>
      <c r="BQ14" s="513"/>
      <c r="BR14" s="513"/>
      <c r="BS14" s="522"/>
      <c r="BT14" s="513"/>
      <c r="BU14" s="513"/>
    </row>
    <row r="15" spans="1:73" x14ac:dyDescent="0.2">
      <c r="A15" s="20">
        <f>COLUMN(A15)</f>
        <v>1</v>
      </c>
      <c r="B15" s="512">
        <f>COLUMN(B15)</f>
        <v>2</v>
      </c>
      <c r="C15" s="512"/>
      <c r="D15" s="512"/>
      <c r="E15" s="512"/>
      <c r="F15" s="20">
        <v>3</v>
      </c>
      <c r="G15" s="20">
        <f t="shared" ref="G15:BQ15" si="0">F15+1</f>
        <v>4</v>
      </c>
      <c r="H15" s="20">
        <f t="shared" si="0"/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>BC15+1</f>
        <v>53</v>
      </c>
      <c r="BE15" s="20">
        <f>BD15+1</f>
        <v>54</v>
      </c>
      <c r="BF15" s="20">
        <f>BE15+1</f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>BQ15+1</f>
        <v>67</v>
      </c>
      <c r="BS15" s="20">
        <f>BR15+1</f>
        <v>68</v>
      </c>
      <c r="BT15" s="20">
        <f>BS15+1</f>
        <v>69</v>
      </c>
      <c r="BU15" s="20">
        <f>BT15+1</f>
        <v>70</v>
      </c>
    </row>
    <row r="16" spans="1:73" s="7" customFormat="1" ht="12.75" customHeight="1" x14ac:dyDescent="0.2">
      <c r="A16" s="21"/>
      <c r="B16" s="483" t="s">
        <v>56</v>
      </c>
      <c r="C16" s="483"/>
      <c r="D16" s="483"/>
      <c r="E16" s="483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  <c r="AQ16" s="26"/>
      <c r="AR16" s="26"/>
      <c r="AS16" s="25"/>
      <c r="AT16" s="23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0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3"/>
    </row>
    <row r="17" spans="1:73" ht="22.5" x14ac:dyDescent="0.2">
      <c r="A17" s="20">
        <v>1</v>
      </c>
      <c r="B17" s="27" t="s">
        <v>411</v>
      </c>
      <c r="C17" s="29">
        <v>1.9841269841269842</v>
      </c>
      <c r="D17" s="30" t="s">
        <v>184</v>
      </c>
      <c r="E17" s="31" t="s">
        <v>113</v>
      </c>
      <c r="F17" s="28" t="s">
        <v>106</v>
      </c>
      <c r="G17" s="29">
        <v>100</v>
      </c>
      <c r="H17" s="176">
        <v>42628</v>
      </c>
      <c r="I17" s="176">
        <v>42633</v>
      </c>
      <c r="J17" s="182">
        <f t="shared" ref="J17:J27" si="1">I17-H17</f>
        <v>5</v>
      </c>
      <c r="K17" s="32">
        <v>10.08</v>
      </c>
      <c r="L17" s="33">
        <f t="shared" ref="L17:L27" si="2">G17/K17</f>
        <v>9.9206349206349209</v>
      </c>
      <c r="M17" s="34">
        <v>2</v>
      </c>
      <c r="N17" s="34"/>
      <c r="O17" s="35">
        <f t="shared" ref="O17:O27" si="3">IF(M17=0,0,L17*$O$12)</f>
        <v>69.444444444444443</v>
      </c>
      <c r="P17" s="35">
        <f t="shared" ref="P17:P27" si="4">IF(N17=0,0,L17*$O$12)</f>
        <v>0</v>
      </c>
      <c r="Q17" s="34">
        <v>5</v>
      </c>
      <c r="R17" s="83">
        <f>'Исходные данные'!$G$22</f>
        <v>197.57121135326915</v>
      </c>
      <c r="S17" s="34"/>
      <c r="T17" s="83">
        <f>IF(AND(N17&gt;0,P17&gt;0),SUMIF('Исходные данные'!$C$14:$J$30,S17,'Исходные данные'!$C$34:$J$42),IF(N17=0,0,IF(S17=0,"РОТ")))</f>
        <v>0</v>
      </c>
      <c r="U17" s="130">
        <f>O17*R17*'Исходные данные'!$C$40%</f>
        <v>0</v>
      </c>
      <c r="V17" s="130">
        <f>P17*T17*'Исходные данные'!$C$41%</f>
        <v>0</v>
      </c>
      <c r="W17" s="130">
        <f>O17*R17*$W$12</f>
        <v>0</v>
      </c>
      <c r="X17" s="131">
        <f>P17*T17*$W$12</f>
        <v>0</v>
      </c>
      <c r="Y17" s="130">
        <f>(O17*R17+U17+W17)*$Y$12</f>
        <v>1372.0223010643692</v>
      </c>
      <c r="Z17" s="131">
        <f>(P17*T17+V17+X17)*$Z$12</f>
        <v>0</v>
      </c>
      <c r="AA17" s="130">
        <f>(O17*R17+U17)*$AA$12</f>
        <v>0</v>
      </c>
      <c r="AB17" s="131">
        <f>(P17*T17+V17)*$AA$12</f>
        <v>0</v>
      </c>
      <c r="AC17" s="129">
        <v>2.5</v>
      </c>
      <c r="AD17" s="130">
        <f>(O17*R17+U17+W17+Y17+AA17)*AC17</f>
        <v>37730.613279270154</v>
      </c>
      <c r="AE17" s="130">
        <f>(P17*T17+V17+X17+Z17+AB17)*AC17</f>
        <v>0</v>
      </c>
      <c r="AF17" s="35">
        <f t="shared" ref="AF17:AG27" ca="1" si="5">AD17*$AF$12</f>
        <v>5637.9077313851949</v>
      </c>
      <c r="AG17" s="73">
        <f t="shared" ca="1" si="5"/>
        <v>0</v>
      </c>
      <c r="AH17" s="35">
        <f ca="1">AD17+AF17</f>
        <v>43368.52101065535</v>
      </c>
      <c r="AI17" s="35">
        <f t="shared" ref="AI17:AI27" ca="1" si="6">AE17+AG17</f>
        <v>0</v>
      </c>
      <c r="AJ17" s="35">
        <f ca="1">AH17*$AJ$12</f>
        <v>13010.556303196605</v>
      </c>
      <c r="AK17" s="73">
        <f t="shared" ref="AK17:AK27" ca="1" si="7">AI17*$AJ$12</f>
        <v>0</v>
      </c>
      <c r="AL17" s="35">
        <f t="shared" ref="AL17:AL27" ca="1" si="8">AH17+AJ17</f>
        <v>56379.077313851958</v>
      </c>
      <c r="AM17" s="73">
        <f t="shared" ref="AM17:AM27" ca="1" si="9">AK17+AI17</f>
        <v>0</v>
      </c>
      <c r="AN17" s="32">
        <v>9.5238095238095237</v>
      </c>
      <c r="AO17" s="33">
        <f>'Исходные данные'!$C$59</f>
        <v>0.84</v>
      </c>
      <c r="AP17" s="79">
        <f>(G17*AN17)*AO17/100</f>
        <v>8</v>
      </c>
      <c r="AQ17" s="33" t="s">
        <v>154</v>
      </c>
      <c r="AR17" s="83" t="e">
        <f>'Исходные данные'!#REF!</f>
        <v>#REF!</v>
      </c>
      <c r="AS17" s="36" t="e">
        <f>AP17*AR17</f>
        <v>#REF!</v>
      </c>
      <c r="AT17" s="32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0"/>
      <c r="BF17" s="36">
        <f>аморт!$G$12</f>
        <v>61.781971818181816</v>
      </c>
      <c r="BG17" s="36">
        <f>BF17*L17</f>
        <v>612.9163870851371</v>
      </c>
      <c r="BH17" s="36">
        <f>аморт!G70</f>
        <v>45.238095238095241</v>
      </c>
      <c r="BI17" s="36">
        <f>BH17*L17</f>
        <v>448.790627362056</v>
      </c>
      <c r="BJ17" s="38">
        <v>84.5</v>
      </c>
      <c r="BK17" s="36">
        <f t="shared" ref="BK17:BK27" si="10">BJ17*BU17</f>
        <v>9724.206349206348</v>
      </c>
      <c r="BL17" s="38">
        <v>9.4</v>
      </c>
      <c r="BM17" s="36">
        <f t="shared" ref="BM17:BM27" si="11">BL17*BU17</f>
        <v>1081.7460317460318</v>
      </c>
      <c r="BN17" s="38">
        <f>6.7*1.045*1.054</f>
        <v>7.3795810000000008</v>
      </c>
      <c r="BO17" s="36">
        <f t="shared" ref="BO17:BO27" si="12">BN17*BU17</f>
        <v>849.2374960317461</v>
      </c>
      <c r="BP17" s="36">
        <f>аморт!$C$70*10%/аморт!$E$70*L17*7</f>
        <v>92361.111111111124</v>
      </c>
      <c r="BQ17" s="36" t="e">
        <f t="shared" ref="BQ17:BQ27" ca="1" si="13">AL17+AM17+AS17+AW17+BA17+BE17+BG17+BI17+BK17+BM17+BO17+BP17</f>
        <v>#REF!</v>
      </c>
      <c r="BR17" s="36" t="e">
        <f t="shared" ref="BR17:BR27" ca="1" si="14">BQ17/$D$6</f>
        <v>#REF!</v>
      </c>
      <c r="BS17" s="38">
        <f t="shared" ref="BS17:BS27" si="15">(O17+P17)/$D$6</f>
        <v>0.69444444444444442</v>
      </c>
      <c r="BT17" s="38">
        <v>11.6</v>
      </c>
      <c r="BU17" s="39">
        <f>BT17*L17</f>
        <v>115.07936507936508</v>
      </c>
    </row>
    <row r="18" spans="1:73" x14ac:dyDescent="0.2">
      <c r="A18" s="20">
        <f t="shared" ref="A18:A27" si="16">A17+1</f>
        <v>2</v>
      </c>
      <c r="B18" s="27" t="s">
        <v>419</v>
      </c>
      <c r="C18" s="29">
        <v>1</v>
      </c>
      <c r="D18" s="30" t="s">
        <v>184</v>
      </c>
      <c r="E18" s="31" t="s">
        <v>423</v>
      </c>
      <c r="F18" s="28" t="s">
        <v>106</v>
      </c>
      <c r="G18" s="29">
        <f>G17</f>
        <v>100</v>
      </c>
      <c r="H18" s="176">
        <v>42510</v>
      </c>
      <c r="I18" s="176">
        <v>42515</v>
      </c>
      <c r="J18" s="182">
        <f t="shared" si="1"/>
        <v>5</v>
      </c>
      <c r="K18" s="32">
        <v>28.8</v>
      </c>
      <c r="L18" s="33">
        <f t="shared" si="2"/>
        <v>3.4722222222222223</v>
      </c>
      <c r="M18" s="34">
        <v>2</v>
      </c>
      <c r="N18" s="34"/>
      <c r="O18" s="35">
        <f t="shared" si="3"/>
        <v>24.305555555555557</v>
      </c>
      <c r="P18" s="35">
        <f t="shared" si="4"/>
        <v>0</v>
      </c>
      <c r="Q18" s="34">
        <v>4</v>
      </c>
      <c r="R18" s="83">
        <f>'Исходные данные'!$F$22</f>
        <v>173.86266599087685</v>
      </c>
      <c r="S18" s="34"/>
      <c r="T18" s="83">
        <f>IF(AND(N18&gt;0,P18&gt;0),SUMIF('Исходные данные'!$C$14:$J$30,S18,'Исходные данные'!$C$34:$J$42),IF(N18=0,0,IF(S18=0,"РОТ")))</f>
        <v>0</v>
      </c>
      <c r="U18" s="130">
        <f>O18*R18*'Исходные данные'!$C$40%</f>
        <v>0</v>
      </c>
      <c r="V18" s="130">
        <f>P18*T18*'Исходные данные'!$C$41%</f>
        <v>0</v>
      </c>
      <c r="W18" s="130">
        <f t="shared" ref="W18:W27" si="17">O18*R18*$W$12</f>
        <v>0</v>
      </c>
      <c r="X18" s="131">
        <f t="shared" ref="X18:X27" si="18">P18*T18*$W$12</f>
        <v>0</v>
      </c>
      <c r="Y18" s="130">
        <f t="shared" ref="Y18:Y27" si="19">(O18*R18+U18+W18)*$Y$12</f>
        <v>422.58286872782577</v>
      </c>
      <c r="Z18" s="131">
        <f t="shared" ref="Z18:Z27" si="20">(P18*T18+V18+X18)*$Z$12</f>
        <v>0</v>
      </c>
      <c r="AA18" s="130">
        <f t="shared" ref="AA18:AA27" si="21">(O18*R18+U18)*$AA$12</f>
        <v>0</v>
      </c>
      <c r="AB18" s="131">
        <f t="shared" ref="AB18:AB27" si="22">(P18*T18+V18)*$AA$12</f>
        <v>0</v>
      </c>
      <c r="AC18" s="129">
        <v>2.5</v>
      </c>
      <c r="AD18" s="130">
        <f t="shared" ref="AD18:AD27" si="23">(O18*R18+U18+W18+Y18+AA18)*AC18</f>
        <v>11621.028890015206</v>
      </c>
      <c r="AE18" s="130">
        <f t="shared" ref="AE18:AE27" si="24">(P18*T18+V18+X18+Z18+AB18)*AC18</f>
        <v>0</v>
      </c>
      <c r="AF18" s="35">
        <f t="shared" ca="1" si="5"/>
        <v>1736.4755812666399</v>
      </c>
      <c r="AG18" s="73">
        <f t="shared" ca="1" si="5"/>
        <v>0</v>
      </c>
      <c r="AH18" s="35">
        <f t="shared" ref="AH18:AH27" ca="1" si="25">AD18+AF18</f>
        <v>13357.504471281845</v>
      </c>
      <c r="AI18" s="35">
        <f t="shared" ca="1" si="6"/>
        <v>0</v>
      </c>
      <c r="AJ18" s="35">
        <f t="shared" ref="AJ18:AJ27" ca="1" si="26">AH18*$AJ$12</f>
        <v>4007.2513413845536</v>
      </c>
      <c r="AK18" s="73">
        <f t="shared" ca="1" si="7"/>
        <v>0</v>
      </c>
      <c r="AL18" s="35">
        <f t="shared" ca="1" si="8"/>
        <v>17364.755812666401</v>
      </c>
      <c r="AM18" s="73">
        <f t="shared" ca="1" si="9"/>
        <v>0</v>
      </c>
      <c r="AN18" s="32">
        <v>9.5238095238095237</v>
      </c>
      <c r="AO18" s="33">
        <f>'Исходные данные'!$C$59</f>
        <v>0.84</v>
      </c>
      <c r="AP18" s="79">
        <f>(G18*AN18)*AO18/100</f>
        <v>8</v>
      </c>
      <c r="AQ18" s="33" t="s">
        <v>154</v>
      </c>
      <c r="AR18" s="83" t="e">
        <f>AR17</f>
        <v>#REF!</v>
      </c>
      <c r="AS18" s="36" t="e">
        <f t="shared" ref="AS18:AS27" si="27">AP18*AR18</f>
        <v>#REF!</v>
      </c>
      <c r="AT18" s="32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0"/>
      <c r="BF18" s="36">
        <f>аморт!$G$12</f>
        <v>61.781971818181816</v>
      </c>
      <c r="BG18" s="36">
        <f>BF18*L18</f>
        <v>214.52073547979799</v>
      </c>
      <c r="BH18" s="36">
        <f>аморт!G33</f>
        <v>97.41305263157895</v>
      </c>
      <c r="BI18" s="36">
        <f>BH18*L18</f>
        <v>338.23976608187138</v>
      </c>
      <c r="BJ18" s="38">
        <v>84.5</v>
      </c>
      <c r="BK18" s="36">
        <f t="shared" si="10"/>
        <v>3403.4722222222222</v>
      </c>
      <c r="BL18" s="38">
        <v>9.4</v>
      </c>
      <c r="BM18" s="36">
        <f t="shared" si="11"/>
        <v>378.61111111111114</v>
      </c>
      <c r="BN18" s="38">
        <f>6.7*1.045*1.054</f>
        <v>7.3795810000000008</v>
      </c>
      <c r="BO18" s="36">
        <f t="shared" si="12"/>
        <v>297.23312361111113</v>
      </c>
      <c r="BP18" s="36">
        <f>аморт!$C$33*10%/аморт!$E$33*L18*7</f>
        <v>11246.472222222223</v>
      </c>
      <c r="BQ18" s="36" t="e">
        <f t="shared" ca="1" si="13"/>
        <v>#REF!</v>
      </c>
      <c r="BR18" s="36" t="e">
        <f t="shared" ca="1" si="14"/>
        <v>#REF!</v>
      </c>
      <c r="BS18" s="38">
        <f t="shared" si="15"/>
        <v>0.24305555555555558</v>
      </c>
      <c r="BT18" s="38">
        <v>11.6</v>
      </c>
      <c r="BU18" s="39">
        <f>BT18*L18</f>
        <v>40.277777777777779</v>
      </c>
    </row>
    <row r="19" spans="1:73" x14ac:dyDescent="0.2">
      <c r="A19" s="20">
        <f t="shared" si="16"/>
        <v>3</v>
      </c>
      <c r="B19" s="27" t="s">
        <v>420</v>
      </c>
      <c r="C19" s="29">
        <v>1</v>
      </c>
      <c r="D19" s="30" t="s">
        <v>184</v>
      </c>
      <c r="E19" s="31" t="s">
        <v>416</v>
      </c>
      <c r="F19" s="28" t="s">
        <v>106</v>
      </c>
      <c r="G19" s="29">
        <f>D6</f>
        <v>100</v>
      </c>
      <c r="H19" s="176">
        <v>42515</v>
      </c>
      <c r="I19" s="176">
        <v>42522</v>
      </c>
      <c r="J19" s="182">
        <f t="shared" si="1"/>
        <v>7</v>
      </c>
      <c r="K19" s="32">
        <v>32</v>
      </c>
      <c r="L19" s="33">
        <f t="shared" si="2"/>
        <v>3.125</v>
      </c>
      <c r="M19" s="34">
        <v>2</v>
      </c>
      <c r="N19" s="34"/>
      <c r="O19" s="35">
        <f t="shared" si="3"/>
        <v>21.875</v>
      </c>
      <c r="P19" s="35">
        <f t="shared" si="4"/>
        <v>0</v>
      </c>
      <c r="Q19" s="34">
        <v>4</v>
      </c>
      <c r="R19" s="83">
        <f>'Исходные данные'!$F$22</f>
        <v>173.86266599087685</v>
      </c>
      <c r="S19" s="34"/>
      <c r="T19" s="83">
        <f>IF(AND(N19&gt;0,P19&gt;0),SUMIF('Исходные данные'!$C$14:$J$30,S19,'Исходные данные'!$C$34:$J$42),IF(N19=0,0,IF(S19=0,"РОТ")))</f>
        <v>0</v>
      </c>
      <c r="U19" s="130">
        <f>O19*R19*'Исходные данные'!$C$40%</f>
        <v>0</v>
      </c>
      <c r="V19" s="130">
        <f>P19*T19*'Исходные данные'!$C$41%</f>
        <v>0</v>
      </c>
      <c r="W19" s="130">
        <f t="shared" si="17"/>
        <v>0</v>
      </c>
      <c r="X19" s="131">
        <f t="shared" si="18"/>
        <v>0</v>
      </c>
      <c r="Y19" s="130">
        <f t="shared" si="19"/>
        <v>380.32458185504311</v>
      </c>
      <c r="Z19" s="131">
        <f t="shared" si="20"/>
        <v>0</v>
      </c>
      <c r="AA19" s="130">
        <f t="shared" si="21"/>
        <v>0</v>
      </c>
      <c r="AB19" s="131">
        <f t="shared" si="22"/>
        <v>0</v>
      </c>
      <c r="AC19" s="129">
        <v>2.5</v>
      </c>
      <c r="AD19" s="130">
        <f t="shared" si="23"/>
        <v>10458.926001013686</v>
      </c>
      <c r="AE19" s="130">
        <f t="shared" si="24"/>
        <v>0</v>
      </c>
      <c r="AF19" s="35">
        <f t="shared" ca="1" si="5"/>
        <v>1562.8280231399758</v>
      </c>
      <c r="AG19" s="73">
        <f t="shared" ca="1" si="5"/>
        <v>0</v>
      </c>
      <c r="AH19" s="35">
        <f t="shared" ca="1" si="25"/>
        <v>12021.754024153663</v>
      </c>
      <c r="AI19" s="35">
        <f t="shared" ca="1" si="6"/>
        <v>0</v>
      </c>
      <c r="AJ19" s="35">
        <f t="shared" ca="1" si="26"/>
        <v>3606.5262072460987</v>
      </c>
      <c r="AK19" s="73">
        <f t="shared" ca="1" si="7"/>
        <v>0</v>
      </c>
      <c r="AL19" s="35">
        <f t="shared" ca="1" si="8"/>
        <v>15628.280231399762</v>
      </c>
      <c r="AM19" s="73">
        <f t="shared" ca="1" si="9"/>
        <v>0</v>
      </c>
      <c r="AN19" s="32">
        <v>9.5238095238095237</v>
      </c>
      <c r="AO19" s="33">
        <f>'Исходные данные'!$C$59</f>
        <v>0.84</v>
      </c>
      <c r="AP19" s="79">
        <f>(G19*AN19)*AO19/100</f>
        <v>8</v>
      </c>
      <c r="AQ19" s="33" t="s">
        <v>153</v>
      </c>
      <c r="AR19" s="83" t="e">
        <f>AR17</f>
        <v>#REF!</v>
      </c>
      <c r="AS19" s="36" t="e">
        <f t="shared" si="27"/>
        <v>#REF!</v>
      </c>
      <c r="AT19" s="32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0"/>
      <c r="BF19" s="36">
        <f>аморт!$G$12</f>
        <v>61.781971818181816</v>
      </c>
      <c r="BG19" s="36">
        <f>BF19*L19</f>
        <v>193.06866193181818</v>
      </c>
      <c r="BH19" s="36">
        <f>аморт!G52</f>
        <v>50.50391891891892</v>
      </c>
      <c r="BI19" s="36">
        <f>BH19*L19</f>
        <v>157.82474662162161</v>
      </c>
      <c r="BJ19" s="38">
        <v>84.5</v>
      </c>
      <c r="BK19" s="36">
        <f t="shared" si="10"/>
        <v>3063.125</v>
      </c>
      <c r="BL19" s="38">
        <v>9.4</v>
      </c>
      <c r="BM19" s="36">
        <f t="shared" si="11"/>
        <v>340.75</v>
      </c>
      <c r="BN19" s="38">
        <f>6.7*1.045*1.054</f>
        <v>7.3795810000000008</v>
      </c>
      <c r="BO19" s="36">
        <f t="shared" si="12"/>
        <v>267.50981125000004</v>
      </c>
      <c r="BP19" s="36">
        <f>аморт!$C$52*10%/аморт!$E$52*L19*7</f>
        <v>13080.514999999999</v>
      </c>
      <c r="BQ19" s="36" t="e">
        <f t="shared" ca="1" si="13"/>
        <v>#REF!</v>
      </c>
      <c r="BR19" s="36" t="e">
        <f t="shared" ca="1" si="14"/>
        <v>#REF!</v>
      </c>
      <c r="BS19" s="38">
        <f t="shared" si="15"/>
        <v>0.21875</v>
      </c>
      <c r="BT19" s="38">
        <v>11.6</v>
      </c>
      <c r="BU19" s="39">
        <f>BT19*L19</f>
        <v>36.25</v>
      </c>
    </row>
    <row r="20" spans="1:73" x14ac:dyDescent="0.2">
      <c r="A20" s="20">
        <f t="shared" si="16"/>
        <v>4</v>
      </c>
      <c r="B20" s="27" t="s">
        <v>421</v>
      </c>
      <c r="C20" s="29">
        <v>1</v>
      </c>
      <c r="D20" s="30" t="s">
        <v>105</v>
      </c>
      <c r="E20" s="31" t="s">
        <v>483</v>
      </c>
      <c r="F20" s="28" t="s">
        <v>106</v>
      </c>
      <c r="G20" s="29">
        <f>D6</f>
        <v>100</v>
      </c>
      <c r="H20" s="176">
        <v>42536</v>
      </c>
      <c r="I20" s="176">
        <v>42542</v>
      </c>
      <c r="J20" s="182">
        <f t="shared" si="1"/>
        <v>6</v>
      </c>
      <c r="K20" s="32">
        <v>33.6</v>
      </c>
      <c r="L20" s="33">
        <f t="shared" si="2"/>
        <v>2.9761904761904763</v>
      </c>
      <c r="M20" s="34">
        <v>2</v>
      </c>
      <c r="N20" s="34"/>
      <c r="O20" s="35">
        <f t="shared" si="3"/>
        <v>20.833333333333336</v>
      </c>
      <c r="P20" s="35">
        <f t="shared" si="4"/>
        <v>0</v>
      </c>
      <c r="Q20" s="34">
        <v>4</v>
      </c>
      <c r="R20" s="83">
        <f>'Исходные данные'!$F$22</f>
        <v>173.86266599087685</v>
      </c>
      <c r="S20" s="34"/>
      <c r="T20" s="83">
        <f>IF(AND(N20&gt;0,P20&gt;0),SUMIF('Исходные данные'!$C$14:$J$30,S20,'Исходные данные'!$C$34:$J$42),IF(N20=0,0,IF(S20=0,"РОТ")))</f>
        <v>0</v>
      </c>
      <c r="U20" s="130">
        <f>O20*R20*'Исходные данные'!$C$40%</f>
        <v>0</v>
      </c>
      <c r="V20" s="130">
        <f>P20*T20*'Исходные данные'!$C$41%</f>
        <v>0</v>
      </c>
      <c r="W20" s="130">
        <f t="shared" si="17"/>
        <v>0</v>
      </c>
      <c r="X20" s="131">
        <f t="shared" si="18"/>
        <v>0</v>
      </c>
      <c r="Y20" s="130">
        <f t="shared" si="19"/>
        <v>362.21388748099349</v>
      </c>
      <c r="Z20" s="131">
        <f t="shared" si="20"/>
        <v>0</v>
      </c>
      <c r="AA20" s="130">
        <f t="shared" si="21"/>
        <v>0</v>
      </c>
      <c r="AB20" s="131">
        <f t="shared" si="22"/>
        <v>0</v>
      </c>
      <c r="AC20" s="129">
        <v>2.5</v>
      </c>
      <c r="AD20" s="130">
        <f t="shared" si="23"/>
        <v>9960.8819057273213</v>
      </c>
      <c r="AE20" s="130">
        <f t="shared" si="24"/>
        <v>0</v>
      </c>
      <c r="AF20" s="35">
        <f t="shared" ca="1" si="5"/>
        <v>1488.4076410856915</v>
      </c>
      <c r="AG20" s="73">
        <f t="shared" ca="1" si="5"/>
        <v>0</v>
      </c>
      <c r="AH20" s="35">
        <f t="shared" ca="1" si="25"/>
        <v>11449.289546813012</v>
      </c>
      <c r="AI20" s="35">
        <f t="shared" ca="1" si="6"/>
        <v>0</v>
      </c>
      <c r="AJ20" s="35">
        <f t="shared" ca="1" si="26"/>
        <v>3434.7868640439033</v>
      </c>
      <c r="AK20" s="73">
        <f t="shared" ca="1" si="7"/>
        <v>0</v>
      </c>
      <c r="AL20" s="35">
        <f t="shared" ca="1" si="8"/>
        <v>14884.076410856915</v>
      </c>
      <c r="AM20" s="73">
        <f t="shared" ca="1" si="9"/>
        <v>0</v>
      </c>
      <c r="AN20" s="32">
        <v>2.2999999999999998</v>
      </c>
      <c r="AO20" s="33">
        <f>'Исходные данные'!$C$59</f>
        <v>0.84</v>
      </c>
      <c r="AP20" s="79">
        <f>(G20*AN20)*AO20/100</f>
        <v>1.9319999999999995</v>
      </c>
      <c r="AQ20" s="33" t="s">
        <v>153</v>
      </c>
      <c r="AR20" s="83" t="e">
        <f>AR17</f>
        <v>#REF!</v>
      </c>
      <c r="AS20" s="36" t="e">
        <f t="shared" si="27"/>
        <v>#REF!</v>
      </c>
      <c r="AT20" s="32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0"/>
      <c r="BF20" s="36">
        <f>аморт!$G$11</f>
        <v>181.91312849162011</v>
      </c>
      <c r="BG20" s="36">
        <f>BF20*L20</f>
        <v>541.40812051077421</v>
      </c>
      <c r="BH20" s="36">
        <f>аморт!G34</f>
        <v>97.41305263157895</v>
      </c>
      <c r="BI20" s="36">
        <f>BH20*L20</f>
        <v>289.9197994987469</v>
      </c>
      <c r="BJ20" s="38">
        <v>82.4</v>
      </c>
      <c r="BK20" s="36">
        <f t="shared" si="10"/>
        <v>1250.7142857142858</v>
      </c>
      <c r="BL20" s="38">
        <v>13.9</v>
      </c>
      <c r="BM20" s="36">
        <f t="shared" si="11"/>
        <v>210.98214285714286</v>
      </c>
      <c r="BN20" s="38">
        <f>4.8*1.045*1.054</f>
        <v>5.2868639999999996</v>
      </c>
      <c r="BO20" s="36">
        <f t="shared" si="12"/>
        <v>80.247042857142858</v>
      </c>
      <c r="BP20" s="36">
        <f>аморт!$C$23*10%/аморт!$E$23*L20*7</f>
        <v>22881.337500000001</v>
      </c>
      <c r="BQ20" s="36" t="e">
        <f t="shared" ca="1" si="13"/>
        <v>#REF!</v>
      </c>
      <c r="BR20" s="36" t="e">
        <f t="shared" ca="1" si="14"/>
        <v>#REF!</v>
      </c>
      <c r="BS20" s="38">
        <f t="shared" si="15"/>
        <v>0.20833333333333337</v>
      </c>
      <c r="BT20" s="38">
        <v>5.0999999999999996</v>
      </c>
      <c r="BU20" s="39">
        <f>BT20*L20</f>
        <v>15.178571428571429</v>
      </c>
    </row>
    <row r="21" spans="1:73" x14ac:dyDescent="0.2">
      <c r="A21" s="20">
        <f t="shared" si="16"/>
        <v>5</v>
      </c>
      <c r="B21" s="27" t="s">
        <v>22</v>
      </c>
      <c r="C21" s="29">
        <v>1</v>
      </c>
      <c r="D21" s="479" t="s">
        <v>118</v>
      </c>
      <c r="E21" s="480"/>
      <c r="F21" s="28" t="s">
        <v>109</v>
      </c>
      <c r="G21" s="36">
        <f>AU27</f>
        <v>18</v>
      </c>
      <c r="H21" s="176">
        <v>42536</v>
      </c>
      <c r="I21" s="176">
        <v>42542</v>
      </c>
      <c r="J21" s="182">
        <f t="shared" si="1"/>
        <v>6</v>
      </c>
      <c r="K21" s="32">
        <v>3</v>
      </c>
      <c r="L21" s="33">
        <f t="shared" si="2"/>
        <v>6</v>
      </c>
      <c r="M21" s="34"/>
      <c r="N21" s="34">
        <v>1</v>
      </c>
      <c r="O21" s="35">
        <f t="shared" si="3"/>
        <v>0</v>
      </c>
      <c r="P21" s="35">
        <f t="shared" si="4"/>
        <v>42</v>
      </c>
      <c r="Q21" s="34">
        <v>2</v>
      </c>
      <c r="R21" s="83">
        <f>IF(AND(O21&gt;0,Q21&gt;0),SUMIF('Исходные данные'!$C$14:H18,Q21,'Исходные данные'!$C$18:$H$18),IF(O21=0,0,IF(Q21=0,"РОТ")))</f>
        <v>0</v>
      </c>
      <c r="S21" s="34">
        <v>2</v>
      </c>
      <c r="T21" s="83">
        <f ca="1">IF(AND(N21&gt;0,P21&gt;0),SUMIF('Исходные данные'!$C$14:$J$30,S21,'Исходные данные'!$C$34:$J$42),IF(N21=0,0,IF(S21=0,"РОТ")))</f>
        <v>105.700598073999</v>
      </c>
      <c r="U21" s="130">
        <f>O21*R21*'Исходные данные'!$C$40%</f>
        <v>0</v>
      </c>
      <c r="V21" s="130">
        <f ca="1">P21*T21*'Исходные данные'!$C$41%</f>
        <v>1553.7987916877853</v>
      </c>
      <c r="W21" s="130">
        <f t="shared" si="17"/>
        <v>0</v>
      </c>
      <c r="X21" s="131">
        <f t="shared" ca="1" si="18"/>
        <v>0</v>
      </c>
      <c r="Y21" s="130">
        <f t="shared" si="19"/>
        <v>0</v>
      </c>
      <c r="Z21" s="131">
        <f t="shared" ca="1" si="20"/>
        <v>299.66119553978723</v>
      </c>
      <c r="AA21" s="130">
        <f t="shared" si="21"/>
        <v>0</v>
      </c>
      <c r="AB21" s="131">
        <f t="shared" ca="1" si="22"/>
        <v>0</v>
      </c>
      <c r="AC21" s="129">
        <v>2.5</v>
      </c>
      <c r="AD21" s="130">
        <f t="shared" si="23"/>
        <v>0</v>
      </c>
      <c r="AE21" s="130">
        <f t="shared" ca="1" si="24"/>
        <v>15732.212765838829</v>
      </c>
      <c r="AF21" s="35">
        <f t="shared" ca="1" si="5"/>
        <v>0</v>
      </c>
      <c r="AG21" s="73">
        <f t="shared" ca="1" si="5"/>
        <v>2350.7904132862614</v>
      </c>
      <c r="AH21" s="35">
        <f t="shared" ca="1" si="25"/>
        <v>0</v>
      </c>
      <c r="AI21" s="35">
        <f t="shared" ca="1" si="6"/>
        <v>18083.003179125091</v>
      </c>
      <c r="AJ21" s="35">
        <f t="shared" ca="1" si="26"/>
        <v>0</v>
      </c>
      <c r="AK21" s="73">
        <f t="shared" ca="1" si="7"/>
        <v>5424.9009537375268</v>
      </c>
      <c r="AL21" s="35">
        <f t="shared" ca="1" si="8"/>
        <v>0</v>
      </c>
      <c r="AM21" s="73">
        <f t="shared" ca="1" si="9"/>
        <v>23507.904132862619</v>
      </c>
      <c r="AN21" s="32"/>
      <c r="AO21" s="33">
        <f>'Исходные данные'!$C$59</f>
        <v>0.84</v>
      </c>
      <c r="AP21" s="79"/>
      <c r="AQ21" s="33"/>
      <c r="AR21" s="83"/>
      <c r="AS21" s="36"/>
      <c r="AT21" s="32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20"/>
      <c r="BF21" s="36"/>
      <c r="BG21" s="36"/>
      <c r="BH21" s="85"/>
      <c r="BI21" s="36"/>
      <c r="BJ21" s="38"/>
      <c r="BK21" s="36"/>
      <c r="BL21" s="38"/>
      <c r="BM21" s="36"/>
      <c r="BN21" s="38"/>
      <c r="BO21" s="36"/>
      <c r="BP21" s="36"/>
      <c r="BQ21" s="36">
        <f t="shared" ca="1" si="13"/>
        <v>23507.904132862619</v>
      </c>
      <c r="BR21" s="36">
        <f t="shared" ca="1" si="14"/>
        <v>235.0790413286262</v>
      </c>
      <c r="BS21" s="38">
        <f t="shared" si="15"/>
        <v>0.42</v>
      </c>
      <c r="BT21" s="38"/>
      <c r="BU21" s="39"/>
    </row>
    <row r="22" spans="1:73" ht="22.5" x14ac:dyDescent="0.2">
      <c r="A22" s="20">
        <f t="shared" si="16"/>
        <v>6</v>
      </c>
      <c r="B22" s="27" t="s">
        <v>488</v>
      </c>
      <c r="C22" s="29">
        <v>1</v>
      </c>
      <c r="D22" s="30" t="s">
        <v>105</v>
      </c>
      <c r="E22" s="31" t="s">
        <v>115</v>
      </c>
      <c r="F22" s="28" t="s">
        <v>109</v>
      </c>
      <c r="G22" s="36">
        <f>G21</f>
        <v>18</v>
      </c>
      <c r="H22" s="176">
        <v>42536</v>
      </c>
      <c r="I22" s="176">
        <v>42542</v>
      </c>
      <c r="J22" s="182">
        <f t="shared" si="1"/>
        <v>6</v>
      </c>
      <c r="K22" s="32">
        <v>3</v>
      </c>
      <c r="L22" s="33">
        <f t="shared" si="2"/>
        <v>6</v>
      </c>
      <c r="M22" s="34">
        <v>1</v>
      </c>
      <c r="N22" s="34">
        <v>1</v>
      </c>
      <c r="O22" s="35">
        <f t="shared" si="3"/>
        <v>42</v>
      </c>
      <c r="P22" s="35">
        <f t="shared" si="4"/>
        <v>42</v>
      </c>
      <c r="Q22" s="34">
        <v>2</v>
      </c>
      <c r="R22" s="83">
        <f ca="1">IF(AND(O22&gt;0,Q22&gt;0),SUMIF('Исходные данные'!$C$14:H27,Q22,'Исходные данные'!$C$18:$H$18),IF(O22=0,0,IF(Q22=0,"РОТ")))</f>
        <v>128.66557526609228</v>
      </c>
      <c r="S22" s="34">
        <v>2</v>
      </c>
      <c r="T22" s="83">
        <f ca="1">IF(AND(N22&gt;0,P22&gt;0),SUMIF('Исходные данные'!$C$14:$J$30,S22,'Исходные данные'!$C$34:$J$42),IF(N22=0,0,IF(S22=0,"РОТ")))</f>
        <v>105.700598073999</v>
      </c>
      <c r="U22" s="130">
        <f ca="1">O22*R22*'Исходные данные'!$C$40%</f>
        <v>0</v>
      </c>
      <c r="V22" s="130">
        <f ca="1">P22*T22*'Исходные данные'!$C$41%</f>
        <v>1553.7987916877853</v>
      </c>
      <c r="W22" s="130">
        <f t="shared" ca="1" si="17"/>
        <v>0</v>
      </c>
      <c r="X22" s="131">
        <f t="shared" ca="1" si="18"/>
        <v>0</v>
      </c>
      <c r="Y22" s="130">
        <f t="shared" ca="1" si="19"/>
        <v>540.39541611758762</v>
      </c>
      <c r="Z22" s="131">
        <f t="shared" ca="1" si="20"/>
        <v>299.66119553978723</v>
      </c>
      <c r="AA22" s="130">
        <f t="shared" ca="1" si="21"/>
        <v>0</v>
      </c>
      <c r="AB22" s="131">
        <f t="shared" ca="1" si="22"/>
        <v>0</v>
      </c>
      <c r="AC22" s="129">
        <v>2.5</v>
      </c>
      <c r="AD22" s="130">
        <f t="shared" ca="1" si="23"/>
        <v>14860.873943233659</v>
      </c>
      <c r="AE22" s="130">
        <f t="shared" ca="1" si="24"/>
        <v>15732.212765838829</v>
      </c>
      <c r="AF22" s="35">
        <f t="shared" ca="1" si="5"/>
        <v>2220.5903593337648</v>
      </c>
      <c r="AG22" s="73">
        <f t="shared" ca="1" si="5"/>
        <v>2350.7904132862614</v>
      </c>
      <c r="AH22" s="35">
        <f t="shared" ca="1" si="25"/>
        <v>17081.464302567423</v>
      </c>
      <c r="AI22" s="35">
        <f t="shared" ca="1" si="6"/>
        <v>18083.003179125091</v>
      </c>
      <c r="AJ22" s="35">
        <f t="shared" ca="1" si="26"/>
        <v>5124.4392907702268</v>
      </c>
      <c r="AK22" s="73">
        <f t="shared" ca="1" si="7"/>
        <v>5424.9009537375268</v>
      </c>
      <c r="AL22" s="35">
        <f t="shared" ca="1" si="8"/>
        <v>22205.903593337651</v>
      </c>
      <c r="AM22" s="73">
        <f t="shared" ca="1" si="9"/>
        <v>23507.904132862619</v>
      </c>
      <c r="AN22" s="32">
        <v>0.96</v>
      </c>
      <c r="AO22" s="33">
        <f>'Исходные данные'!$C$59</f>
        <v>0.84</v>
      </c>
      <c r="AP22" s="79">
        <f>(G22*AN22)*AO22/100</f>
        <v>0.145152</v>
      </c>
      <c r="AQ22" s="33" t="s">
        <v>153</v>
      </c>
      <c r="AR22" s="83" t="e">
        <f>AR17</f>
        <v>#REF!</v>
      </c>
      <c r="AS22" s="36" t="e">
        <f t="shared" si="27"/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0"/>
      <c r="BF22" s="36">
        <f>аморт!$G$11</f>
        <v>181.91312849162011</v>
      </c>
      <c r="BG22" s="36">
        <f>BF22*L22</f>
        <v>1091.4787709497207</v>
      </c>
      <c r="BH22" s="85">
        <f>аморт!$G$23</f>
        <v>48.426111111111105</v>
      </c>
      <c r="BI22" s="36">
        <f>BH22*L22</f>
        <v>290.55666666666662</v>
      </c>
      <c r="BJ22" s="38">
        <v>82.4</v>
      </c>
      <c r="BK22" s="36">
        <f t="shared" si="10"/>
        <v>2521.44</v>
      </c>
      <c r="BL22" s="38">
        <v>13.9</v>
      </c>
      <c r="BM22" s="36">
        <f t="shared" si="11"/>
        <v>425.34</v>
      </c>
      <c r="BN22" s="38">
        <f>4.8*1.045*1.054</f>
        <v>5.2868639999999996</v>
      </c>
      <c r="BO22" s="36">
        <f t="shared" si="12"/>
        <v>161.77803839999999</v>
      </c>
      <c r="BP22" s="36">
        <f>аморт!$C$23*10%/аморт!$E$23*L22*7</f>
        <v>46128.776400000002</v>
      </c>
      <c r="BQ22" s="36" t="e">
        <f t="shared" ca="1" si="13"/>
        <v>#REF!</v>
      </c>
      <c r="BR22" s="36" t="e">
        <f t="shared" ca="1" si="14"/>
        <v>#REF!</v>
      </c>
      <c r="BS22" s="38">
        <f t="shared" si="15"/>
        <v>0.84</v>
      </c>
      <c r="BT22" s="38">
        <v>5.0999999999999996</v>
      </c>
      <c r="BU22" s="39">
        <f>BT22*L22</f>
        <v>30.599999999999998</v>
      </c>
    </row>
    <row r="23" spans="1:73" x14ac:dyDescent="0.2">
      <c r="A23" s="20">
        <f t="shared" si="16"/>
        <v>7</v>
      </c>
      <c r="B23" s="27" t="s">
        <v>24</v>
      </c>
      <c r="C23" s="29">
        <v>1</v>
      </c>
      <c r="D23" s="479" t="s">
        <v>118</v>
      </c>
      <c r="E23" s="480"/>
      <c r="F23" s="28" t="s">
        <v>109</v>
      </c>
      <c r="G23" s="36">
        <f>G22</f>
        <v>18</v>
      </c>
      <c r="H23" s="176">
        <v>42536</v>
      </c>
      <c r="I23" s="176">
        <v>42542</v>
      </c>
      <c r="J23" s="182">
        <f t="shared" si="1"/>
        <v>6</v>
      </c>
      <c r="K23" s="32">
        <v>3</v>
      </c>
      <c r="L23" s="33">
        <f t="shared" si="2"/>
        <v>6</v>
      </c>
      <c r="M23" s="34"/>
      <c r="N23" s="34">
        <v>1</v>
      </c>
      <c r="O23" s="35">
        <f t="shared" si="3"/>
        <v>0</v>
      </c>
      <c r="P23" s="35">
        <f t="shared" si="4"/>
        <v>42</v>
      </c>
      <c r="Q23" s="34">
        <v>2</v>
      </c>
      <c r="R23" s="83">
        <f>IF(AND(O23&gt;0,Q23&gt;0),SUMIF('Исходные данные'!$C$14:H28,Q23,'Исходные данные'!$C$18:$H$18),IF(O23=0,0,IF(Q23=0,"РОТ")))</f>
        <v>0</v>
      </c>
      <c r="S23" s="34">
        <v>2</v>
      </c>
      <c r="T23" s="83">
        <f ca="1">IF(AND(N23&gt;0,P23&gt;0),SUMIF('Исходные данные'!$C$14:$J$30,S23,'Исходные данные'!$C$34:$J$42),IF(N23=0,0,IF(S23=0,"РОТ")))</f>
        <v>105.700598073999</v>
      </c>
      <c r="U23" s="130">
        <f>O23*R23*'Исходные данные'!$C$40%</f>
        <v>0</v>
      </c>
      <c r="V23" s="130">
        <f ca="1">P23*T23*'Исходные данные'!$C$41%</f>
        <v>1553.7987916877853</v>
      </c>
      <c r="W23" s="130">
        <f t="shared" si="17"/>
        <v>0</v>
      </c>
      <c r="X23" s="131">
        <f t="shared" ca="1" si="18"/>
        <v>0</v>
      </c>
      <c r="Y23" s="130">
        <f t="shared" si="19"/>
        <v>0</v>
      </c>
      <c r="Z23" s="131">
        <f t="shared" ca="1" si="20"/>
        <v>299.66119553978723</v>
      </c>
      <c r="AA23" s="130">
        <f t="shared" si="21"/>
        <v>0</v>
      </c>
      <c r="AB23" s="131">
        <f t="shared" ca="1" si="22"/>
        <v>0</v>
      </c>
      <c r="AC23" s="129">
        <v>2.5</v>
      </c>
      <c r="AD23" s="130">
        <f t="shared" si="23"/>
        <v>0</v>
      </c>
      <c r="AE23" s="130">
        <f t="shared" ca="1" si="24"/>
        <v>15732.212765838829</v>
      </c>
      <c r="AF23" s="35">
        <f t="shared" ca="1" si="5"/>
        <v>0</v>
      </c>
      <c r="AG23" s="73">
        <f t="shared" ca="1" si="5"/>
        <v>2350.7904132862614</v>
      </c>
      <c r="AH23" s="35">
        <f t="shared" ca="1" si="25"/>
        <v>0</v>
      </c>
      <c r="AI23" s="35">
        <f t="shared" ca="1" si="6"/>
        <v>18083.003179125091</v>
      </c>
      <c r="AJ23" s="35">
        <f t="shared" ca="1" si="26"/>
        <v>0</v>
      </c>
      <c r="AK23" s="73">
        <f t="shared" ca="1" si="7"/>
        <v>5424.9009537375268</v>
      </c>
      <c r="AL23" s="35">
        <f t="shared" ca="1" si="8"/>
        <v>0</v>
      </c>
      <c r="AM23" s="73">
        <f t="shared" ca="1" si="9"/>
        <v>23507.904132862619</v>
      </c>
      <c r="AN23" s="32"/>
      <c r="AO23" s="33"/>
      <c r="AP23" s="79"/>
      <c r="AQ23" s="33"/>
      <c r="AR23" s="83"/>
      <c r="AS23" s="36"/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20"/>
      <c r="BF23" s="36"/>
      <c r="BG23" s="36"/>
      <c r="BH23" s="85"/>
      <c r="BI23" s="36"/>
      <c r="BJ23" s="38"/>
      <c r="BK23" s="36"/>
      <c r="BL23" s="38"/>
      <c r="BM23" s="36"/>
      <c r="BN23" s="38"/>
      <c r="BO23" s="36"/>
      <c r="BP23" s="36"/>
      <c r="BQ23" s="36">
        <f t="shared" ca="1" si="13"/>
        <v>23507.904132862619</v>
      </c>
      <c r="BR23" s="36">
        <f t="shared" ca="1" si="14"/>
        <v>235.0790413286262</v>
      </c>
      <c r="BS23" s="38">
        <f t="shared" si="15"/>
        <v>0.42</v>
      </c>
      <c r="BT23" s="38"/>
      <c r="BU23" s="39"/>
    </row>
    <row r="24" spans="1:73" ht="22.5" x14ac:dyDescent="0.2">
      <c r="A24" s="20">
        <f t="shared" si="16"/>
        <v>8</v>
      </c>
      <c r="B24" s="27" t="s">
        <v>25</v>
      </c>
      <c r="C24" s="29">
        <v>1</v>
      </c>
      <c r="D24" s="479" t="s">
        <v>118</v>
      </c>
      <c r="E24" s="480"/>
      <c r="F24" s="28" t="s">
        <v>109</v>
      </c>
      <c r="G24" s="36">
        <f>AY27</f>
        <v>50</v>
      </c>
      <c r="H24" s="176">
        <v>42536</v>
      </c>
      <c r="I24" s="176">
        <v>42542</v>
      </c>
      <c r="J24" s="182">
        <f t="shared" si="1"/>
        <v>6</v>
      </c>
      <c r="K24" s="32">
        <v>8.3333333333333339</v>
      </c>
      <c r="L24" s="33">
        <f t="shared" si="2"/>
        <v>6</v>
      </c>
      <c r="M24" s="34"/>
      <c r="N24" s="34">
        <v>1</v>
      </c>
      <c r="O24" s="35">
        <f t="shared" si="3"/>
        <v>0</v>
      </c>
      <c r="P24" s="35">
        <f t="shared" si="4"/>
        <v>42</v>
      </c>
      <c r="Q24" s="34">
        <v>2</v>
      </c>
      <c r="R24" s="83">
        <f>IF(AND(O24&gt;0,Q24&gt;0),SUMIF('Исходные данные'!$C$14:H29,Q24,'Исходные данные'!$C$18:$H$18),IF(O24=0,0,IF(Q24=0,"РОТ")))</f>
        <v>0</v>
      </c>
      <c r="S24" s="34">
        <v>2</v>
      </c>
      <c r="T24" s="83">
        <f ca="1">IF(AND(N24&gt;0,P24&gt;0),SUMIF('Исходные данные'!$C$14:$J$30,S24,'Исходные данные'!$C$34:$J$42),IF(N24=0,0,IF(S24=0,"РОТ")))</f>
        <v>105.700598073999</v>
      </c>
      <c r="U24" s="130">
        <f>O24*R24*'Исходные данные'!$C$40%</f>
        <v>0</v>
      </c>
      <c r="V24" s="130">
        <f ca="1">P24*T24*'Исходные данные'!$C$41%</f>
        <v>1553.7987916877853</v>
      </c>
      <c r="W24" s="130">
        <f t="shared" si="17"/>
        <v>0</v>
      </c>
      <c r="X24" s="131">
        <f t="shared" ca="1" si="18"/>
        <v>0</v>
      </c>
      <c r="Y24" s="130">
        <f t="shared" si="19"/>
        <v>0</v>
      </c>
      <c r="Z24" s="131">
        <f t="shared" ca="1" si="20"/>
        <v>299.66119553978723</v>
      </c>
      <c r="AA24" s="130">
        <f t="shared" si="21"/>
        <v>0</v>
      </c>
      <c r="AB24" s="131">
        <f t="shared" ca="1" si="22"/>
        <v>0</v>
      </c>
      <c r="AC24" s="129">
        <v>2.5</v>
      </c>
      <c r="AD24" s="130">
        <f t="shared" si="23"/>
        <v>0</v>
      </c>
      <c r="AE24" s="130">
        <f t="shared" ca="1" si="24"/>
        <v>15732.212765838829</v>
      </c>
      <c r="AF24" s="35">
        <f t="shared" ca="1" si="5"/>
        <v>0</v>
      </c>
      <c r="AG24" s="73">
        <f t="shared" ca="1" si="5"/>
        <v>2350.7904132862614</v>
      </c>
      <c r="AH24" s="35">
        <f t="shared" ca="1" si="25"/>
        <v>0</v>
      </c>
      <c r="AI24" s="35">
        <f t="shared" ca="1" si="6"/>
        <v>18083.003179125091</v>
      </c>
      <c r="AJ24" s="35">
        <f t="shared" ca="1" si="26"/>
        <v>0</v>
      </c>
      <c r="AK24" s="73">
        <f t="shared" ca="1" si="7"/>
        <v>5424.9009537375268</v>
      </c>
      <c r="AL24" s="35">
        <f t="shared" ca="1" si="8"/>
        <v>0</v>
      </c>
      <c r="AM24" s="73">
        <f t="shared" ca="1" si="9"/>
        <v>23507.904132862619</v>
      </c>
      <c r="AN24" s="32"/>
      <c r="AO24" s="33"/>
      <c r="AP24" s="79"/>
      <c r="AQ24" s="33"/>
      <c r="AR24" s="83"/>
      <c r="AS24" s="36"/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0"/>
      <c r="BF24" s="36"/>
      <c r="BG24" s="36"/>
      <c r="BH24" s="85"/>
      <c r="BI24" s="36"/>
      <c r="BJ24" s="38"/>
      <c r="BK24" s="36"/>
      <c r="BL24" s="38"/>
      <c r="BM24" s="36"/>
      <c r="BN24" s="38"/>
      <c r="BO24" s="36"/>
      <c r="BP24" s="36"/>
      <c r="BQ24" s="36">
        <f t="shared" ca="1" si="13"/>
        <v>23507.904132862619</v>
      </c>
      <c r="BR24" s="36">
        <f t="shared" ca="1" si="14"/>
        <v>235.0790413286262</v>
      </c>
      <c r="BS24" s="38">
        <f t="shared" si="15"/>
        <v>0.42</v>
      </c>
      <c r="BT24" s="38"/>
      <c r="BU24" s="39"/>
    </row>
    <row r="25" spans="1:73" ht="22.5" x14ac:dyDescent="0.2">
      <c r="A25" s="20">
        <f t="shared" si="16"/>
        <v>9</v>
      </c>
      <c r="B25" s="27" t="s">
        <v>75</v>
      </c>
      <c r="C25" s="29">
        <v>1</v>
      </c>
      <c r="D25" s="30" t="s">
        <v>105</v>
      </c>
      <c r="E25" s="31" t="s">
        <v>115</v>
      </c>
      <c r="F25" s="28" t="s">
        <v>109</v>
      </c>
      <c r="G25" s="36">
        <f>G24</f>
        <v>50</v>
      </c>
      <c r="H25" s="176">
        <v>42536</v>
      </c>
      <c r="I25" s="176">
        <v>42542</v>
      </c>
      <c r="J25" s="182">
        <f t="shared" si="1"/>
        <v>6</v>
      </c>
      <c r="K25" s="32">
        <v>8.3333333333333339</v>
      </c>
      <c r="L25" s="33">
        <f t="shared" si="2"/>
        <v>6</v>
      </c>
      <c r="M25" s="34">
        <v>1</v>
      </c>
      <c r="N25" s="34">
        <v>1</v>
      </c>
      <c r="O25" s="35">
        <f t="shared" si="3"/>
        <v>42</v>
      </c>
      <c r="P25" s="35">
        <f t="shared" si="4"/>
        <v>42</v>
      </c>
      <c r="Q25" s="34">
        <v>2</v>
      </c>
      <c r="R25" s="83">
        <f ca="1">IF(AND(O25&gt;0,Q25&gt;0),SUMIF('Исходные данные'!$C$14:H30,Q25,'Исходные данные'!$C$18:$H$18),IF(O25=0,0,IF(Q25=0,"РОТ")))</f>
        <v>128.66557526609228</v>
      </c>
      <c r="S25" s="34">
        <v>2</v>
      </c>
      <c r="T25" s="83">
        <f ca="1">IF(AND(N25&gt;0,P25&gt;0),SUMIF('Исходные данные'!$C$14:$J$30,S25,'Исходные данные'!$C$34:$J$42),IF(N25=0,0,IF(S25=0,"РОТ")))</f>
        <v>105.700598073999</v>
      </c>
      <c r="U25" s="130">
        <f ca="1">O25*R25*'Исходные данные'!$C$40%</f>
        <v>0</v>
      </c>
      <c r="V25" s="130">
        <f ca="1">P25*T25*'Исходные данные'!$C$41%</f>
        <v>1553.7987916877853</v>
      </c>
      <c r="W25" s="130">
        <f t="shared" ca="1" si="17"/>
        <v>0</v>
      </c>
      <c r="X25" s="131">
        <f t="shared" ca="1" si="18"/>
        <v>0</v>
      </c>
      <c r="Y25" s="130">
        <f t="shared" ca="1" si="19"/>
        <v>540.39541611758762</v>
      </c>
      <c r="Z25" s="131">
        <f t="shared" ca="1" si="20"/>
        <v>299.66119553978723</v>
      </c>
      <c r="AA25" s="130">
        <f t="shared" ca="1" si="21"/>
        <v>0</v>
      </c>
      <c r="AB25" s="131">
        <f t="shared" ca="1" si="22"/>
        <v>0</v>
      </c>
      <c r="AC25" s="129">
        <v>2.5</v>
      </c>
      <c r="AD25" s="130">
        <f t="shared" ca="1" si="23"/>
        <v>14860.873943233659</v>
      </c>
      <c r="AE25" s="130">
        <f t="shared" ca="1" si="24"/>
        <v>15732.212765838829</v>
      </c>
      <c r="AF25" s="35">
        <f t="shared" ca="1" si="5"/>
        <v>2220.5903593337648</v>
      </c>
      <c r="AG25" s="73">
        <f t="shared" ca="1" si="5"/>
        <v>2350.7904132862614</v>
      </c>
      <c r="AH25" s="35">
        <f t="shared" ca="1" si="25"/>
        <v>17081.464302567423</v>
      </c>
      <c r="AI25" s="35">
        <f t="shared" ca="1" si="6"/>
        <v>18083.003179125091</v>
      </c>
      <c r="AJ25" s="35">
        <f t="shared" ca="1" si="26"/>
        <v>5124.4392907702268</v>
      </c>
      <c r="AK25" s="73">
        <f t="shared" ca="1" si="7"/>
        <v>5424.9009537375268</v>
      </c>
      <c r="AL25" s="35">
        <f t="shared" ca="1" si="8"/>
        <v>22205.903593337651</v>
      </c>
      <c r="AM25" s="73">
        <f t="shared" ca="1" si="9"/>
        <v>23507.904132862619</v>
      </c>
      <c r="AN25" s="32">
        <v>0.96</v>
      </c>
      <c r="AO25" s="33">
        <f>'Исходные данные'!$C$59</f>
        <v>0.84</v>
      </c>
      <c r="AP25" s="79">
        <f>(G25*AN25)*AO25/100</f>
        <v>0.4032</v>
      </c>
      <c r="AQ25" s="33" t="s">
        <v>153</v>
      </c>
      <c r="AR25" s="83" t="e">
        <f>AR17</f>
        <v>#REF!</v>
      </c>
      <c r="AS25" s="36" t="e">
        <f t="shared" si="27"/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20"/>
      <c r="BF25" s="36">
        <f>аморт!$G$11</f>
        <v>181.91312849162011</v>
      </c>
      <c r="BG25" s="36">
        <f>BF25*L25</f>
        <v>1091.4787709497207</v>
      </c>
      <c r="BH25" s="85">
        <f>аморт!$G$23</f>
        <v>48.426111111111105</v>
      </c>
      <c r="BI25" s="36">
        <f>BH25*L25</f>
        <v>290.55666666666662</v>
      </c>
      <c r="BJ25" s="38">
        <v>82.4</v>
      </c>
      <c r="BK25" s="36">
        <f t="shared" si="10"/>
        <v>2521.44</v>
      </c>
      <c r="BL25" s="38">
        <v>13.9</v>
      </c>
      <c r="BM25" s="36">
        <f t="shared" si="11"/>
        <v>425.34</v>
      </c>
      <c r="BN25" s="38">
        <f>4.8*1.045*1.054</f>
        <v>5.2868639999999996</v>
      </c>
      <c r="BO25" s="36">
        <f t="shared" si="12"/>
        <v>161.77803839999999</v>
      </c>
      <c r="BP25" s="36">
        <f>аморт!$C$23*10%/аморт!$E$23*L25*7</f>
        <v>46128.776400000002</v>
      </c>
      <c r="BQ25" s="36" t="e">
        <f t="shared" ca="1" si="13"/>
        <v>#REF!</v>
      </c>
      <c r="BR25" s="36" t="e">
        <f t="shared" ca="1" si="14"/>
        <v>#REF!</v>
      </c>
      <c r="BS25" s="38">
        <f t="shared" si="15"/>
        <v>0.84</v>
      </c>
      <c r="BT25" s="38">
        <v>5.0999999999999996</v>
      </c>
      <c r="BU25" s="39">
        <f>BT25*L25</f>
        <v>30.599999999999998</v>
      </c>
    </row>
    <row r="26" spans="1:73" ht="22.5" x14ac:dyDescent="0.2">
      <c r="A26" s="20">
        <f t="shared" si="16"/>
        <v>10</v>
      </c>
      <c r="B26" s="27" t="s">
        <v>26</v>
      </c>
      <c r="C26" s="29">
        <v>1</v>
      </c>
      <c r="D26" s="479" t="s">
        <v>118</v>
      </c>
      <c r="E26" s="480"/>
      <c r="F26" s="28" t="s">
        <v>109</v>
      </c>
      <c r="G26" s="36">
        <f>G25</f>
        <v>50</v>
      </c>
      <c r="H26" s="176">
        <v>42536</v>
      </c>
      <c r="I26" s="176">
        <v>42542</v>
      </c>
      <c r="J26" s="182">
        <f t="shared" si="1"/>
        <v>6</v>
      </c>
      <c r="K26" s="32">
        <v>8.3333333333333339</v>
      </c>
      <c r="L26" s="33">
        <f t="shared" si="2"/>
        <v>6</v>
      </c>
      <c r="M26" s="34"/>
      <c r="N26" s="34">
        <v>1</v>
      </c>
      <c r="O26" s="35">
        <f t="shared" si="3"/>
        <v>0</v>
      </c>
      <c r="P26" s="35">
        <f t="shared" si="4"/>
        <v>42</v>
      </c>
      <c r="Q26" s="34">
        <v>2</v>
      </c>
      <c r="R26" s="83">
        <f>IF(AND(O26&gt;0,Q26&gt;0),SUMIF('Исходные данные'!$C$14:H30,Q26,'Исходные данные'!$C$18:$H$18),IF(O26=0,0,IF(Q26=0,"РОТ")))</f>
        <v>0</v>
      </c>
      <c r="S26" s="34">
        <v>2</v>
      </c>
      <c r="T26" s="83">
        <f ca="1">IF(AND(N26&gt;0,P26&gt;0),SUMIF('Исходные данные'!$C$14:$J$30,S26,'Исходные данные'!$C$34:$J$42),IF(N26=0,0,IF(S26=0,"РОТ")))</f>
        <v>105.700598073999</v>
      </c>
      <c r="U26" s="130">
        <f>O26*R26*'Исходные данные'!$C$40%</f>
        <v>0</v>
      </c>
      <c r="V26" s="130">
        <f ca="1">P26*T26*'Исходные данные'!$C$41%</f>
        <v>1553.7987916877853</v>
      </c>
      <c r="W26" s="130">
        <f t="shared" si="17"/>
        <v>0</v>
      </c>
      <c r="X26" s="131">
        <f t="shared" ca="1" si="18"/>
        <v>0</v>
      </c>
      <c r="Y26" s="130">
        <f t="shared" si="19"/>
        <v>0</v>
      </c>
      <c r="Z26" s="131">
        <f t="shared" ca="1" si="20"/>
        <v>299.66119553978723</v>
      </c>
      <c r="AA26" s="130">
        <f t="shared" si="21"/>
        <v>0</v>
      </c>
      <c r="AB26" s="131">
        <f t="shared" ca="1" si="22"/>
        <v>0</v>
      </c>
      <c r="AC26" s="129">
        <v>2.5</v>
      </c>
      <c r="AD26" s="130">
        <f t="shared" si="23"/>
        <v>0</v>
      </c>
      <c r="AE26" s="130">
        <f t="shared" ca="1" si="24"/>
        <v>15732.212765838829</v>
      </c>
      <c r="AF26" s="35">
        <f t="shared" ca="1" si="5"/>
        <v>0</v>
      </c>
      <c r="AG26" s="73">
        <f t="shared" ca="1" si="5"/>
        <v>2350.7904132862614</v>
      </c>
      <c r="AH26" s="35">
        <f t="shared" ca="1" si="25"/>
        <v>0</v>
      </c>
      <c r="AI26" s="35">
        <f t="shared" ca="1" si="6"/>
        <v>18083.003179125091</v>
      </c>
      <c r="AJ26" s="35">
        <f t="shared" ca="1" si="26"/>
        <v>0</v>
      </c>
      <c r="AK26" s="73">
        <f t="shared" ca="1" si="7"/>
        <v>5424.9009537375268</v>
      </c>
      <c r="AL26" s="35">
        <f t="shared" ca="1" si="8"/>
        <v>0</v>
      </c>
      <c r="AM26" s="73">
        <f t="shared" ca="1" si="9"/>
        <v>23507.904132862619</v>
      </c>
      <c r="AN26" s="32"/>
      <c r="AO26" s="33">
        <f>'Исходные данные'!$C$59</f>
        <v>0.84</v>
      </c>
      <c r="AP26" s="79"/>
      <c r="AQ26" s="33"/>
      <c r="AR26" s="83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0"/>
      <c r="BF26" s="36"/>
      <c r="BG26" s="36"/>
      <c r="BH26" s="85"/>
      <c r="BI26" s="36"/>
      <c r="BJ26" s="38"/>
      <c r="BK26" s="36"/>
      <c r="BL26" s="38"/>
      <c r="BM26" s="36"/>
      <c r="BN26" s="38"/>
      <c r="BO26" s="36"/>
      <c r="BP26" s="36"/>
      <c r="BQ26" s="36">
        <f t="shared" ca="1" si="13"/>
        <v>23507.904132862619</v>
      </c>
      <c r="BR26" s="36">
        <f t="shared" ca="1" si="14"/>
        <v>235.0790413286262</v>
      </c>
      <c r="BS26" s="38">
        <f t="shared" si="15"/>
        <v>0.42</v>
      </c>
      <c r="BT26" s="38"/>
      <c r="BU26" s="39"/>
    </row>
    <row r="27" spans="1:73" ht="45" x14ac:dyDescent="0.2">
      <c r="A27" s="20">
        <f t="shared" si="16"/>
        <v>11</v>
      </c>
      <c r="B27" s="27" t="s">
        <v>422</v>
      </c>
      <c r="C27" s="29">
        <v>1</v>
      </c>
      <c r="D27" s="30" t="s">
        <v>184</v>
      </c>
      <c r="E27" s="190" t="s">
        <v>495</v>
      </c>
      <c r="F27" s="28" t="s">
        <v>106</v>
      </c>
      <c r="G27" s="29">
        <f>D6</f>
        <v>100</v>
      </c>
      <c r="H27" s="176">
        <f>H20</f>
        <v>42536</v>
      </c>
      <c r="I27" s="176">
        <f>I20</f>
        <v>42542</v>
      </c>
      <c r="J27" s="182">
        <f t="shared" si="1"/>
        <v>6</v>
      </c>
      <c r="K27" s="32">
        <v>14.4</v>
      </c>
      <c r="L27" s="33">
        <f t="shared" si="2"/>
        <v>6.9444444444444446</v>
      </c>
      <c r="M27" s="34">
        <v>2</v>
      </c>
      <c r="N27" s="34"/>
      <c r="O27" s="35">
        <f t="shared" si="3"/>
        <v>48.611111111111114</v>
      </c>
      <c r="P27" s="35">
        <f t="shared" si="4"/>
        <v>0</v>
      </c>
      <c r="Q27" s="34">
        <v>5</v>
      </c>
      <c r="R27" s="83">
        <f ca="1">IF(AND(O27&gt;0,Q27&gt;0),SUMIF('Исходные данные'!$C$14:H30,Q27,'Исходные данные'!$C$18:$H$18),IF(O27=0,0,IF(Q27=0,"РОТ")))</f>
        <v>179.78980233147493</v>
      </c>
      <c r="S27" s="34">
        <v>5</v>
      </c>
      <c r="T27" s="83">
        <f>IF(AND(N27&gt;0,P27&gt;0),SUMIF('Исходные данные'!$C$14:$J$30,S27,'Исходные данные'!$C$34:$J$42),IF(N27=0,0,IF(S27=0,"РОТ")))</f>
        <v>0</v>
      </c>
      <c r="U27" s="130">
        <f ca="1">O27*R27*'Исходные данные'!$C$40%</f>
        <v>0</v>
      </c>
      <c r="V27" s="130">
        <f>P27*T27*'Исходные данные'!$C$41%</f>
        <v>0</v>
      </c>
      <c r="W27" s="130">
        <f t="shared" ca="1" si="17"/>
        <v>0</v>
      </c>
      <c r="X27" s="131">
        <f t="shared" si="18"/>
        <v>0</v>
      </c>
      <c r="Y27" s="130">
        <f t="shared" ca="1" si="19"/>
        <v>873.97820577800326</v>
      </c>
      <c r="Z27" s="131">
        <f t="shared" si="20"/>
        <v>0</v>
      </c>
      <c r="AA27" s="130">
        <f t="shared" ca="1" si="21"/>
        <v>0</v>
      </c>
      <c r="AB27" s="131">
        <f t="shared" si="22"/>
        <v>0</v>
      </c>
      <c r="AC27" s="129">
        <v>2.5</v>
      </c>
      <c r="AD27" s="130">
        <f t="shared" ca="1" si="23"/>
        <v>24034.400658895087</v>
      </c>
      <c r="AE27" s="130">
        <f t="shared" si="24"/>
        <v>0</v>
      </c>
      <c r="AF27" s="35">
        <f t="shared" ca="1" si="5"/>
        <v>3591.347224892369</v>
      </c>
      <c r="AG27" s="73">
        <f t="shared" ca="1" si="5"/>
        <v>0</v>
      </c>
      <c r="AH27" s="35">
        <f t="shared" ca="1" si="25"/>
        <v>27625.747883787455</v>
      </c>
      <c r="AI27" s="35">
        <f t="shared" ca="1" si="6"/>
        <v>0</v>
      </c>
      <c r="AJ27" s="35">
        <f t="shared" ca="1" si="26"/>
        <v>8287.7243651362369</v>
      </c>
      <c r="AK27" s="73">
        <f t="shared" ca="1" si="7"/>
        <v>0</v>
      </c>
      <c r="AL27" s="35">
        <f t="shared" ca="1" si="8"/>
        <v>35913.472248923688</v>
      </c>
      <c r="AM27" s="73">
        <f t="shared" ca="1" si="9"/>
        <v>0</v>
      </c>
      <c r="AN27" s="32">
        <v>9</v>
      </c>
      <c r="AO27" s="33">
        <f>'Исходные данные'!$C$59</f>
        <v>0.84</v>
      </c>
      <c r="AP27" s="79">
        <f>(G27*AN27)*AO27/100</f>
        <v>7.56</v>
      </c>
      <c r="AQ27" s="33" t="s">
        <v>153</v>
      </c>
      <c r="AR27" s="83" t="e">
        <f>AR17</f>
        <v>#REF!</v>
      </c>
      <c r="AS27" s="36" t="e">
        <f t="shared" si="27"/>
        <v>#REF!</v>
      </c>
      <c r="AT27" s="32">
        <v>1.8</v>
      </c>
      <c r="AU27" s="36">
        <f>AT27*G27/10</f>
        <v>18</v>
      </c>
      <c r="AV27" s="79">
        <v>20</v>
      </c>
      <c r="AW27" s="36">
        <f>AU27*AV27*1000</f>
        <v>360000</v>
      </c>
      <c r="AX27" s="38">
        <v>5</v>
      </c>
      <c r="AY27" s="36">
        <f>AX27*G27/10</f>
        <v>50</v>
      </c>
      <c r="AZ27" s="38" t="e">
        <f>Нормы!#REF!</f>
        <v>#REF!</v>
      </c>
      <c r="BA27" s="36" t="e">
        <f>AY27*AZ27*1000</f>
        <v>#REF!</v>
      </c>
      <c r="BB27" s="36"/>
      <c r="BC27" s="36"/>
      <c r="BD27" s="36"/>
      <c r="BE27" s="36"/>
      <c r="BF27" s="36">
        <f>аморт!$G$11</f>
        <v>181.91312849162011</v>
      </c>
      <c r="BG27" s="36">
        <f>BF27*L27</f>
        <v>1263.2856145251396</v>
      </c>
      <c r="BH27" s="36">
        <f>аморт!G83</f>
        <v>214.94602272727272</v>
      </c>
      <c r="BI27" s="36">
        <f>BH27*L27</f>
        <v>1492.6807133838383</v>
      </c>
      <c r="BJ27" s="38">
        <v>82.4</v>
      </c>
      <c r="BK27" s="36">
        <f t="shared" si="10"/>
        <v>2918.3333333333335</v>
      </c>
      <c r="BL27" s="38">
        <v>13.9</v>
      </c>
      <c r="BM27" s="36">
        <f t="shared" si="11"/>
        <v>492.29166666666663</v>
      </c>
      <c r="BN27" s="38">
        <f>4.8*1.045*1.054</f>
        <v>5.2868639999999996</v>
      </c>
      <c r="BO27" s="36">
        <f t="shared" si="12"/>
        <v>187.24309999999997</v>
      </c>
      <c r="BP27" s="36">
        <f>аморт!$C$83*10%/аморт!$E$83*L27*7</f>
        <v>73559.305555555562</v>
      </c>
      <c r="BQ27" s="36" t="e">
        <f t="shared" ca="1" si="13"/>
        <v>#REF!</v>
      </c>
      <c r="BR27" s="36" t="e">
        <f t="shared" ca="1" si="14"/>
        <v>#REF!</v>
      </c>
      <c r="BS27" s="38">
        <f t="shared" si="15"/>
        <v>0.48611111111111116</v>
      </c>
      <c r="BT27" s="38">
        <v>5.0999999999999996</v>
      </c>
      <c r="BU27" s="39">
        <f>BT27*L27</f>
        <v>35.416666666666664</v>
      </c>
    </row>
    <row r="28" spans="1:73" s="54" customFormat="1" x14ac:dyDescent="0.2">
      <c r="A28" s="52"/>
      <c r="B28" s="53" t="s">
        <v>21</v>
      </c>
      <c r="C28" s="53"/>
      <c r="D28" s="53"/>
      <c r="E28" s="53"/>
      <c r="F28" s="55"/>
      <c r="G28" s="56"/>
      <c r="H28" s="56"/>
      <c r="I28" s="56"/>
      <c r="J28" s="65">
        <f>SUM(J17:J27)</f>
        <v>65</v>
      </c>
      <c r="K28" s="65"/>
      <c r="L28" s="65">
        <f>SUM(L17:L27)</f>
        <v>62.438492063492063</v>
      </c>
      <c r="M28" s="65">
        <f>SUM(M17:M27)</f>
        <v>12</v>
      </c>
      <c r="N28" s="65">
        <f>SUM(N17:N27)</f>
        <v>6</v>
      </c>
      <c r="O28" s="65">
        <f>SUM(O17:O27)</f>
        <v>269.06944444444446</v>
      </c>
      <c r="P28" s="65">
        <f>SUM(P17:P27)</f>
        <v>252</v>
      </c>
      <c r="Q28" s="65"/>
      <c r="R28" s="65"/>
      <c r="S28" s="65"/>
      <c r="T28" s="65"/>
      <c r="U28" s="65">
        <f t="shared" ref="U28:AM28" ca="1" si="28">SUM(U17:U27)</f>
        <v>0</v>
      </c>
      <c r="V28" s="65">
        <f t="shared" ca="1" si="28"/>
        <v>9322.7927501267113</v>
      </c>
      <c r="W28" s="65">
        <f t="shared" ca="1" si="28"/>
        <v>0</v>
      </c>
      <c r="X28" s="65">
        <f t="shared" ca="1" si="28"/>
        <v>0</v>
      </c>
      <c r="Y28" s="65">
        <f t="shared" ca="1" si="28"/>
        <v>4491.9126771414094</v>
      </c>
      <c r="Z28" s="65">
        <f t="shared" ca="1" si="28"/>
        <v>1797.9671732387235</v>
      </c>
      <c r="AA28" s="65">
        <f t="shared" ca="1" si="28"/>
        <v>0</v>
      </c>
      <c r="AB28" s="65">
        <f t="shared" ca="1" si="28"/>
        <v>0</v>
      </c>
      <c r="AC28" s="65"/>
      <c r="AD28" s="65">
        <f t="shared" ca="1" si="28"/>
        <v>123527.59862138878</v>
      </c>
      <c r="AE28" s="65">
        <f t="shared" ca="1" si="28"/>
        <v>94393.276595032978</v>
      </c>
      <c r="AF28" s="65">
        <f t="shared" ca="1" si="28"/>
        <v>18458.146920437397</v>
      </c>
      <c r="AG28" s="65">
        <f t="shared" ca="1" si="28"/>
        <v>14104.742479717566</v>
      </c>
      <c r="AH28" s="65">
        <f t="shared" ca="1" si="28"/>
        <v>141985.74554182618</v>
      </c>
      <c r="AI28" s="65">
        <f t="shared" ca="1" si="28"/>
        <v>108498.01907475055</v>
      </c>
      <c r="AJ28" s="65">
        <f t="shared" ca="1" si="28"/>
        <v>42595.723662547854</v>
      </c>
      <c r="AK28" s="65">
        <f t="shared" ca="1" si="28"/>
        <v>32549.405722425163</v>
      </c>
      <c r="AL28" s="65">
        <f t="shared" ca="1" si="28"/>
        <v>184581.46920437401</v>
      </c>
      <c r="AM28" s="65">
        <f t="shared" ca="1" si="28"/>
        <v>141047.42479717571</v>
      </c>
      <c r="AN28" s="65"/>
      <c r="AO28" s="65"/>
      <c r="AP28" s="65">
        <f>SUM(AP17:AP27)</f>
        <v>34.040351999999999</v>
      </c>
      <c r="AQ28" s="65"/>
      <c r="AR28" s="65"/>
      <c r="AS28" s="65" t="e">
        <f>SUM(AS17:AS27)</f>
        <v>#REF!</v>
      </c>
      <c r="AT28" s="65"/>
      <c r="AU28" s="65">
        <f>SUM(AU17:AU27)</f>
        <v>18</v>
      </c>
      <c r="AV28" s="65"/>
      <c r="AW28" s="65">
        <f>SUM(AW17:AW27)</f>
        <v>360000</v>
      </c>
      <c r="AX28" s="65"/>
      <c r="AY28" s="65">
        <f>SUM(AY17:AY27)</f>
        <v>50</v>
      </c>
      <c r="AZ28" s="65"/>
      <c r="BA28" s="65" t="e">
        <f>SUM(BA17:BA27)</f>
        <v>#REF!</v>
      </c>
      <c r="BB28" s="65"/>
      <c r="BC28" s="65">
        <f>SUM(BC17:BC27)</f>
        <v>0</v>
      </c>
      <c r="BD28" s="65"/>
      <c r="BE28" s="65">
        <f>SUM(BE17:BE27)</f>
        <v>0</v>
      </c>
      <c r="BF28" s="65"/>
      <c r="BG28" s="65">
        <f>SUM(BG17:BG27)</f>
        <v>5008.1570614321081</v>
      </c>
      <c r="BH28" s="65"/>
      <c r="BI28" s="65">
        <f>SUM(BI17:BI27)</f>
        <v>3308.5689862814675</v>
      </c>
      <c r="BJ28" s="65"/>
      <c r="BK28" s="65">
        <f>SUM(BK17:BK27)</f>
        <v>25402.731190476185</v>
      </c>
      <c r="BL28" s="65"/>
      <c r="BM28" s="65">
        <f>SUM(BM17:BM27)</f>
        <v>3355.0609523809526</v>
      </c>
      <c r="BN28" s="65"/>
      <c r="BO28" s="65">
        <f>SUM(BO17:BO27)</f>
        <v>2005.0266505499999</v>
      </c>
      <c r="BP28" s="65">
        <f>SUM(BP17:BP27)</f>
        <v>305386.29418888892</v>
      </c>
      <c r="BQ28" s="65" t="e">
        <f ca="1">SUM(BQ17:BQ27)</f>
        <v>#REF!</v>
      </c>
      <c r="BR28" s="65"/>
      <c r="BS28" s="65"/>
      <c r="BT28" s="65"/>
      <c r="BU28" s="65">
        <f>SUM(BU17:BU27)</f>
        <v>303.40238095238095</v>
      </c>
    </row>
    <row r="29" spans="1:73" s="7" customFormat="1" ht="12.75" customHeight="1" x14ac:dyDescent="0.2">
      <c r="A29" s="21"/>
      <c r="B29" s="483" t="s">
        <v>65</v>
      </c>
      <c r="C29" s="483"/>
      <c r="D29" s="483"/>
      <c r="E29" s="483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5"/>
      <c r="AQ29" s="26"/>
      <c r="AR29" s="26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3"/>
    </row>
    <row r="30" spans="1:73" ht="22.5" x14ac:dyDescent="0.2">
      <c r="A30" s="19">
        <v>1</v>
      </c>
      <c r="B30" s="27" t="s">
        <v>66</v>
      </c>
      <c r="C30" s="29">
        <v>1.1574074074074074</v>
      </c>
      <c r="D30" s="30" t="s">
        <v>105</v>
      </c>
      <c r="E30" s="31" t="s">
        <v>191</v>
      </c>
      <c r="F30" s="28" t="s">
        <v>106</v>
      </c>
      <c r="G30" s="29">
        <f>D6</f>
        <v>100</v>
      </c>
      <c r="H30" s="176">
        <v>42597</v>
      </c>
      <c r="I30" s="176">
        <v>42603</v>
      </c>
      <c r="J30" s="182">
        <f t="shared" ref="J30:J35" si="29">I30-H30</f>
        <v>6</v>
      </c>
      <c r="K30" s="32">
        <v>14.4</v>
      </c>
      <c r="L30" s="33">
        <f t="shared" ref="L30:L35" si="30">G30/K30</f>
        <v>6.9444444444444446</v>
      </c>
      <c r="M30" s="34">
        <v>1</v>
      </c>
      <c r="N30" s="34"/>
      <c r="O30" s="35">
        <f t="shared" ref="O30:O35" si="31">IF(M30=0,0,L30*$O$12)</f>
        <v>48.611111111111114</v>
      </c>
      <c r="P30" s="35">
        <f t="shared" ref="P30:P35" si="32">IF(N30=0,0,L30*$O$12)</f>
        <v>0</v>
      </c>
      <c r="Q30" s="34">
        <v>5</v>
      </c>
      <c r="R30" s="83">
        <f ca="1">IF(AND(O30&gt;0,Q30&gt;0),SUMIF('Исходные данные'!$C$14:H34,Q30,'Исходные данные'!$C$18:$H$18),IF(O30=0,0,IF(Q30=0,"РОТ")))</f>
        <v>179.78980233147493</v>
      </c>
      <c r="S30" s="34"/>
      <c r="T30" s="83">
        <f>IF(AND(N30&gt;0,P30&gt;0),SUMIF('Исходные данные'!$C$14:$J$30,S30,'Исходные данные'!$C$34:$J$42),IF(N30=0,0,IF(S30=0,"РОТ")))</f>
        <v>0</v>
      </c>
      <c r="U30" s="130">
        <f ca="1">O30*R30*'Исходные данные'!$C$40%</f>
        <v>0</v>
      </c>
      <c r="V30" s="130">
        <f>P30*T30*'Исходные данные'!$C$41%</f>
        <v>0</v>
      </c>
      <c r="W30" s="130">
        <f t="shared" ref="W30:W35" ca="1" si="33">O30*R30*$W$12</f>
        <v>0</v>
      </c>
      <c r="X30" s="131">
        <f t="shared" ref="X30:X35" si="34">P30*T30*$W$12</f>
        <v>0</v>
      </c>
      <c r="Y30" s="130">
        <f t="shared" ref="Y30:Y35" ca="1" si="35">(O30*R30+U30+W30)*$Y$12</f>
        <v>873.97820577800326</v>
      </c>
      <c r="Z30" s="131">
        <f t="shared" ref="Z30:Z35" si="36">(P30*T30+V30+X30)*$Z$12</f>
        <v>0</v>
      </c>
      <c r="AA30" s="130">
        <f t="shared" ref="AA30:AA35" ca="1" si="37">(O30*R30+U30)*$AA$12</f>
        <v>0</v>
      </c>
      <c r="AB30" s="131">
        <f t="shared" ref="AB30:AB35" si="38">(P30*T30+V30)*$AA$12</f>
        <v>0</v>
      </c>
      <c r="AC30" s="129">
        <v>2.5</v>
      </c>
      <c r="AD30" s="130">
        <f t="shared" ref="AD30:AD35" ca="1" si="39">(O30*R30+U30+W30+Y30+AA30)*AC30</f>
        <v>24034.400658895087</v>
      </c>
      <c r="AE30" s="130">
        <f t="shared" ref="AE30:AE35" si="40">(P30*T30+V30+X30+Z30+AB30)*AC30</f>
        <v>0</v>
      </c>
      <c r="AF30" s="35">
        <f t="shared" ref="AF30:AG34" ca="1" si="41">AD30*$AF$12</f>
        <v>3591.347224892369</v>
      </c>
      <c r="AG30" s="73">
        <f t="shared" ca="1" si="41"/>
        <v>0</v>
      </c>
      <c r="AH30" s="35">
        <f t="shared" ref="AH30:AI34" ca="1" si="42">AD30+AF30</f>
        <v>27625.747883787455</v>
      </c>
      <c r="AI30" s="35">
        <f t="shared" ca="1" si="42"/>
        <v>0</v>
      </c>
      <c r="AJ30" s="35">
        <f t="shared" ref="AJ30:AK34" ca="1" si="43">AH30*$AJ$12</f>
        <v>8287.7243651362369</v>
      </c>
      <c r="AK30" s="73">
        <f t="shared" ca="1" si="43"/>
        <v>0</v>
      </c>
      <c r="AL30" s="35">
        <f t="shared" ref="AL30:AL35" ca="1" si="44">AH30+AJ30</f>
        <v>35913.472248923688</v>
      </c>
      <c r="AM30" s="73">
        <f t="shared" ref="AM30:AM35" ca="1" si="45">AK30+AI30</f>
        <v>0</v>
      </c>
      <c r="AN30" s="173">
        <v>6.5</v>
      </c>
      <c r="AO30" s="33">
        <f>'Исходные данные'!$C$59</f>
        <v>0.84</v>
      </c>
      <c r="AP30" s="79">
        <f t="shared" ref="AP30:AP35" si="46">(G30*AN30)*AO30/100</f>
        <v>5.46</v>
      </c>
      <c r="AQ30" s="33" t="s">
        <v>153</v>
      </c>
      <c r="AR30" s="83" t="e">
        <f>AR17</f>
        <v>#REF!</v>
      </c>
      <c r="AS30" s="36" t="e">
        <f t="shared" ref="AS30:AS35" si="47"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>
        <f>аморт!$G$11</f>
        <v>181.91312849162011</v>
      </c>
      <c r="BG30" s="36">
        <f t="shared" ref="BG30:BG35" si="48">BF30*L30</f>
        <v>1263.2856145251396</v>
      </c>
      <c r="BH30" s="36">
        <f>аморт!$G$25</f>
        <v>12.519247457627118</v>
      </c>
      <c r="BI30" s="36">
        <f t="shared" ref="BI30:BI35" si="49">BH30*L30</f>
        <v>86.939218455743884</v>
      </c>
      <c r="BJ30" s="38">
        <v>82.4</v>
      </c>
      <c r="BK30" s="36">
        <f t="shared" ref="BK30:BK35" si="50">BJ30*BU30</f>
        <v>2918.3333333333335</v>
      </c>
      <c r="BL30" s="38">
        <v>13.9</v>
      </c>
      <c r="BM30" s="36">
        <f t="shared" ref="BM30:BM35" si="51">BL30*BU30</f>
        <v>492.29166666666663</v>
      </c>
      <c r="BN30" s="38">
        <f t="shared" ref="BN30:BN35" si="52">4.8*1.045*1.054</f>
        <v>5.2868639999999996</v>
      </c>
      <c r="BO30" s="36">
        <f t="shared" ref="BO30:BO35" si="53">BN30*BU30</f>
        <v>187.24309999999997</v>
      </c>
      <c r="BP30" s="36">
        <f>аморт!$C$25*10%/аморт!$E$25*L30*7</f>
        <v>35905.897222222222</v>
      </c>
      <c r="BQ30" s="36" t="e">
        <f t="shared" ref="BQ30:BQ35" ca="1" si="54">AL30+AM30+AS30+AW30+BA30+BE30+BG30+BI30+BK30+BM30+BO30+BP30</f>
        <v>#REF!</v>
      </c>
      <c r="BR30" s="36" t="e">
        <f t="shared" ref="BR30:BR35" ca="1" si="55">BQ30/$D$6</f>
        <v>#REF!</v>
      </c>
      <c r="BS30" s="38">
        <f t="shared" ref="BS30:BS35" si="56">(O30+P30)/$D$6</f>
        <v>0.48611111111111116</v>
      </c>
      <c r="BT30" s="38">
        <v>5.0999999999999996</v>
      </c>
      <c r="BU30" s="39">
        <f t="shared" ref="BU30:BU35" si="57">BT30*L30</f>
        <v>35.416666666666664</v>
      </c>
    </row>
    <row r="31" spans="1:73" x14ac:dyDescent="0.2">
      <c r="A31" s="20">
        <f>A30+1</f>
        <v>2</v>
      </c>
      <c r="B31" s="27" t="s">
        <v>67</v>
      </c>
      <c r="C31" s="29">
        <v>0.32552083333333331</v>
      </c>
      <c r="D31" s="30" t="s">
        <v>105</v>
      </c>
      <c r="E31" s="31" t="s">
        <v>192</v>
      </c>
      <c r="F31" s="28" t="s">
        <v>106</v>
      </c>
      <c r="G31" s="29">
        <f>G30</f>
        <v>100</v>
      </c>
      <c r="H31" s="176">
        <v>42597</v>
      </c>
      <c r="I31" s="176">
        <v>42603</v>
      </c>
      <c r="J31" s="182">
        <f t="shared" si="29"/>
        <v>6</v>
      </c>
      <c r="K31" s="32">
        <v>51.2</v>
      </c>
      <c r="L31" s="33">
        <f t="shared" si="30"/>
        <v>1.953125</v>
      </c>
      <c r="M31" s="34">
        <v>1</v>
      </c>
      <c r="N31" s="34"/>
      <c r="O31" s="35">
        <f t="shared" si="31"/>
        <v>13.671875</v>
      </c>
      <c r="P31" s="35">
        <f t="shared" si="32"/>
        <v>0</v>
      </c>
      <c r="Q31" s="34">
        <v>5</v>
      </c>
      <c r="R31" s="83">
        <f ca="1">IF(AND(O31&gt;0,Q31&gt;0),SUMIF('Исходные данные'!$C$14:H34,Q31,'Исходные данные'!$C$18:$H$18),IF(O31=0,0,IF(Q31=0,"РОТ")))</f>
        <v>179.78980233147493</v>
      </c>
      <c r="S31" s="34"/>
      <c r="T31" s="83">
        <f>IF(AND(N31&gt;0,P31&gt;0),SUMIF('Исходные данные'!$C$14:$J$30,S31,'Исходные данные'!$C$34:$J$42),IF(N31=0,0,IF(S31=0,"РОТ")))</f>
        <v>0</v>
      </c>
      <c r="U31" s="130">
        <f ca="1">O31*R31*'Исходные данные'!$C$40%</f>
        <v>0</v>
      </c>
      <c r="V31" s="130">
        <f>P31*T31*'Исходные данные'!$C$41%</f>
        <v>0</v>
      </c>
      <c r="W31" s="130">
        <f t="shared" ca="1" si="33"/>
        <v>0</v>
      </c>
      <c r="X31" s="131">
        <f t="shared" si="34"/>
        <v>0</v>
      </c>
      <c r="Y31" s="130">
        <f t="shared" ca="1" si="35"/>
        <v>245.80637037506341</v>
      </c>
      <c r="Z31" s="131">
        <f t="shared" si="36"/>
        <v>0</v>
      </c>
      <c r="AA31" s="130">
        <f t="shared" ca="1" si="37"/>
        <v>0</v>
      </c>
      <c r="AB31" s="131">
        <f t="shared" si="38"/>
        <v>0</v>
      </c>
      <c r="AC31" s="129">
        <v>2.5</v>
      </c>
      <c r="AD31" s="130">
        <f t="shared" ca="1" si="39"/>
        <v>6759.6751853142441</v>
      </c>
      <c r="AE31" s="130">
        <f t="shared" si="40"/>
        <v>0</v>
      </c>
      <c r="AF31" s="35">
        <f t="shared" ca="1" si="41"/>
        <v>1010.0664070009789</v>
      </c>
      <c r="AG31" s="73">
        <f t="shared" ca="1" si="41"/>
        <v>0</v>
      </c>
      <c r="AH31" s="35">
        <f t="shared" ca="1" si="42"/>
        <v>7769.741592315223</v>
      </c>
      <c r="AI31" s="35">
        <f t="shared" ca="1" si="42"/>
        <v>0</v>
      </c>
      <c r="AJ31" s="35">
        <f t="shared" ca="1" si="43"/>
        <v>2330.9224776945666</v>
      </c>
      <c r="AK31" s="73">
        <f t="shared" ca="1" si="43"/>
        <v>0</v>
      </c>
      <c r="AL31" s="35">
        <f t="shared" ca="1" si="44"/>
        <v>10100.664070009789</v>
      </c>
      <c r="AM31" s="73">
        <f t="shared" ca="1" si="45"/>
        <v>0</v>
      </c>
      <c r="AN31" s="178">
        <v>1.8</v>
      </c>
      <c r="AO31" s="33">
        <f>'Исходные данные'!$C$59</f>
        <v>0.84</v>
      </c>
      <c r="AP31" s="79">
        <f t="shared" si="46"/>
        <v>1.5119999999999998</v>
      </c>
      <c r="AQ31" s="33" t="s">
        <v>153</v>
      </c>
      <c r="AR31" s="83" t="e">
        <f>AR17</f>
        <v>#REF!</v>
      </c>
      <c r="AS31" s="36" t="e">
        <f t="shared" si="47"/>
        <v>#REF!</v>
      </c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>
        <f>аморт!$G$11</f>
        <v>181.91312849162011</v>
      </c>
      <c r="BG31" s="36">
        <f t="shared" si="48"/>
        <v>355.29907908519556</v>
      </c>
      <c r="BH31" s="36">
        <f>аморт!$G$28</f>
        <v>384.88701041666667</v>
      </c>
      <c r="BI31" s="36">
        <f t="shared" si="49"/>
        <v>751.73244222005212</v>
      </c>
      <c r="BJ31" s="38">
        <v>82.4</v>
      </c>
      <c r="BK31" s="36">
        <f t="shared" si="50"/>
        <v>820.78125</v>
      </c>
      <c r="BL31" s="38">
        <v>13.9</v>
      </c>
      <c r="BM31" s="36">
        <f t="shared" si="51"/>
        <v>138.45703125</v>
      </c>
      <c r="BN31" s="38">
        <f t="shared" si="52"/>
        <v>5.2868639999999996</v>
      </c>
      <c r="BO31" s="36">
        <f t="shared" si="53"/>
        <v>52.662121874999997</v>
      </c>
      <c r="BP31" s="36">
        <f>аморт!$C$28*10%/аморт!$E$28*L31*7</f>
        <v>40413.136093750007</v>
      </c>
      <c r="BQ31" s="36" t="e">
        <f t="shared" ca="1" si="54"/>
        <v>#REF!</v>
      </c>
      <c r="BR31" s="36" t="e">
        <f t="shared" ca="1" si="55"/>
        <v>#REF!</v>
      </c>
      <c r="BS31" s="38">
        <f t="shared" si="56"/>
        <v>0.13671875</v>
      </c>
      <c r="BT31" s="38">
        <v>5.0999999999999996</v>
      </c>
      <c r="BU31" s="39">
        <f t="shared" si="57"/>
        <v>9.9609375</v>
      </c>
    </row>
    <row r="32" spans="1:73" x14ac:dyDescent="0.2">
      <c r="A32" s="20">
        <f>A31+1</f>
        <v>3</v>
      </c>
      <c r="B32" s="27" t="s">
        <v>68</v>
      </c>
      <c r="C32" s="29">
        <v>0.34722222222222227</v>
      </c>
      <c r="D32" s="30" t="s">
        <v>105</v>
      </c>
      <c r="E32" s="31" t="s">
        <v>193</v>
      </c>
      <c r="F32" s="28" t="s">
        <v>106</v>
      </c>
      <c r="G32" s="29">
        <f>G31</f>
        <v>100</v>
      </c>
      <c r="H32" s="176">
        <v>42597</v>
      </c>
      <c r="I32" s="176">
        <v>42603</v>
      </c>
      <c r="J32" s="182">
        <f t="shared" si="29"/>
        <v>6</v>
      </c>
      <c r="K32" s="32">
        <v>48</v>
      </c>
      <c r="L32" s="33">
        <f t="shared" si="30"/>
        <v>2.0833333333333335</v>
      </c>
      <c r="M32" s="34">
        <v>1</v>
      </c>
      <c r="N32" s="34"/>
      <c r="O32" s="35">
        <f t="shared" si="31"/>
        <v>14.583333333333334</v>
      </c>
      <c r="P32" s="35">
        <f t="shared" si="32"/>
        <v>0</v>
      </c>
      <c r="Q32" s="34">
        <v>5</v>
      </c>
      <c r="R32" s="83">
        <f ca="1">IF(AND(O32&gt;0,Q32&gt;0),SUMIF('Исходные данные'!$C$14:H34,Q32,'Исходные данные'!$C$18:$H$18),IF(O32=0,0,IF(Q32=0,"РОТ")))</f>
        <v>179.78980233147493</v>
      </c>
      <c r="S32" s="34"/>
      <c r="T32" s="83">
        <f>IF(AND(N32&gt;0,P32&gt;0),SUMIF('Исходные данные'!$C$14:$J$30,S32,'Исходные данные'!$C$34:$J$42),IF(N32=0,0,IF(S32=0,"РОТ")))</f>
        <v>0</v>
      </c>
      <c r="U32" s="130">
        <f ca="1">O32*R32*'Исходные данные'!$C$40%</f>
        <v>0</v>
      </c>
      <c r="V32" s="130">
        <f>P32*T32*'Исходные данные'!$C$41%</f>
        <v>0</v>
      </c>
      <c r="W32" s="130">
        <f t="shared" ca="1" si="33"/>
        <v>0</v>
      </c>
      <c r="X32" s="131">
        <f t="shared" si="34"/>
        <v>0</v>
      </c>
      <c r="Y32" s="130">
        <f t="shared" ca="1" si="35"/>
        <v>262.19346173340097</v>
      </c>
      <c r="Z32" s="131">
        <f t="shared" si="36"/>
        <v>0</v>
      </c>
      <c r="AA32" s="130">
        <f t="shared" ca="1" si="37"/>
        <v>0</v>
      </c>
      <c r="AB32" s="131">
        <f t="shared" si="38"/>
        <v>0</v>
      </c>
      <c r="AC32" s="129">
        <v>2.5</v>
      </c>
      <c r="AD32" s="130">
        <f t="shared" ca="1" si="39"/>
        <v>7210.3201976685259</v>
      </c>
      <c r="AE32" s="130">
        <f t="shared" si="40"/>
        <v>0</v>
      </c>
      <c r="AF32" s="35">
        <f t="shared" ca="1" si="41"/>
        <v>1077.4041674677107</v>
      </c>
      <c r="AG32" s="73">
        <f t="shared" ca="1" si="41"/>
        <v>0</v>
      </c>
      <c r="AH32" s="35">
        <f t="shared" ca="1" si="42"/>
        <v>8287.7243651362369</v>
      </c>
      <c r="AI32" s="35">
        <f t="shared" ca="1" si="42"/>
        <v>0</v>
      </c>
      <c r="AJ32" s="35">
        <f t="shared" ca="1" si="43"/>
        <v>2486.3173095408711</v>
      </c>
      <c r="AK32" s="73">
        <f t="shared" ca="1" si="43"/>
        <v>0</v>
      </c>
      <c r="AL32" s="35">
        <f t="shared" ca="1" si="44"/>
        <v>10774.041674677108</v>
      </c>
      <c r="AM32" s="73">
        <f t="shared" ca="1" si="45"/>
        <v>0</v>
      </c>
      <c r="AN32" s="178">
        <v>2.8</v>
      </c>
      <c r="AO32" s="33">
        <f>'Исходные данные'!$C$59</f>
        <v>0.84</v>
      </c>
      <c r="AP32" s="79">
        <f t="shared" si="46"/>
        <v>2.3519999999999999</v>
      </c>
      <c r="AQ32" s="33" t="s">
        <v>153</v>
      </c>
      <c r="AR32" s="83" t="e">
        <f>AR17</f>
        <v>#REF!</v>
      </c>
      <c r="AS32" s="36" t="e">
        <f t="shared" si="47"/>
        <v>#REF!</v>
      </c>
      <c r="AT32" s="32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>
        <f>аморт!$G$11</f>
        <v>181.91312849162011</v>
      </c>
      <c r="BG32" s="36">
        <f t="shared" si="48"/>
        <v>378.98568435754191</v>
      </c>
      <c r="BH32" s="36">
        <f>аморт!$G$27</f>
        <v>343.69111111111113</v>
      </c>
      <c r="BI32" s="36">
        <f t="shared" si="49"/>
        <v>716.02314814814827</v>
      </c>
      <c r="BJ32" s="38">
        <v>82.4</v>
      </c>
      <c r="BK32" s="36">
        <f t="shared" si="50"/>
        <v>875.50000000000011</v>
      </c>
      <c r="BL32" s="38">
        <v>13.9</v>
      </c>
      <c r="BM32" s="36">
        <f t="shared" si="51"/>
        <v>147.6875</v>
      </c>
      <c r="BN32" s="38">
        <f t="shared" si="52"/>
        <v>5.2868639999999996</v>
      </c>
      <c r="BO32" s="36">
        <f t="shared" si="53"/>
        <v>56.172929999999994</v>
      </c>
      <c r="BP32" s="36">
        <f>аморт!$C$27*10%/аморт!$E$27*L32*7</f>
        <v>43305.080000000009</v>
      </c>
      <c r="BQ32" s="36" t="e">
        <f t="shared" ca="1" si="54"/>
        <v>#REF!</v>
      </c>
      <c r="BR32" s="36" t="e">
        <f t="shared" ca="1" si="55"/>
        <v>#REF!</v>
      </c>
      <c r="BS32" s="38">
        <f t="shared" si="56"/>
        <v>0.14583333333333334</v>
      </c>
      <c r="BT32" s="38">
        <v>5.0999999999999996</v>
      </c>
      <c r="BU32" s="39">
        <f t="shared" si="57"/>
        <v>10.625</v>
      </c>
    </row>
    <row r="33" spans="1:73" ht="45" x14ac:dyDescent="0.2">
      <c r="A33" s="20">
        <f>A32+1</f>
        <v>4</v>
      </c>
      <c r="B33" s="27" t="s">
        <v>69</v>
      </c>
      <c r="C33" s="29">
        <v>0.83333333333333337</v>
      </c>
      <c r="D33" s="30" t="s">
        <v>105</v>
      </c>
      <c r="E33" s="31" t="s">
        <v>194</v>
      </c>
      <c r="F33" s="28" t="s">
        <v>109</v>
      </c>
      <c r="G33" s="177">
        <f>D7/10</f>
        <v>500</v>
      </c>
      <c r="H33" s="176">
        <v>42597</v>
      </c>
      <c r="I33" s="176">
        <v>42603</v>
      </c>
      <c r="J33" s="182">
        <f t="shared" si="29"/>
        <v>6</v>
      </c>
      <c r="K33" s="32">
        <v>100</v>
      </c>
      <c r="L33" s="33">
        <f t="shared" si="30"/>
        <v>5</v>
      </c>
      <c r="M33" s="34">
        <v>1</v>
      </c>
      <c r="N33" s="34"/>
      <c r="O33" s="35">
        <f t="shared" si="31"/>
        <v>35</v>
      </c>
      <c r="P33" s="35">
        <f t="shared" si="32"/>
        <v>0</v>
      </c>
      <c r="Q33" s="34">
        <v>5</v>
      </c>
      <c r="R33" s="83">
        <f ca="1">IF(AND(O33&gt;0,Q33&gt;0),SUMIF('Исходные данные'!$C$14:H35,Q33,'Исходные данные'!$C$18:$H$18),IF(O33=0,0,IF(Q33=0,"РОТ")))</f>
        <v>179.78980233147493</v>
      </c>
      <c r="S33" s="34">
        <v>2</v>
      </c>
      <c r="T33" s="83">
        <f>IF(AND(N33&gt;0,P33&gt;0),SUMIF('Исходные данные'!$C$14:$J$30,S33,'Исходные данные'!$C$34:$J$42),IF(N33=0,0,IF(S33=0,"РОТ")))</f>
        <v>0</v>
      </c>
      <c r="U33" s="130">
        <f ca="1">O33*R33*'Исходные данные'!$C$40%</f>
        <v>0</v>
      </c>
      <c r="V33" s="130">
        <f>P33*T33*'Исходные данные'!$C$41%</f>
        <v>0</v>
      </c>
      <c r="W33" s="130">
        <f t="shared" ca="1" si="33"/>
        <v>0</v>
      </c>
      <c r="X33" s="131">
        <f t="shared" si="34"/>
        <v>0</v>
      </c>
      <c r="Y33" s="130">
        <f t="shared" ca="1" si="35"/>
        <v>629.26430816016227</v>
      </c>
      <c r="Z33" s="131">
        <f t="shared" si="36"/>
        <v>0</v>
      </c>
      <c r="AA33" s="130">
        <f t="shared" ca="1" si="37"/>
        <v>0</v>
      </c>
      <c r="AB33" s="131">
        <f t="shared" si="38"/>
        <v>0</v>
      </c>
      <c r="AC33" s="129">
        <v>2.5</v>
      </c>
      <c r="AD33" s="130">
        <f t="shared" ca="1" si="39"/>
        <v>17304.768474404464</v>
      </c>
      <c r="AE33" s="130">
        <f t="shared" si="40"/>
        <v>0</v>
      </c>
      <c r="AF33" s="35">
        <f t="shared" ca="1" si="41"/>
        <v>2585.7700019225058</v>
      </c>
      <c r="AG33" s="73">
        <f t="shared" ca="1" si="41"/>
        <v>0</v>
      </c>
      <c r="AH33" s="35">
        <f t="shared" ca="1" si="42"/>
        <v>19890.538476326969</v>
      </c>
      <c r="AI33" s="35">
        <f t="shared" ca="1" si="42"/>
        <v>0</v>
      </c>
      <c r="AJ33" s="35">
        <f t="shared" ca="1" si="43"/>
        <v>5967.1615428980904</v>
      </c>
      <c r="AK33" s="73">
        <f t="shared" ca="1" si="43"/>
        <v>0</v>
      </c>
      <c r="AL33" s="35">
        <f t="shared" ca="1" si="44"/>
        <v>25857.70001922506</v>
      </c>
      <c r="AM33" s="73">
        <f t="shared" ca="1" si="45"/>
        <v>0</v>
      </c>
      <c r="AN33" s="178">
        <v>0.3</v>
      </c>
      <c r="AO33" s="33">
        <f>'Исходные данные'!$C$59</f>
        <v>0.84</v>
      </c>
      <c r="AP33" s="79">
        <f t="shared" si="46"/>
        <v>1.26</v>
      </c>
      <c r="AQ33" s="33" t="s">
        <v>153</v>
      </c>
      <c r="AR33" s="83" t="e">
        <f>AR17</f>
        <v>#REF!</v>
      </c>
      <c r="AS33" s="36" t="e">
        <f t="shared" si="47"/>
        <v>#REF!</v>
      </c>
      <c r="AT33" s="32"/>
      <c r="AU33" s="36"/>
      <c r="AV33" s="36"/>
      <c r="AW33" s="36"/>
      <c r="AX33" s="36"/>
      <c r="AY33" s="36"/>
      <c r="AZ33" s="36"/>
      <c r="BA33" s="36"/>
      <c r="BB33" s="113"/>
      <c r="BC33" s="36">
        <f>BB33*G34</f>
        <v>0</v>
      </c>
      <c r="BD33" s="36"/>
      <c r="BE33" s="36">
        <f>BC33*BD33</f>
        <v>0</v>
      </c>
      <c r="BF33" s="36">
        <f>аморт!$G$11</f>
        <v>181.91312849162011</v>
      </c>
      <c r="BG33" s="36">
        <f t="shared" si="48"/>
        <v>909.56564245810057</v>
      </c>
      <c r="BH33" s="36">
        <f>аморт!$G$29</f>
        <v>141.81938775510207</v>
      </c>
      <c r="BI33" s="36">
        <f t="shared" si="49"/>
        <v>709.09693877551035</v>
      </c>
      <c r="BJ33" s="38">
        <v>82.4</v>
      </c>
      <c r="BK33" s="36">
        <f t="shared" si="50"/>
        <v>2101.2000000000003</v>
      </c>
      <c r="BL33" s="38">
        <v>13.9</v>
      </c>
      <c r="BM33" s="36">
        <f t="shared" si="51"/>
        <v>354.45</v>
      </c>
      <c r="BN33" s="38">
        <f t="shared" si="52"/>
        <v>5.2868639999999996</v>
      </c>
      <c r="BO33" s="36">
        <f t="shared" si="53"/>
        <v>134.815032</v>
      </c>
      <c r="BP33" s="36">
        <f>аморт!$C$29*10%/аморт!$E$29*L33*7</f>
        <v>40861.002</v>
      </c>
      <c r="BQ33" s="36" t="e">
        <f t="shared" ca="1" si="54"/>
        <v>#REF!</v>
      </c>
      <c r="BR33" s="36" t="e">
        <f t="shared" ca="1" si="55"/>
        <v>#REF!</v>
      </c>
      <c r="BS33" s="38">
        <f t="shared" si="56"/>
        <v>0.35</v>
      </c>
      <c r="BT33" s="38">
        <v>5.0999999999999996</v>
      </c>
      <c r="BU33" s="39">
        <f t="shared" si="57"/>
        <v>25.5</v>
      </c>
    </row>
    <row r="34" spans="1:73" x14ac:dyDescent="0.2">
      <c r="A34" s="20">
        <f>A33+1</f>
        <v>5</v>
      </c>
      <c r="B34" s="27" t="s">
        <v>70</v>
      </c>
      <c r="C34" s="29">
        <v>0.10416666666666667</v>
      </c>
      <c r="D34" s="30" t="s">
        <v>105</v>
      </c>
      <c r="E34" s="31" t="s">
        <v>195</v>
      </c>
      <c r="F34" s="28" t="s">
        <v>122</v>
      </c>
      <c r="G34" s="114">
        <f>G33/8</f>
        <v>62.5</v>
      </c>
      <c r="H34" s="176">
        <v>42597</v>
      </c>
      <c r="I34" s="176">
        <v>42603</v>
      </c>
      <c r="J34" s="182">
        <f t="shared" si="29"/>
        <v>6</v>
      </c>
      <c r="K34" s="32">
        <v>100</v>
      </c>
      <c r="L34" s="33">
        <f t="shared" si="30"/>
        <v>0.625</v>
      </c>
      <c r="M34" s="34">
        <v>1</v>
      </c>
      <c r="N34" s="34"/>
      <c r="O34" s="35">
        <f t="shared" si="31"/>
        <v>4.375</v>
      </c>
      <c r="P34" s="35">
        <f t="shared" si="32"/>
        <v>0</v>
      </c>
      <c r="Q34" s="34">
        <v>5</v>
      </c>
      <c r="R34" s="83">
        <f ca="1">IF(AND(O34&gt;0,Q34&gt;0),SUMIF('Исходные данные'!$C$14:H36,Q34,'Исходные данные'!$C$18:$H$18),IF(O34=0,0,IF(Q34=0,"РОТ")))</f>
        <v>179.78980233147493</v>
      </c>
      <c r="S34" s="34">
        <v>2</v>
      </c>
      <c r="T34" s="83">
        <f>IF(AND(N34&gt;0,P34&gt;0),SUMIF('Исходные данные'!$C$14:$J$30,S34,'Исходные данные'!$C$34:$J$42),IF(N34=0,0,IF(S34=0,"РОТ")))</f>
        <v>0</v>
      </c>
      <c r="U34" s="130">
        <f ca="1">O34*R34*'Исходные данные'!$C$40%</f>
        <v>0</v>
      </c>
      <c r="V34" s="130">
        <f>P34*T34*'Исходные данные'!$C$41%</f>
        <v>0</v>
      </c>
      <c r="W34" s="130">
        <f t="shared" ca="1" si="33"/>
        <v>0</v>
      </c>
      <c r="X34" s="131">
        <f t="shared" si="34"/>
        <v>0</v>
      </c>
      <c r="Y34" s="130">
        <f t="shared" ca="1" si="35"/>
        <v>78.658038520020284</v>
      </c>
      <c r="Z34" s="131">
        <f t="shared" si="36"/>
        <v>0</v>
      </c>
      <c r="AA34" s="130">
        <f t="shared" ca="1" si="37"/>
        <v>0</v>
      </c>
      <c r="AB34" s="131">
        <f t="shared" si="38"/>
        <v>0</v>
      </c>
      <c r="AC34" s="129">
        <v>2.5</v>
      </c>
      <c r="AD34" s="130">
        <f t="shared" ca="1" si="39"/>
        <v>2163.096059300558</v>
      </c>
      <c r="AE34" s="130">
        <f t="shared" si="40"/>
        <v>0</v>
      </c>
      <c r="AF34" s="35">
        <f t="shared" ca="1" si="41"/>
        <v>323.22125024031322</v>
      </c>
      <c r="AG34" s="73">
        <f t="shared" ca="1" si="41"/>
        <v>0</v>
      </c>
      <c r="AH34" s="35">
        <f t="shared" ca="1" si="42"/>
        <v>2486.3173095408711</v>
      </c>
      <c r="AI34" s="35">
        <f t="shared" ca="1" si="42"/>
        <v>0</v>
      </c>
      <c r="AJ34" s="35">
        <f t="shared" ca="1" si="43"/>
        <v>745.8951928622613</v>
      </c>
      <c r="AK34" s="73">
        <f t="shared" ca="1" si="43"/>
        <v>0</v>
      </c>
      <c r="AL34" s="35">
        <f t="shared" ca="1" si="44"/>
        <v>3232.2125024031325</v>
      </c>
      <c r="AM34" s="73">
        <f t="shared" ca="1" si="45"/>
        <v>0</v>
      </c>
      <c r="AN34" s="178">
        <v>0.3</v>
      </c>
      <c r="AO34" s="33">
        <f>'Исходные данные'!$C$59</f>
        <v>0.84</v>
      </c>
      <c r="AP34" s="79">
        <f t="shared" si="46"/>
        <v>0.1575</v>
      </c>
      <c r="AQ34" s="33" t="s">
        <v>153</v>
      </c>
      <c r="AR34" s="83" t="e">
        <f>AR17</f>
        <v>#REF!</v>
      </c>
      <c r="AS34" s="36" t="e">
        <f t="shared" si="47"/>
        <v>#REF!</v>
      </c>
      <c r="AT34" s="32"/>
      <c r="AU34" s="36"/>
      <c r="AV34" s="36"/>
      <c r="AW34" s="36"/>
      <c r="AX34" s="36"/>
      <c r="AY34" s="36"/>
      <c r="AZ34" s="36"/>
      <c r="BA34" s="36"/>
      <c r="BB34" s="113">
        <v>0.125</v>
      </c>
      <c r="BC34" s="36">
        <f>BB34*G34</f>
        <v>7.8125</v>
      </c>
      <c r="BD34" s="36">
        <v>8000</v>
      </c>
      <c r="BE34" s="36">
        <f>BC34*BD34</f>
        <v>62500</v>
      </c>
      <c r="BF34" s="36">
        <f>аморт!$G$11</f>
        <v>181.91312849162011</v>
      </c>
      <c r="BG34" s="36">
        <f t="shared" si="48"/>
        <v>113.69570530726257</v>
      </c>
      <c r="BH34" s="36">
        <f>аморт!$G$26</f>
        <v>12.519247457627118</v>
      </c>
      <c r="BI34" s="36">
        <f t="shared" si="49"/>
        <v>7.8245296610169488</v>
      </c>
      <c r="BJ34" s="38">
        <v>82.4</v>
      </c>
      <c r="BK34" s="36">
        <f t="shared" si="50"/>
        <v>262.65000000000003</v>
      </c>
      <c r="BL34" s="38">
        <v>13.9</v>
      </c>
      <c r="BM34" s="36">
        <f t="shared" si="51"/>
        <v>44.306249999999999</v>
      </c>
      <c r="BN34" s="38">
        <f t="shared" si="52"/>
        <v>5.2868639999999996</v>
      </c>
      <c r="BO34" s="36">
        <f t="shared" si="53"/>
        <v>16.851879</v>
      </c>
      <c r="BP34" s="36">
        <f>аморт!$C$26*10%/аморт!$E$26*L34*7</f>
        <v>3231.5307499999999</v>
      </c>
      <c r="BQ34" s="36" t="e">
        <f t="shared" ca="1" si="54"/>
        <v>#REF!</v>
      </c>
      <c r="BR34" s="36" t="e">
        <f t="shared" ca="1" si="55"/>
        <v>#REF!</v>
      </c>
      <c r="BS34" s="38">
        <f t="shared" si="56"/>
        <v>4.3749999999999997E-2</v>
      </c>
      <c r="BT34" s="38">
        <v>5.0999999999999996</v>
      </c>
      <c r="BU34" s="39">
        <f t="shared" si="57"/>
        <v>3.1875</v>
      </c>
    </row>
    <row r="35" spans="1:73" x14ac:dyDescent="0.2">
      <c r="A35" s="20">
        <f>A34+1</f>
        <v>6</v>
      </c>
      <c r="B35" s="27" t="s">
        <v>417</v>
      </c>
      <c r="C35" s="29">
        <v>0.83333333333333337</v>
      </c>
      <c r="D35" s="30" t="s">
        <v>105</v>
      </c>
      <c r="E35" s="31" t="s">
        <v>418</v>
      </c>
      <c r="F35" s="28" t="s">
        <v>109</v>
      </c>
      <c r="G35" s="114">
        <f>G33</f>
        <v>500</v>
      </c>
      <c r="H35" s="176">
        <v>42597</v>
      </c>
      <c r="I35" s="176">
        <v>42603</v>
      </c>
      <c r="J35" s="182">
        <f t="shared" si="29"/>
        <v>6</v>
      </c>
      <c r="K35" s="32">
        <v>100</v>
      </c>
      <c r="L35" s="33">
        <f t="shared" si="30"/>
        <v>5</v>
      </c>
      <c r="M35" s="34">
        <v>1</v>
      </c>
      <c r="N35" s="34"/>
      <c r="O35" s="35">
        <f t="shared" si="31"/>
        <v>35</v>
      </c>
      <c r="P35" s="35">
        <f t="shared" si="32"/>
        <v>0</v>
      </c>
      <c r="Q35" s="34">
        <v>5</v>
      </c>
      <c r="R35" s="83">
        <f ca="1">IF(AND(O35&gt;0,Q35&gt;0),SUMIF('Исходные данные'!$C$14:H37,Q35,'Исходные данные'!$C$18:$H$18),IF(O35=0,0,IF(Q35=0,"РОТ")))</f>
        <v>179.78980233147493</v>
      </c>
      <c r="S35" s="34">
        <v>2</v>
      </c>
      <c r="T35" s="83">
        <f>IF(AND(N35&gt;0,P35&gt;0),SUMIF('Исходные данные'!$C$14:$J$30,S35,'Исходные данные'!$C$34:$J$42),IF(N35=0,0,IF(S35=0,"РОТ")))</f>
        <v>0</v>
      </c>
      <c r="U35" s="130">
        <f ca="1">O35*R35*'Исходные данные'!$C$40%</f>
        <v>0</v>
      </c>
      <c r="V35" s="130">
        <f>P35*T35*'Исходные данные'!$C$41%</f>
        <v>0</v>
      </c>
      <c r="W35" s="130">
        <f t="shared" ca="1" si="33"/>
        <v>0</v>
      </c>
      <c r="X35" s="131">
        <f t="shared" si="34"/>
        <v>0</v>
      </c>
      <c r="Y35" s="130">
        <f t="shared" ca="1" si="35"/>
        <v>629.26430816016227</v>
      </c>
      <c r="Z35" s="131">
        <f t="shared" si="36"/>
        <v>0</v>
      </c>
      <c r="AA35" s="130">
        <f t="shared" ca="1" si="37"/>
        <v>0</v>
      </c>
      <c r="AB35" s="131">
        <f t="shared" si="38"/>
        <v>0</v>
      </c>
      <c r="AC35" s="129">
        <v>2.5</v>
      </c>
      <c r="AD35" s="130">
        <f t="shared" ca="1" si="39"/>
        <v>17304.768474404464</v>
      </c>
      <c r="AE35" s="130">
        <f t="shared" si="40"/>
        <v>0</v>
      </c>
      <c r="AF35" s="35">
        <f ca="1">AD35*$AF$12</f>
        <v>2585.7700019225058</v>
      </c>
      <c r="AG35" s="73">
        <f ca="1">AE35*$AF$12</f>
        <v>0</v>
      </c>
      <c r="AH35" s="35">
        <f ca="1">AD35+AF35</f>
        <v>19890.538476326969</v>
      </c>
      <c r="AI35" s="35">
        <f ca="1">AE35+AG35</f>
        <v>0</v>
      </c>
      <c r="AJ35" s="35">
        <f ca="1">AH35*$AJ$12</f>
        <v>5967.1615428980904</v>
      </c>
      <c r="AK35" s="73">
        <f ca="1">AI35*$AJ$12</f>
        <v>0</v>
      </c>
      <c r="AL35" s="35">
        <f t="shared" ca="1" si="44"/>
        <v>25857.70001922506</v>
      </c>
      <c r="AM35" s="73">
        <f t="shared" ca="1" si="45"/>
        <v>0</v>
      </c>
      <c r="AN35" s="178">
        <v>0.96</v>
      </c>
      <c r="AO35" s="33">
        <f>'Исходные данные'!$C$59</f>
        <v>0.84</v>
      </c>
      <c r="AP35" s="79">
        <f t="shared" si="46"/>
        <v>4.032</v>
      </c>
      <c r="AQ35" s="33" t="s">
        <v>153</v>
      </c>
      <c r="AR35" s="83" t="e">
        <f>AR17</f>
        <v>#REF!</v>
      </c>
      <c r="AS35" s="36" t="e">
        <f t="shared" si="47"/>
        <v>#REF!</v>
      </c>
      <c r="AT35" s="32"/>
      <c r="AU35" s="36"/>
      <c r="AV35" s="36"/>
      <c r="AW35" s="36"/>
      <c r="AX35" s="36"/>
      <c r="AY35" s="36"/>
      <c r="AZ35" s="36"/>
      <c r="BA35" s="36"/>
      <c r="BB35" s="113"/>
      <c r="BC35" s="36"/>
      <c r="BD35" s="36"/>
      <c r="BE35" s="36"/>
      <c r="BF35" s="36">
        <f>аморт!$G$11</f>
        <v>181.91312849162011</v>
      </c>
      <c r="BG35" s="36">
        <f t="shared" si="48"/>
        <v>909.56564245810057</v>
      </c>
      <c r="BH35" s="36">
        <f>аморт!G68</f>
        <v>126.15384615384616</v>
      </c>
      <c r="BI35" s="36">
        <f t="shared" si="49"/>
        <v>630.76923076923083</v>
      </c>
      <c r="BJ35" s="38">
        <v>82.4</v>
      </c>
      <c r="BK35" s="36">
        <f t="shared" si="50"/>
        <v>2101.2000000000003</v>
      </c>
      <c r="BL35" s="38">
        <v>13.9</v>
      </c>
      <c r="BM35" s="36">
        <f t="shared" si="51"/>
        <v>354.45</v>
      </c>
      <c r="BN35" s="38">
        <f t="shared" si="52"/>
        <v>5.2868639999999996</v>
      </c>
      <c r="BO35" s="36">
        <f t="shared" si="53"/>
        <v>134.815032</v>
      </c>
      <c r="BP35" s="36">
        <f>аморт!$C$68*10%/аморт!$E$68*L35*7</f>
        <v>2870</v>
      </c>
      <c r="BQ35" s="36" t="e">
        <f t="shared" ca="1" si="54"/>
        <v>#REF!</v>
      </c>
      <c r="BR35" s="36" t="e">
        <f t="shared" ca="1" si="55"/>
        <v>#REF!</v>
      </c>
      <c r="BS35" s="38">
        <f t="shared" si="56"/>
        <v>0.35</v>
      </c>
      <c r="BT35" s="38">
        <v>5.0999999999999996</v>
      </c>
      <c r="BU35" s="39">
        <f t="shared" si="57"/>
        <v>25.5</v>
      </c>
    </row>
    <row r="36" spans="1:73" s="54" customFormat="1" x14ac:dyDescent="0.2">
      <c r="A36" s="52"/>
      <c r="B36" s="53" t="s">
        <v>21</v>
      </c>
      <c r="C36" s="56"/>
      <c r="D36" s="56"/>
      <c r="E36" s="56"/>
      <c r="F36" s="55"/>
      <c r="G36" s="56"/>
      <c r="H36" s="56"/>
      <c r="I36" s="56"/>
      <c r="J36" s="65">
        <f>SUM(J30:J35)</f>
        <v>36</v>
      </c>
      <c r="K36" s="65"/>
      <c r="L36" s="65">
        <f>SUM(L30:L35)</f>
        <v>21.605902777777779</v>
      </c>
      <c r="M36" s="65">
        <f>SUM(M30:M35)</f>
        <v>6</v>
      </c>
      <c r="N36" s="65">
        <f>SUM(N30:N35)</f>
        <v>0</v>
      </c>
      <c r="O36" s="65">
        <f>SUM(O30:O35)</f>
        <v>151.24131944444446</v>
      </c>
      <c r="P36" s="65">
        <f>SUM(P30:P35)</f>
        <v>0</v>
      </c>
      <c r="Q36" s="65"/>
      <c r="R36" s="65"/>
      <c r="S36" s="65"/>
      <c r="T36" s="65"/>
      <c r="U36" s="65">
        <f t="shared" ref="U36:AB36" ca="1" si="58">SUM(U30:U35)</f>
        <v>0</v>
      </c>
      <c r="V36" s="65">
        <f t="shared" si="58"/>
        <v>0</v>
      </c>
      <c r="W36" s="65">
        <f t="shared" ca="1" si="58"/>
        <v>0</v>
      </c>
      <c r="X36" s="65">
        <f t="shared" si="58"/>
        <v>0</v>
      </c>
      <c r="Y36" s="65">
        <f t="shared" ca="1" si="58"/>
        <v>2719.1646927268125</v>
      </c>
      <c r="Z36" s="65">
        <f t="shared" si="58"/>
        <v>0</v>
      </c>
      <c r="AA36" s="65">
        <f t="shared" ca="1" si="58"/>
        <v>0</v>
      </c>
      <c r="AB36" s="65">
        <f t="shared" si="58"/>
        <v>0</v>
      </c>
      <c r="AC36" s="65"/>
      <c r="AD36" s="65">
        <f t="shared" ref="AD36:AM36" ca="1" si="59">SUM(AD30:AD35)</f>
        <v>74777.029049987352</v>
      </c>
      <c r="AE36" s="65">
        <f t="shared" si="59"/>
        <v>0</v>
      </c>
      <c r="AF36" s="65">
        <f t="shared" ca="1" si="59"/>
        <v>11173.579053446381</v>
      </c>
      <c r="AG36" s="65">
        <f t="shared" ca="1" si="59"/>
        <v>0</v>
      </c>
      <c r="AH36" s="65">
        <f t="shared" ca="1" si="59"/>
        <v>85950.608103433726</v>
      </c>
      <c r="AI36" s="65">
        <f t="shared" ca="1" si="59"/>
        <v>0</v>
      </c>
      <c r="AJ36" s="65">
        <f t="shared" ca="1" si="59"/>
        <v>25785.18243103012</v>
      </c>
      <c r="AK36" s="65">
        <f t="shared" ca="1" si="59"/>
        <v>0</v>
      </c>
      <c r="AL36" s="65">
        <f t="shared" ca="1" si="59"/>
        <v>111735.79053446383</v>
      </c>
      <c r="AM36" s="65">
        <f t="shared" ca="1" si="59"/>
        <v>0</v>
      </c>
      <c r="AN36" s="65"/>
      <c r="AO36" s="65"/>
      <c r="AP36" s="65">
        <f>SUM(AP30:AP35)</f>
        <v>14.7735</v>
      </c>
      <c r="AQ36" s="65"/>
      <c r="AR36" s="65"/>
      <c r="AS36" s="65" t="e">
        <f>SUM(AS30:AS35)</f>
        <v>#REF!</v>
      </c>
      <c r="AT36" s="65"/>
      <c r="AU36" s="65">
        <f>SUM(AU30:AU34)</f>
        <v>0</v>
      </c>
      <c r="AV36" s="65"/>
      <c r="AW36" s="65">
        <f>SUM(AW30:AW34)</f>
        <v>0</v>
      </c>
      <c r="AX36" s="65"/>
      <c r="AY36" s="65">
        <f>SUM(AY30:AY34)</f>
        <v>0</v>
      </c>
      <c r="AZ36" s="65"/>
      <c r="BA36" s="65">
        <f>SUM(BA30:BA34)</f>
        <v>0</v>
      </c>
      <c r="BB36" s="65"/>
      <c r="BC36" s="65">
        <f>SUM(BC30:BC35)</f>
        <v>7.8125</v>
      </c>
      <c r="BD36" s="65"/>
      <c r="BE36" s="65">
        <f>SUM(BE30:BE35)</f>
        <v>62500</v>
      </c>
      <c r="BF36" s="65"/>
      <c r="BG36" s="65">
        <f>SUM(BG30:BG35)</f>
        <v>3930.3973681913408</v>
      </c>
      <c r="BH36" s="65"/>
      <c r="BI36" s="65">
        <f>SUM(BI30:BI35)</f>
        <v>2902.3855080297026</v>
      </c>
      <c r="BJ36" s="65"/>
      <c r="BK36" s="65">
        <f>SUM(BK30:BK35)</f>
        <v>9079.664583333335</v>
      </c>
      <c r="BL36" s="65"/>
      <c r="BM36" s="65">
        <f>SUM(BM30:BM35)</f>
        <v>1531.6424479166667</v>
      </c>
      <c r="BN36" s="65"/>
      <c r="BO36" s="65">
        <f>SUM(BO30:BO35)</f>
        <v>582.560094875</v>
      </c>
      <c r="BP36" s="65">
        <f>SUM(BP30:BP35)</f>
        <v>166586.64606597225</v>
      </c>
      <c r="BQ36" s="65" t="e">
        <f ca="1">SUM(BQ30:BQ35)</f>
        <v>#REF!</v>
      </c>
      <c r="BR36" s="65"/>
      <c r="BS36" s="65"/>
      <c r="BT36" s="65"/>
      <c r="BU36" s="65">
        <f>SUM(BU30:BU35)</f>
        <v>110.19010416666666</v>
      </c>
    </row>
    <row r="37" spans="1:73" s="51" customFormat="1" x14ac:dyDescent="0.2">
      <c r="A37" s="48"/>
      <c r="B37" s="58" t="s">
        <v>29</v>
      </c>
      <c r="C37" s="50"/>
      <c r="D37" s="50"/>
      <c r="E37" s="50"/>
      <c r="F37" s="49"/>
      <c r="G37" s="50"/>
      <c r="H37" s="50"/>
      <c r="I37" s="50"/>
      <c r="J37" s="78">
        <f>J28+J36</f>
        <v>101</v>
      </c>
      <c r="K37" s="78"/>
      <c r="L37" s="78">
        <f t="shared" ref="L37:BU37" si="60">L28+L36</f>
        <v>84.044394841269849</v>
      </c>
      <c r="M37" s="78">
        <f t="shared" si="60"/>
        <v>18</v>
      </c>
      <c r="N37" s="78">
        <f t="shared" si="60"/>
        <v>6</v>
      </c>
      <c r="O37" s="78">
        <f t="shared" si="60"/>
        <v>420.31076388888891</v>
      </c>
      <c r="P37" s="78">
        <f t="shared" si="60"/>
        <v>252</v>
      </c>
      <c r="Q37" s="78"/>
      <c r="R37" s="78"/>
      <c r="S37" s="78"/>
      <c r="T37" s="78"/>
      <c r="U37" s="78">
        <f t="shared" ca="1" si="60"/>
        <v>0</v>
      </c>
      <c r="V37" s="78">
        <f t="shared" ca="1" si="60"/>
        <v>9322.7927501267113</v>
      </c>
      <c r="W37" s="78">
        <f t="shared" ca="1" si="60"/>
        <v>0</v>
      </c>
      <c r="X37" s="78">
        <f t="shared" ca="1" si="60"/>
        <v>0</v>
      </c>
      <c r="Y37" s="78">
        <f t="shared" ca="1" si="60"/>
        <v>7211.0773698682224</v>
      </c>
      <c r="Z37" s="78">
        <f t="shared" ca="1" si="60"/>
        <v>1797.9671732387235</v>
      </c>
      <c r="AA37" s="78">
        <f t="shared" ca="1" si="60"/>
        <v>0</v>
      </c>
      <c r="AB37" s="78">
        <f t="shared" ca="1" si="60"/>
        <v>0</v>
      </c>
      <c r="AC37" s="78"/>
      <c r="AD37" s="78">
        <f t="shared" ca="1" si="60"/>
        <v>198304.62767137613</v>
      </c>
      <c r="AE37" s="78">
        <f t="shared" ca="1" si="60"/>
        <v>94393.276595032978</v>
      </c>
      <c r="AF37" s="78">
        <f t="shared" ca="1" si="60"/>
        <v>29631.725973883778</v>
      </c>
      <c r="AG37" s="78">
        <f t="shared" ca="1" si="60"/>
        <v>14104.742479717566</v>
      </c>
      <c r="AH37" s="78">
        <f t="shared" ca="1" si="60"/>
        <v>227936.35364525992</v>
      </c>
      <c r="AI37" s="78">
        <f t="shared" ca="1" si="60"/>
        <v>108498.01907475055</v>
      </c>
      <c r="AJ37" s="78">
        <f t="shared" ca="1" si="60"/>
        <v>68380.906093577971</v>
      </c>
      <c r="AK37" s="78">
        <f t="shared" ca="1" si="60"/>
        <v>32549.405722425163</v>
      </c>
      <c r="AL37" s="78">
        <f t="shared" ca="1" si="60"/>
        <v>296317.25973883783</v>
      </c>
      <c r="AM37" s="78">
        <f t="shared" ca="1" si="60"/>
        <v>141047.42479717571</v>
      </c>
      <c r="AN37" s="78"/>
      <c r="AO37" s="78"/>
      <c r="AP37" s="78">
        <f t="shared" si="60"/>
        <v>48.813851999999997</v>
      </c>
      <c r="AQ37" s="78"/>
      <c r="AR37" s="78"/>
      <c r="AS37" s="78" t="e">
        <f t="shared" si="60"/>
        <v>#REF!</v>
      </c>
      <c r="AT37" s="78"/>
      <c r="AU37" s="78">
        <f t="shared" si="60"/>
        <v>18</v>
      </c>
      <c r="AV37" s="78"/>
      <c r="AW37" s="78">
        <f t="shared" si="60"/>
        <v>360000</v>
      </c>
      <c r="AX37" s="78"/>
      <c r="AY37" s="78">
        <f t="shared" si="60"/>
        <v>50</v>
      </c>
      <c r="AZ37" s="78"/>
      <c r="BA37" s="78" t="e">
        <f t="shared" si="60"/>
        <v>#REF!</v>
      </c>
      <c r="BB37" s="78"/>
      <c r="BC37" s="78">
        <f>BC28+BC36</f>
        <v>7.8125</v>
      </c>
      <c r="BD37" s="78"/>
      <c r="BE37" s="78">
        <f>BE28+BE36</f>
        <v>62500</v>
      </c>
      <c r="BF37" s="78"/>
      <c r="BG37" s="78">
        <f t="shared" si="60"/>
        <v>8938.5544296234493</v>
      </c>
      <c r="BH37" s="78"/>
      <c r="BI37" s="78">
        <f t="shared" si="60"/>
        <v>6210.9544943111705</v>
      </c>
      <c r="BJ37" s="78"/>
      <c r="BK37" s="78">
        <f t="shared" si="60"/>
        <v>34482.39577380952</v>
      </c>
      <c r="BL37" s="78"/>
      <c r="BM37" s="78">
        <f t="shared" si="60"/>
        <v>4886.7034002976197</v>
      </c>
      <c r="BN37" s="78"/>
      <c r="BO37" s="78">
        <f t="shared" si="60"/>
        <v>2587.5867454250001</v>
      </c>
      <c r="BP37" s="78">
        <f t="shared" si="60"/>
        <v>471972.94025486114</v>
      </c>
      <c r="BQ37" s="78" t="e">
        <f t="shared" ca="1" si="60"/>
        <v>#REF!</v>
      </c>
      <c r="BR37" s="78"/>
      <c r="BS37" s="78"/>
      <c r="BT37" s="78"/>
      <c r="BU37" s="78">
        <f t="shared" si="60"/>
        <v>413.59248511904764</v>
      </c>
    </row>
  </sheetData>
  <mergeCells count="115">
    <mergeCell ref="A10:A14"/>
    <mergeCell ref="B10:E11"/>
    <mergeCell ref="F10:F14"/>
    <mergeCell ref="G10:G14"/>
    <mergeCell ref="H10:I11"/>
    <mergeCell ref="J10:J14"/>
    <mergeCell ref="Q13:Q14"/>
    <mergeCell ref="R13:R14"/>
    <mergeCell ref="S13:S14"/>
    <mergeCell ref="B12:B14"/>
    <mergeCell ref="C12:E12"/>
    <mergeCell ref="H12:H14"/>
    <mergeCell ref="I12:I14"/>
    <mergeCell ref="C13:C14"/>
    <mergeCell ref="D13:D14"/>
    <mergeCell ref="E13:E14"/>
    <mergeCell ref="O13:O14"/>
    <mergeCell ref="P13:P14"/>
    <mergeCell ref="AX10:BA11"/>
    <mergeCell ref="BB10:BE11"/>
    <mergeCell ref="W10:X11"/>
    <mergeCell ref="Y10:Z11"/>
    <mergeCell ref="AA10:AB11"/>
    <mergeCell ref="AC10:AE11"/>
    <mergeCell ref="AF10:AG11"/>
    <mergeCell ref="AH10:AI11"/>
    <mergeCell ref="K10:K14"/>
    <mergeCell ref="L10:L14"/>
    <mergeCell ref="M10:N11"/>
    <mergeCell ref="O10:P11"/>
    <mergeCell ref="Q10:T11"/>
    <mergeCell ref="U10:V11"/>
    <mergeCell ref="N12:N14"/>
    <mergeCell ref="O12:P12"/>
    <mergeCell ref="Q12:R12"/>
    <mergeCell ref="S12:T12"/>
    <mergeCell ref="T13:T14"/>
    <mergeCell ref="M12:M14"/>
    <mergeCell ref="AJ10:AK11"/>
    <mergeCell ref="AL10:AM11"/>
    <mergeCell ref="AN10:AS11"/>
    <mergeCell ref="AT10:AW11"/>
    <mergeCell ref="BF10:BI11"/>
    <mergeCell ref="BJ10:BP11"/>
    <mergeCell ref="BQ10:BR11"/>
    <mergeCell ref="BS10:BS14"/>
    <mergeCell ref="BP12:BP14"/>
    <mergeCell ref="BQ12:BQ14"/>
    <mergeCell ref="BR12:BR14"/>
    <mergeCell ref="BO13:BO14"/>
    <mergeCell ref="BT10:BU11"/>
    <mergeCell ref="BT12:BT14"/>
    <mergeCell ref="BU12:BU14"/>
    <mergeCell ref="BL13:BL14"/>
    <mergeCell ref="BM13:BM14"/>
    <mergeCell ref="BN13:BN14"/>
    <mergeCell ref="X13:X14"/>
    <mergeCell ref="BE12:BE14"/>
    <mergeCell ref="BF12:BG12"/>
    <mergeCell ref="BH12:BI12"/>
    <mergeCell ref="BJ12:BK12"/>
    <mergeCell ref="BL12:BM12"/>
    <mergeCell ref="BN12:BO12"/>
    <mergeCell ref="BF13:BF14"/>
    <mergeCell ref="BG13:BG14"/>
    <mergeCell ref="BH13:BH14"/>
    <mergeCell ref="BI13:BI14"/>
    <mergeCell ref="U12:U14"/>
    <mergeCell ref="V12:V14"/>
    <mergeCell ref="W12:X12"/>
    <mergeCell ref="BC12:BC14"/>
    <mergeCell ref="BD12:BD14"/>
    <mergeCell ref="AS12:AS14"/>
    <mergeCell ref="AT12:AT14"/>
    <mergeCell ref="AU12:AU14"/>
    <mergeCell ref="AV12:AV14"/>
    <mergeCell ref="AW12:AW14"/>
    <mergeCell ref="AX12:AX14"/>
    <mergeCell ref="AM12:AM14"/>
    <mergeCell ref="AN12:AN14"/>
    <mergeCell ref="AO12:AO14"/>
    <mergeCell ref="AD12:AD14"/>
    <mergeCell ref="Y13:Y14"/>
    <mergeCell ref="Z13:Z14"/>
    <mergeCell ref="AA13:AA14"/>
    <mergeCell ref="AB13:AB14"/>
    <mergeCell ref="AY12:AY14"/>
    <mergeCell ref="AZ12:AZ14"/>
    <mergeCell ref="BA12:BA14"/>
    <mergeCell ref="BB12:BB14"/>
    <mergeCell ref="W13:W14"/>
    <mergeCell ref="B29:E29"/>
    <mergeCell ref="B15:E15"/>
    <mergeCell ref="B16:E16"/>
    <mergeCell ref="D21:E21"/>
    <mergeCell ref="D23:E23"/>
    <mergeCell ref="D24:E24"/>
    <mergeCell ref="D26:E26"/>
    <mergeCell ref="BJ13:BJ14"/>
    <mergeCell ref="BK13:BK14"/>
    <mergeCell ref="AP12:AP14"/>
    <mergeCell ref="AQ12:AQ14"/>
    <mergeCell ref="AR12:AR14"/>
    <mergeCell ref="AE12:AE14"/>
    <mergeCell ref="AF12:AG12"/>
    <mergeCell ref="AH12:AH14"/>
    <mergeCell ref="AI12:AI14"/>
    <mergeCell ref="AJ12:AK12"/>
    <mergeCell ref="AL12:AL14"/>
    <mergeCell ref="AF13:AF14"/>
    <mergeCell ref="AG13:AG14"/>
    <mergeCell ref="AJ13:AJ14"/>
    <mergeCell ref="AK13:AK14"/>
    <mergeCell ref="AA12:AB12"/>
    <mergeCell ref="AC12:AC14"/>
  </mergeCells>
  <conditionalFormatting sqref="AP30:AP35 AS30:AS35 AN29:AS29 U17:AM27 BE27 AP17:AP27 AS17:AS27 AT16:BD27 H16:I37 Q16:Q27 K29 G28:G37 O29:P29 R29 S29:S35 Q29:Q35 L29:N35 K28:BE28 G16 J16:K16 O16:P16 R16 T16:AS16 S16:S27 U30:AE35 L16:N27 AT29:BE37 AF29:AM35 T29:AE29 J36:AS37 BF16:BU37 J17:J35">
    <cfRule type="cellIs" dxfId="120" priority="10" stopIfTrue="1" operator="greaterThan">
      <formula>0</formula>
    </cfRule>
  </conditionalFormatting>
  <conditionalFormatting sqref="AN30:AN35 AN17:AN27 K30:K35 K17:K27">
    <cfRule type="cellIs" dxfId="119" priority="9" stopIfTrue="1" operator="greaterThan">
      <formula>0</formula>
    </cfRule>
  </conditionalFormatting>
  <conditionalFormatting sqref="E30:E35 E22 E25 E17:E20">
    <cfRule type="cellIs" dxfId="118" priority="8" stopIfTrue="1" operator="equal">
      <formula>0</formula>
    </cfRule>
  </conditionalFormatting>
  <conditionalFormatting sqref="O17:P27 O30:P35">
    <cfRule type="cellIs" dxfId="117" priority="7" stopIfTrue="1" operator="greaterThan">
      <formula>0</formula>
    </cfRule>
  </conditionalFormatting>
  <conditionalFormatting sqref="H17:I27">
    <cfRule type="cellIs" dxfId="116" priority="6" stopIfTrue="1" operator="greaterThan">
      <formula>0</formula>
    </cfRule>
  </conditionalFormatting>
  <conditionalFormatting sqref="H30:I35">
    <cfRule type="cellIs" dxfId="115" priority="5" stopIfTrue="1" operator="greaterThan">
      <formula>0</formula>
    </cfRule>
  </conditionalFormatting>
  <conditionalFormatting sqref="G33">
    <cfRule type="cellIs" dxfId="114" priority="4" stopIfTrue="1" operator="greaterThan">
      <formula>0</formula>
    </cfRule>
  </conditionalFormatting>
  <conditionalFormatting sqref="AN30:AN35">
    <cfRule type="cellIs" dxfId="113" priority="3" stopIfTrue="1" operator="greaterThan">
      <formula>0</formula>
    </cfRule>
  </conditionalFormatting>
  <conditionalFormatting sqref="J17:J27">
    <cfRule type="cellIs" dxfId="112" priority="2" stopIfTrue="1" operator="greaterThan">
      <formula>0</formula>
    </cfRule>
  </conditionalFormatting>
  <conditionalFormatting sqref="J30:J35">
    <cfRule type="cellIs" dxfId="111" priority="1" stopIfTrue="1" operator="greaterThan">
      <formula>0</formula>
    </cfRule>
  </conditionalFormatting>
  <pageMargins left="0.19" right="0.17" top="0.36" bottom="0.16" header="0.5" footer="0.5"/>
  <pageSetup paperSize="9" scale="77" fitToWidth="3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48"/>
  <sheetViews>
    <sheetView topLeftCell="A13" workbookViewId="0">
      <selection activeCell="A48" sqref="A48:I48"/>
    </sheetView>
  </sheetViews>
  <sheetFormatPr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355</v>
      </c>
      <c r="B1" s="46"/>
      <c r="C1" s="46"/>
      <c r="D1" s="1" t="s">
        <v>496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57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">
        <v>71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364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362</v>
      </c>
      <c r="B6" s="3">
        <f>'сенаж бп омич'!D6</f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353</v>
      </c>
      <c r="B7" s="3">
        <f>'сенаж бп омич'!I6</f>
        <v>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365</v>
      </c>
      <c r="B8" s="77">
        <f>B6*B7</f>
        <v>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366</v>
      </c>
      <c r="B9" s="122">
        <f>B8*0.85</f>
        <v>4250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29</v>
      </c>
      <c r="C11" s="87" t="s">
        <v>335</v>
      </c>
      <c r="D11" s="87" t="s">
        <v>339</v>
      </c>
    </row>
    <row r="12" spans="1:78" s="92" customFormat="1" x14ac:dyDescent="0.2">
      <c r="A12" s="89" t="s">
        <v>352</v>
      </c>
      <c r="B12" s="90">
        <f ca="1">'сенаж бп омич'!AL37+'сенаж бп омич'!AM37</f>
        <v>437364.68453601352</v>
      </c>
      <c r="C12" s="91">
        <f t="shared" ref="C12:C30" ca="1" si="0">B12/$B$6</f>
        <v>4373.6468453601356</v>
      </c>
      <c r="D12" s="110" t="e">
        <f t="shared" ref="D12:D29" ca="1" si="1">B12/$B$30%</f>
        <v>#REF!</v>
      </c>
    </row>
    <row r="13" spans="1:78" s="92" customFormat="1" x14ac:dyDescent="0.2">
      <c r="A13" s="93" t="s">
        <v>349</v>
      </c>
      <c r="B13" s="91">
        <f>'сенаж бп омич'!AW37</f>
        <v>360000</v>
      </c>
      <c r="C13" s="91">
        <f t="shared" si="0"/>
        <v>3600</v>
      </c>
      <c r="D13" s="110" t="e">
        <f t="shared" ca="1" si="1"/>
        <v>#REF!</v>
      </c>
    </row>
    <row r="14" spans="1:78" s="92" customFormat="1" x14ac:dyDescent="0.2">
      <c r="A14" s="93" t="s">
        <v>350</v>
      </c>
      <c r="B14" s="91" t="e">
        <f>'сенаж бп омич'!BA37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396</v>
      </c>
      <c r="B15" s="91">
        <f>'сенаж бп омич'!BE37</f>
        <v>62500</v>
      </c>
      <c r="C15" s="91">
        <f t="shared" si="0"/>
        <v>625</v>
      </c>
      <c r="D15" s="110" t="e">
        <f ca="1">B15/$B$30%</f>
        <v>#REF!</v>
      </c>
    </row>
    <row r="16" spans="1:78" s="92" customFormat="1" x14ac:dyDescent="0.2">
      <c r="A16" s="93" t="s">
        <v>351</v>
      </c>
      <c r="B16" s="91" t="e">
        <f>B17+B20+B23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333</v>
      </c>
      <c r="B17" s="95">
        <f>SUM(B18:B19)</f>
        <v>15149.50892393462</v>
      </c>
      <c r="C17" s="95">
        <f t="shared" si="0"/>
        <v>151.49508923934619</v>
      </c>
      <c r="D17" s="111" t="e">
        <f t="shared" ca="1" si="1"/>
        <v>#REF!</v>
      </c>
    </row>
    <row r="18" spans="1:4" x14ac:dyDescent="0.2">
      <c r="A18" s="107" t="s">
        <v>340</v>
      </c>
      <c r="B18" s="95">
        <f>'сенаж бп омич'!BG37</f>
        <v>8938.5544296234493</v>
      </c>
      <c r="C18" s="95">
        <f t="shared" si="0"/>
        <v>89.385544296234499</v>
      </c>
      <c r="D18" s="111" t="e">
        <f t="shared" ca="1" si="1"/>
        <v>#REF!</v>
      </c>
    </row>
    <row r="19" spans="1:4" x14ac:dyDescent="0.2">
      <c r="A19" s="107" t="s">
        <v>341</v>
      </c>
      <c r="B19" s="95">
        <f>'сенаж бп омич'!BI37</f>
        <v>6210.9544943111705</v>
      </c>
      <c r="C19" s="95">
        <f t="shared" si="0"/>
        <v>62.109544943111707</v>
      </c>
      <c r="D19" s="111" t="e">
        <f t="shared" ca="1" si="1"/>
        <v>#REF!</v>
      </c>
    </row>
    <row r="20" spans="1:4" x14ac:dyDescent="0.2">
      <c r="A20" s="94" t="s">
        <v>334</v>
      </c>
      <c r="B20" s="95">
        <f>SUM(B21:B22)</f>
        <v>513929.62617439328</v>
      </c>
      <c r="C20" s="95">
        <f t="shared" si="0"/>
        <v>5139.2962617439325</v>
      </c>
      <c r="D20" s="111" t="e">
        <f t="shared" ca="1" si="1"/>
        <v>#REF!</v>
      </c>
    </row>
    <row r="21" spans="1:4" x14ac:dyDescent="0.2">
      <c r="A21" s="107" t="s">
        <v>340</v>
      </c>
      <c r="B21" s="95">
        <f>'сенаж бп омич'!BK37+'сенаж бп омич'!BM37+'сенаж бп омич'!BO37</f>
        <v>41956.685919532145</v>
      </c>
      <c r="C21" s="95">
        <f t="shared" si="0"/>
        <v>419.56685919532146</v>
      </c>
      <c r="D21" s="111" t="e">
        <f t="shared" ca="1" si="1"/>
        <v>#REF!</v>
      </c>
    </row>
    <row r="22" spans="1:4" x14ac:dyDescent="0.2">
      <c r="A22" s="107" t="s">
        <v>341</v>
      </c>
      <c r="B22" s="95">
        <f>'сенаж бп омич'!BP37</f>
        <v>471972.94025486114</v>
      </c>
      <c r="C22" s="95">
        <f t="shared" si="0"/>
        <v>4719.7294025486117</v>
      </c>
      <c r="D22" s="111" t="e">
        <f t="shared" ca="1" si="1"/>
        <v>#REF!</v>
      </c>
    </row>
    <row r="23" spans="1:4" x14ac:dyDescent="0.2">
      <c r="A23" s="94" t="s">
        <v>332</v>
      </c>
      <c r="B23" s="112" t="e">
        <f>'сенаж бп омич'!AS37</f>
        <v>#REF!</v>
      </c>
      <c r="C23" s="95" t="e">
        <f t="shared" si="0"/>
        <v>#REF!</v>
      </c>
      <c r="D23" s="111" t="e">
        <f t="shared" ca="1" si="1"/>
        <v>#REF!</v>
      </c>
    </row>
    <row r="24" spans="1:4" s="92" customFormat="1" x14ac:dyDescent="0.2">
      <c r="A24" s="93" t="s">
        <v>342</v>
      </c>
      <c r="B24" s="91">
        <f>SUM(B25:B27)</f>
        <v>69387.391904761898</v>
      </c>
      <c r="C24" s="91">
        <f t="shared" si="0"/>
        <v>693.87391904761898</v>
      </c>
      <c r="D24" s="110" t="e">
        <f t="shared" ca="1" si="1"/>
        <v>#REF!</v>
      </c>
    </row>
    <row r="25" spans="1:4" x14ac:dyDescent="0.2">
      <c r="A25" s="107" t="s">
        <v>356</v>
      </c>
      <c r="B25" s="95">
        <f>B6*15.12</f>
        <v>1512</v>
      </c>
      <c r="C25" s="95">
        <f t="shared" si="0"/>
        <v>15.12</v>
      </c>
      <c r="D25" s="111" t="e">
        <f t="shared" ca="1" si="1"/>
        <v>#REF!</v>
      </c>
    </row>
    <row r="26" spans="1:4" x14ac:dyDescent="0.2">
      <c r="A26" s="107" t="s">
        <v>359</v>
      </c>
      <c r="B26" s="95">
        <f>14*130/250*('сенаж бп омич'!L17+'сенаж бп омич'!L18+'сенаж бп омич'!L19)+12*80/250*('сенаж бп омич'!L20+'сенаж бп омич'!L22+'сенаж бп омич'!L25+'сенаж бп омич'!L27+'сенаж бп омич'!L30+'сенаж бп омич'!L31+'сенаж бп омич'!L32+'сенаж бп омич'!L33+'сенаж бп омич'!L34+'сенаж бп омич'!L35)</f>
        <v>287.39190476190481</v>
      </c>
      <c r="C26" s="95">
        <f t="shared" si="0"/>
        <v>2.8739190476190482</v>
      </c>
      <c r="D26" s="111" t="e">
        <f t="shared" ca="1" si="1"/>
        <v>#REF!</v>
      </c>
    </row>
    <row r="27" spans="1:4" x14ac:dyDescent="0.2">
      <c r="A27" s="107" t="s">
        <v>361</v>
      </c>
      <c r="B27" s="95">
        <f>(120*33794/15)*25%</f>
        <v>67588</v>
      </c>
      <c r="C27" s="95">
        <f t="shared" si="0"/>
        <v>675.88</v>
      </c>
      <c r="D27" s="111" t="e">
        <f t="shared" ca="1" si="1"/>
        <v>#REF!</v>
      </c>
    </row>
    <row r="28" spans="1:4" s="92" customFormat="1" x14ac:dyDescent="0.2">
      <c r="A28" s="93" t="s">
        <v>343</v>
      </c>
      <c r="B28" s="91" t="e">
        <f ca="1">B12+B13+B14+B16+B24+B15</f>
        <v>#REF!</v>
      </c>
      <c r="C28" s="91" t="e">
        <f t="shared" ca="1" si="0"/>
        <v>#REF!</v>
      </c>
      <c r="D28" s="110" t="e">
        <f t="shared" ca="1" si="1"/>
        <v>#REF!</v>
      </c>
    </row>
    <row r="29" spans="1:4" s="92" customFormat="1" x14ac:dyDescent="0.2">
      <c r="A29" s="93" t="s">
        <v>344</v>
      </c>
      <c r="B29" s="91">
        <f ca="1">B12/0.59</f>
        <v>741296.07548476872</v>
      </c>
      <c r="C29" s="91">
        <f t="shared" ca="1" si="0"/>
        <v>7412.960754847687</v>
      </c>
      <c r="D29" s="110" t="e">
        <f t="shared" ca="1" si="1"/>
        <v>#REF!</v>
      </c>
    </row>
    <row r="30" spans="1:4" s="92" customFormat="1" x14ac:dyDescent="0.2">
      <c r="A30" s="93" t="s">
        <v>345</v>
      </c>
      <c r="B30" s="91" t="e">
        <f ca="1">B28+B29</f>
        <v>#REF!</v>
      </c>
      <c r="C30" s="91" t="e">
        <f t="shared" ca="1" si="0"/>
        <v>#REF!</v>
      </c>
      <c r="D30" s="110" t="e">
        <f ca="1">D28+D29</f>
        <v>#REF!</v>
      </c>
    </row>
    <row r="31" spans="1:4" x14ac:dyDescent="0.2">
      <c r="A31" s="94" t="s">
        <v>346</v>
      </c>
      <c r="B31" s="95" t="e">
        <f ca="1">B30/B6</f>
        <v>#REF!</v>
      </c>
      <c r="C31" s="95"/>
      <c r="D31" s="95"/>
    </row>
    <row r="32" spans="1:4" x14ac:dyDescent="0.2">
      <c r="A32" s="94" t="s">
        <v>367</v>
      </c>
      <c r="B32" s="95" t="e">
        <f ca="1">B30/(B8)</f>
        <v>#REF!</v>
      </c>
      <c r="C32" s="95"/>
      <c r="D32" s="95"/>
    </row>
    <row r="33" spans="1:9" s="144" customFormat="1" x14ac:dyDescent="0.2">
      <c r="A33" s="143" t="s">
        <v>368</v>
      </c>
      <c r="B33" s="141" t="e">
        <f ca="1">B30/(B9)</f>
        <v>#REF!</v>
      </c>
      <c r="C33" s="141"/>
      <c r="D33" s="141"/>
    </row>
    <row r="34" spans="1:9" x14ac:dyDescent="0.2">
      <c r="A34" s="94" t="s">
        <v>347</v>
      </c>
      <c r="B34" s="95">
        <f>'сенаж бп омич'!O37+'сенаж бп омич'!P37</f>
        <v>672.31076388888891</v>
      </c>
      <c r="C34" s="95"/>
      <c r="D34" s="95"/>
    </row>
    <row r="35" spans="1:9" x14ac:dyDescent="0.2">
      <c r="A35" s="107" t="s">
        <v>335</v>
      </c>
      <c r="B35" s="95">
        <f>B34/B6</f>
        <v>6.7231076388888891</v>
      </c>
      <c r="C35" s="95"/>
      <c r="D35" s="95"/>
    </row>
    <row r="36" spans="1:9" x14ac:dyDescent="0.2">
      <c r="A36" s="107" t="s">
        <v>336</v>
      </c>
      <c r="B36" s="111">
        <f>B34/B8</f>
        <v>0.13446215277777779</v>
      </c>
      <c r="C36" s="95"/>
      <c r="D36" s="95"/>
    </row>
    <row r="37" spans="1:9" x14ac:dyDescent="0.2">
      <c r="A37" s="94" t="s">
        <v>354</v>
      </c>
      <c r="B37" s="95">
        <f ca="1">('сенаж бп омич'!AH37+'сенаж бп омич'!AI37)/B34</f>
        <v>500.41497294190594</v>
      </c>
      <c r="C37" s="95"/>
      <c r="D37" s="95"/>
    </row>
    <row r="38" spans="1:9" x14ac:dyDescent="0.2">
      <c r="A38" s="108" t="s">
        <v>337</v>
      </c>
      <c r="B38" s="95">
        <f ca="1">'сенаж бп омич'!AH37/'сенаж бп омич'!O37</f>
        <v>542.30434532843879</v>
      </c>
      <c r="C38" s="95"/>
      <c r="D38" s="95"/>
    </row>
    <row r="39" spans="1:9" x14ac:dyDescent="0.2">
      <c r="A39" s="109" t="s">
        <v>338</v>
      </c>
      <c r="B39" s="95">
        <f ca="1">'сенаж бп омич'!AI37/'сенаж бп омич'!P37</f>
        <v>430.54769474107366</v>
      </c>
      <c r="C39" s="95"/>
      <c r="D39" s="95"/>
    </row>
    <row r="40" spans="1:9" x14ac:dyDescent="0.2">
      <c r="A40" s="94" t="s">
        <v>348</v>
      </c>
      <c r="B40" s="95">
        <f ca="1">B37*167</f>
        <v>83569.300481298298</v>
      </c>
      <c r="C40" s="95"/>
      <c r="D40" s="95"/>
    </row>
    <row r="41" spans="1:9" x14ac:dyDescent="0.2">
      <c r="A41" s="108" t="s">
        <v>337</v>
      </c>
      <c r="B41" s="112">
        <f ca="1">B38*167</f>
        <v>90564.825669849277</v>
      </c>
      <c r="C41" s="94"/>
      <c r="D41" s="94"/>
    </row>
    <row r="42" spans="1:9" ht="12.75" customHeight="1" x14ac:dyDescent="0.2">
      <c r="A42" s="109" t="s">
        <v>338</v>
      </c>
      <c r="B42" s="112">
        <f ca="1">B39*167</f>
        <v>71901.465021759301</v>
      </c>
      <c r="C42" s="94"/>
      <c r="D42" s="94"/>
    </row>
    <row r="44" spans="1:9" x14ac:dyDescent="0.2">
      <c r="A44" t="s">
        <v>497</v>
      </c>
      <c r="B44"/>
      <c r="C44"/>
      <c r="D44"/>
      <c r="E44"/>
      <c r="F44"/>
      <c r="G44"/>
      <c r="I44" t="s">
        <v>498</v>
      </c>
    </row>
    <row r="45" spans="1:9" x14ac:dyDescent="0.2">
      <c r="A45"/>
      <c r="B45"/>
      <c r="C45"/>
      <c r="D45"/>
      <c r="E45"/>
      <c r="F45"/>
      <c r="G45"/>
      <c r="I45"/>
    </row>
    <row r="46" spans="1:9" x14ac:dyDescent="0.2">
      <c r="A46" t="s">
        <v>499</v>
      </c>
      <c r="B46"/>
      <c r="C46"/>
      <c r="D46"/>
      <c r="E46"/>
      <c r="F46"/>
      <c r="G46"/>
      <c r="I46" t="s">
        <v>500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502</v>
      </c>
      <c r="B48"/>
      <c r="C48"/>
      <c r="D48"/>
      <c r="E48"/>
      <c r="F48"/>
      <c r="G48"/>
      <c r="I48" t="s">
        <v>501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Содержание</vt:lpstr>
      <vt:lpstr>Нормы</vt:lpstr>
      <vt:lpstr>Исходные данные</vt:lpstr>
      <vt:lpstr>аморт</vt:lpstr>
      <vt:lpstr>Лист2</vt:lpstr>
      <vt:lpstr>Картофель</vt:lpstr>
      <vt:lpstr>Картофель себ</vt:lpstr>
      <vt:lpstr>сенаж бп омич</vt:lpstr>
      <vt:lpstr>сенаж бп-себ омич</vt:lpstr>
      <vt:lpstr>силос сп рапс</vt:lpstr>
      <vt:lpstr>силос сп-себ рапс</vt:lpstr>
      <vt:lpstr>силос сп кукур</vt:lpstr>
      <vt:lpstr>силос сп-себ кукур</vt:lpstr>
      <vt:lpstr>сеноАЗ СВЗ</vt:lpstr>
      <vt:lpstr>сеноЮЗ</vt:lpstr>
      <vt:lpstr>Урожайность</vt:lpstr>
      <vt:lpstr>аморт!Заголовки_для_печати</vt:lpstr>
      <vt:lpstr>'сенаж бп омич'!Заголовки_для_печати</vt:lpstr>
      <vt:lpstr>'сеноАЗ СВЗ'!Заголовки_для_печати</vt:lpstr>
      <vt:lpstr>сеноЮЗ!Заголовки_для_печати</vt:lpstr>
      <vt:lpstr>'силос сп кукур'!Заголовки_для_печати</vt:lpstr>
      <vt:lpstr>'силос сп рапс'!Заголовки_для_печати</vt:lpstr>
      <vt:lpstr>аморт!Область_печати</vt:lpstr>
      <vt:lpstr>'Исходные данные'!Область_печати</vt:lpstr>
      <vt:lpstr>Картофель!Область_печати</vt:lpstr>
      <vt:lpstr>'Картофель себ'!Область_печати</vt:lpstr>
      <vt:lpstr>Нормы!Область_печати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econ03</dc:creator>
  <cp:lastModifiedBy>Любовь</cp:lastModifiedBy>
  <cp:lastPrinted>2022-11-25T02:26:50Z</cp:lastPrinted>
  <dcterms:created xsi:type="dcterms:W3CDTF">2010-11-22T02:43:08Z</dcterms:created>
  <dcterms:modified xsi:type="dcterms:W3CDTF">2022-12-05T01:45:26Z</dcterms:modified>
</cp:coreProperties>
</file>