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90" yWindow="225" windowWidth="9330" windowHeight="12450" tabRatio="876" activeTab="0"/>
  </bookViews>
  <sheets>
    <sheet name="Содержание" sheetId="1" r:id="rId1"/>
    <sheet name="Нормы" sheetId="2" r:id="rId2"/>
    <sheet name="Исх.данные" sheetId="3" r:id="rId3"/>
    <sheet name="аморт" sheetId="4" r:id="rId4"/>
    <sheet name="свод затрат" sheetId="5" r:id="rId5"/>
    <sheet name="О-РР" sheetId="6" r:id="rId6"/>
    <sheet name="О-РРсеб" sheetId="7" r:id="rId7"/>
    <sheet name="О-РС" sheetId="8" r:id="rId8"/>
    <sheet name="О-РСсеб" sheetId="9" r:id="rId9"/>
    <sheet name="О-КР" sheetId="10" r:id="rId10"/>
    <sheet name="О-КРсеб" sheetId="11" r:id="rId11"/>
    <sheet name="О-КС" sheetId="12" r:id="rId12"/>
    <sheet name="О-КСсеб" sheetId="13" r:id="rId13"/>
  </sheets>
  <definedNames>
    <definedName name="_xlnm.Print_Titles" localSheetId="3">'аморт'!$4:$6</definedName>
    <definedName name="_xlnm.Print_Titles" localSheetId="9">'О-КР'!$A:$E</definedName>
    <definedName name="_xlnm.Print_Titles" localSheetId="11">'О-КС'!$A:$E</definedName>
    <definedName name="_xlnm.Print_Titles" localSheetId="5">'О-РР'!$A:$E</definedName>
    <definedName name="_xlnm.Print_Titles" localSheetId="7">'О-РС'!$A:$E</definedName>
    <definedName name="морковь">#REF!</definedName>
    <definedName name="_xlnm.Print_Area" localSheetId="3">'аморт'!$A$1:$I$98</definedName>
    <definedName name="_xlnm.Print_Area" localSheetId="2">'Исх.данные'!$A$1:$Z$142</definedName>
    <definedName name="_xlnm.Print_Area" localSheetId="1">'Нормы'!$A$1:$E$29</definedName>
    <definedName name="_xlnm.Print_Area" localSheetId="10">'О-КРсеб'!$A$1:$D$38</definedName>
    <definedName name="_xlnm.Print_Area" localSheetId="12">'О-КСсеб'!$A$1:$D$39</definedName>
    <definedName name="_xlnm.Print_Area" localSheetId="6">'О-РРсеб'!$A$1:$D$39</definedName>
    <definedName name="_xlnm.Print_Area" localSheetId="8">'О-РСсеб'!$A$1:$D$39</definedName>
    <definedName name="_xlnm.Print_Area" localSheetId="0">'Содержание'!$A$1:$B$13</definedName>
  </definedNames>
  <calcPr fullCalcOnLoad="1"/>
</workbook>
</file>

<file path=xl/comments10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сельскохозяйсвтенные механизированные работы: М.-1994, стр.53
</t>
        </r>
      </text>
    </comment>
    <comment ref="K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>"Типовые нормы выроботки и расход топлива на с/х мех. Работы" М.-1994 стр. 25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сельскохозяйсвтенные механизированные работы: М.-1994, стр.53
</t>
        </r>
      </text>
    </comment>
    <comment ref="K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"Типовые нормы выроботки и расход топлива на с/х мех. Работы" М.-1994, ч.1, стр. 43
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Максимов Р.М.:</t>
        </r>
        <r>
          <rPr>
            <sz val="8"/>
            <rFont val="Tahoma"/>
            <family val="2"/>
          </rPr>
          <t xml:space="preserve">
"Справочник овощевода" Я-1984 Стр. 36</t>
        </r>
      </text>
    </comment>
    <comment ref="K25" authorId="1">
      <text>
        <r>
          <rPr>
            <b/>
            <sz val="8"/>
            <rFont val="Tahoma"/>
            <family val="2"/>
          </rPr>
          <t>Максимов Р.М.:</t>
        </r>
        <r>
          <rPr>
            <sz val="8"/>
            <rFont val="Tahoma"/>
            <family val="2"/>
          </rPr>
          <t xml:space="preserve">
"Единые нормы выработки и расхода топлива на тракторно-транспортные и погрузочные работы в с/х" М-1980 Стр. 33</t>
        </r>
      </text>
    </comment>
    <comment ref="K27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механизированные работы по внесению орг.удобрений:М.-1994, стр39
</t>
        </r>
      </text>
    </comment>
    <comment ref="K29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механизированные работы по внесению минеральных удобрений: М.-1994, стр.39
</t>
        </r>
      </text>
    </comment>
    <comment ref="K32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работы;М.-1992, стр.164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работы;М.-1992, стр.164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работы;М.-1992, стр.164</t>
        </r>
        <r>
          <rPr>
            <sz val="8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"Типовые нормы выроботки и расход топлива на с/х мех. Работы" М.-1994, ч.1, стр. 183
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стр.165</t>
        </r>
        <r>
          <rPr>
            <sz val="8"/>
            <rFont val="Tahoma"/>
            <family val="2"/>
          </rPr>
          <t xml:space="preserve">
</t>
        </r>
      </text>
    </comment>
    <comment ref="K40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1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2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3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4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53" authorId="0">
      <text>
        <r>
          <rPr>
            <b/>
            <sz val="8"/>
            <rFont val="Tahoma"/>
            <family val="2"/>
          </rPr>
          <t xml:space="preserve">1:"Типовые нормы выроботки и расход топлива на с/х мех. Работы" М.-1994, ч.1, стр. 241
</t>
        </r>
        <r>
          <rPr>
            <sz val="8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2"/>
          </rPr>
          <t xml:space="preserve">1:"Типовые нормы выроботки и расход топлива на с/х мех. Работы" М.-1994, ч.1, стр. 241
</t>
        </r>
        <r>
          <rPr>
            <sz val="8"/>
            <rFont val="Tahoma"/>
            <family val="2"/>
          </rPr>
          <t xml:space="preserve">
</t>
        </r>
      </text>
    </comment>
    <comment ref="K55" authorId="0">
      <text>
        <r>
          <rPr>
            <b/>
            <sz val="8"/>
            <rFont val="Tahoma"/>
            <family val="2"/>
          </rPr>
          <t xml:space="preserve">1:"Типовые нормы выроботки и расход топлива на с/х мех. Работы" М.-1994, ч.1, стр. 249
</t>
        </r>
        <r>
          <rPr>
            <sz val="8"/>
            <rFont val="Tahoma"/>
            <family val="2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стр.165</t>
        </r>
        <r>
          <rPr>
            <sz val="8"/>
            <rFont val="Tahoma"/>
            <family val="2"/>
          </rPr>
          <t xml:space="preserve">
</t>
        </r>
      </text>
    </comment>
    <comment ref="K64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тракторно-транспортные работы; М.200, стр.26
</t>
        </r>
      </text>
    </comment>
    <comment ref="K65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стр.171</t>
        </r>
        <r>
          <rPr>
            <sz val="8"/>
            <rFont val="Tahoma"/>
            <family val="2"/>
          </rPr>
          <t xml:space="preserve">
</t>
        </r>
      </text>
    </comment>
    <comment ref="K60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стр.170</t>
        </r>
        <r>
          <rPr>
            <sz val="8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стр.170</t>
        </r>
        <r>
          <rPr>
            <sz val="8"/>
            <rFont val="Tahoma"/>
            <family val="2"/>
          </rPr>
          <t xml:space="preserve">
</t>
        </r>
      </text>
    </comment>
    <comment ref="AN40" authorId="1">
      <text>
        <r>
          <rPr>
            <sz val="8"/>
            <rFont val="Tahoma"/>
            <family val="2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AN41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  <comment ref="AN42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  <comment ref="AN43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  <comment ref="AN44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</commentList>
</comments>
</file>

<file path=xl/comments12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сельскохозяйсвтенные механизированные работы: М.-1994, стр.53
</t>
        </r>
      </text>
    </comment>
    <comment ref="K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>"Типовые нормы выроботки и расход топлива на с/х мех. Работы" М.-1994 стр. 25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сельскохозяйсвтенные механизированные работы: М.-1994, стр.53
</t>
        </r>
      </text>
    </comment>
    <comment ref="K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"Типовые нормы выроботки и расход топлива на с/х мех. Работы" М.-1994, ч.1, стр. 43
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Максимов Р.М.:</t>
        </r>
        <r>
          <rPr>
            <sz val="8"/>
            <rFont val="Tahoma"/>
            <family val="2"/>
          </rPr>
          <t xml:space="preserve">
"Справочник овощевода" Я-1984 Стр. 36</t>
        </r>
      </text>
    </comment>
    <comment ref="K25" authorId="1">
      <text>
        <r>
          <rPr>
            <b/>
            <sz val="8"/>
            <rFont val="Tahoma"/>
            <family val="2"/>
          </rPr>
          <t>Максимов Р.М.:</t>
        </r>
        <r>
          <rPr>
            <sz val="8"/>
            <rFont val="Tahoma"/>
            <family val="2"/>
          </rPr>
          <t xml:space="preserve">
"Единые нормы выработки и расхода топлива на тракторно-транспортные и погрузочные работы в с/х" М-1980 Стр. 33</t>
        </r>
      </text>
    </comment>
    <comment ref="K27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механизированные работы по внесению орг.удобрений:М.-1994, стр39
</t>
        </r>
      </text>
    </comment>
    <comment ref="K29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механизированные работы по внесению минеральных удобрений: М.-1994, стр.39
</t>
        </r>
      </text>
    </comment>
    <comment ref="K32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работы;М.-1992, стр.164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работы;М.-1992, стр.164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работы;М.-1992, стр.164</t>
        </r>
        <r>
          <rPr>
            <sz val="8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"Типовые нормы выроботки и расход топлива на с/х мех. Работы" М.-1994, ч.1, стр. 183
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стр.165</t>
        </r>
        <r>
          <rPr>
            <sz val="8"/>
            <rFont val="Tahoma"/>
            <family val="2"/>
          </rPr>
          <t xml:space="preserve">
</t>
        </r>
      </text>
    </comment>
    <comment ref="K40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1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2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3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44" authorId="1">
      <text>
        <r>
          <rPr>
            <sz val="8"/>
            <rFont val="Tahoma"/>
            <family val="2"/>
          </rPr>
          <t>Справочник овощевода Якутии Сост. Т.А. Перлова. - Якутск-1984 г. Стр. 38</t>
        </r>
      </text>
    </comment>
    <comment ref="K53" authorId="0">
      <text>
        <r>
          <rPr>
            <b/>
            <sz val="8"/>
            <rFont val="Tahoma"/>
            <family val="2"/>
          </rPr>
          <t xml:space="preserve">1:"Типовые нормы выроботки и расход топлива на с/х мех. Работы" М.-1994, ч.1, стр. 241
</t>
        </r>
        <r>
          <rPr>
            <sz val="8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2"/>
          </rPr>
          <t xml:space="preserve">1:"Типовые нормы выроботки и расход топлива на с/х мех. Работы" М.-1994, ч.1, стр. 241
</t>
        </r>
        <r>
          <rPr>
            <sz val="8"/>
            <rFont val="Tahoma"/>
            <family val="2"/>
          </rPr>
          <t xml:space="preserve">
</t>
        </r>
      </text>
    </comment>
    <comment ref="K55" authorId="0">
      <text>
        <r>
          <rPr>
            <b/>
            <sz val="8"/>
            <rFont val="Tahoma"/>
            <family val="2"/>
          </rPr>
          <t xml:space="preserve">1:"Типовые нормы выроботки и расход топлива на с/х мех. Работы" М.-1994, ч.1, стр. 249
</t>
        </r>
        <r>
          <rPr>
            <sz val="8"/>
            <rFont val="Tahoma"/>
            <family val="2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стр.165</t>
        </r>
        <r>
          <rPr>
            <sz val="8"/>
            <rFont val="Tahoma"/>
            <family val="2"/>
          </rPr>
          <t xml:space="preserve">
</t>
        </r>
      </text>
    </comment>
    <comment ref="K63" authorId="0">
      <text>
        <r>
          <rPr>
            <sz val="8"/>
            <rFont val="Tahoma"/>
            <family val="2"/>
          </rPr>
          <t xml:space="preserve">1:Типовые нормы выработки и расхода топлива на тракторно-транспортные работы; М.200, стр.26
</t>
        </r>
      </text>
    </comment>
    <comment ref="K64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стр.171</t>
        </r>
        <r>
          <rPr>
            <sz val="8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8"/>
            <rFont val="Tahoma"/>
            <family val="2"/>
          </rPr>
          <t>1:Типовые нормы выработки и нормативы времени на ручные с/х работы; М.-1992, стр.170</t>
        </r>
        <r>
          <rPr>
            <sz val="8"/>
            <rFont val="Tahoma"/>
            <family val="2"/>
          </rPr>
          <t xml:space="preserve">
</t>
        </r>
      </text>
    </comment>
    <comment ref="AN40" authorId="1">
      <text>
        <r>
          <rPr>
            <sz val="8"/>
            <rFont val="Tahoma"/>
            <family val="2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AN41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  <comment ref="AN42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  <comment ref="AN43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  <comment ref="AN44" authorId="1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</commentList>
</comments>
</file>

<file path=xl/comments3.xml><?xml version="1.0" encoding="utf-8"?>
<comments xmlns="http://schemas.openxmlformats.org/spreadsheetml/2006/main">
  <authors>
    <author>Егоров Роман Васильевич</author>
    <author>Любовь</author>
  </authors>
  <commentList>
    <comment ref="C142" authorId="0">
      <text>
        <r>
          <rPr>
            <b/>
            <sz val="9"/>
            <rFont val="Tahoma"/>
            <family val="2"/>
          </rPr>
          <t>Протопопова Л.Д.:</t>
        </r>
        <r>
          <rPr>
            <sz val="9"/>
            <rFont val="Tahoma"/>
            <family val="2"/>
          </rPr>
          <t xml:space="preserve">
Данные ПАО Якутскэнерго на 2022 Цены (тарифы) на электрическую энергию для НАСЕЛЕНИЯ и приравненных к нему категориях потребителей по Республике Саха (Якутия) на 2022 год</t>
        </r>
      </text>
    </comment>
    <comment ref="B64" authorId="1">
      <text>
        <r>
          <rPr>
            <b/>
            <sz val="9"/>
            <rFont val="Tahoma"/>
            <family val="2"/>
          </rPr>
          <t>Любовь:</t>
        </r>
        <r>
          <rPr>
            <sz val="9"/>
            <rFont val="Tahoma"/>
            <family val="2"/>
          </rPr>
          <t xml:space="preserve">
26950 руб за 216,5 л
124,5 руб за 1л
136,8 руб за 1 кг
13680 руб за 1 ц</t>
        </r>
      </text>
    </comment>
    <comment ref="B66" authorId="1">
      <text>
        <r>
          <rPr>
            <b/>
            <sz val="9"/>
            <rFont val="Tahoma"/>
            <family val="2"/>
          </rPr>
          <t>Любовь:</t>
        </r>
        <r>
          <rPr>
            <sz val="9"/>
            <rFont val="Tahoma"/>
            <family val="2"/>
          </rPr>
          <t xml:space="preserve">
220 за 1 кг</t>
        </r>
      </text>
    </comment>
    <comment ref="A102" authorId="1">
      <text>
        <r>
          <rPr>
            <b/>
            <sz val="9"/>
            <rFont val="Tahoma"/>
            <family val="2"/>
          </rPr>
          <t>Любовь:</t>
        </r>
        <r>
          <rPr>
            <sz val="9"/>
            <rFont val="Tahoma"/>
            <family val="2"/>
          </rPr>
          <t xml:space="preserve">
Приказ об утв метод реком по сост техкарт от 30.12.2016 №867</t>
        </r>
      </text>
    </comment>
  </commentList>
</comments>
</file>

<file path=xl/comments4.xml><?xml version="1.0" encoding="utf-8"?>
<comments xmlns="http://schemas.openxmlformats.org/spreadsheetml/2006/main">
  <authors>
    <author>Максимов Р.М.</author>
  </authors>
  <commentList>
    <comment ref="G44" authorId="0">
      <text>
        <r>
          <rPr>
            <sz val="8"/>
            <rFont val="Tahoma"/>
            <family val="2"/>
          </rPr>
          <t xml:space="preserve">Среднем 95 смен полива за вегетационный период по 7ч.
</t>
        </r>
      </text>
    </comment>
    <comment ref="G45" authorId="0">
      <text>
        <r>
          <rPr>
            <sz val="8"/>
            <rFont val="Tahoma"/>
            <family val="2"/>
          </rPr>
          <t>Сборник нормативных материалов на работы, выполняемые машинно-технологическими станциями (мтс). — М.: ФГНУ “Росинформагротех”, 2001. — 190 с.</t>
        </r>
      </text>
    </comment>
    <comment ref="G86" authorId="0">
      <text>
        <r>
          <rPr>
            <sz val="8"/>
            <rFont val="Tahoma"/>
            <family val="2"/>
          </rPr>
          <t xml:space="preserve">За 1 смену 70 тонн
Годовая закрузка (с 15 августа по 1 октября 45 дней) 315 ч.
</t>
        </r>
      </text>
    </comment>
  </commentList>
</comments>
</file>

<file path=xl/comments6.xml><?xml version="1.0" encoding="utf-8"?>
<comments xmlns="http://schemas.openxmlformats.org/spreadsheetml/2006/main">
  <authors>
    <author>Максимов Р.М.</author>
  </authors>
  <commentList>
    <comment ref="K18" authorId="0">
      <text>
        <r>
          <rPr>
            <b/>
            <sz val="8"/>
            <rFont val="Tahoma"/>
            <family val="2"/>
          </rPr>
          <t>Максимов Р.М.:</t>
        </r>
        <r>
          <rPr>
            <sz val="8"/>
            <rFont val="Tahoma"/>
            <family val="2"/>
          </rPr>
          <t xml:space="preserve">
"Единые нормы выработки и расхода топлива на тракторно-транспортные и погрузочные работы в с/х" М-1980 Стр. 33</t>
        </r>
      </text>
    </comment>
    <comment ref="AN24" authorId="0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</commentList>
</comments>
</file>

<file path=xl/comments8.xml><?xml version="1.0" encoding="utf-8"?>
<comments xmlns="http://schemas.openxmlformats.org/spreadsheetml/2006/main">
  <authors>
    <author>Максимов Р.М.</author>
  </authors>
  <commentList>
    <comment ref="K18" authorId="0">
      <text>
        <r>
          <rPr>
            <b/>
            <sz val="8"/>
            <rFont val="Tahoma"/>
            <family val="2"/>
          </rPr>
          <t>Максимов Р.М.:</t>
        </r>
        <r>
          <rPr>
            <sz val="8"/>
            <rFont val="Tahoma"/>
            <family val="2"/>
          </rPr>
          <t xml:space="preserve">
"Единые нормы выработки и расхода топлива на тракторно-транспортные и погрузочные работы в с/х" М-1980 Стр. 33</t>
        </r>
      </text>
    </comment>
    <comment ref="AN24" authorId="0">
      <text>
        <r>
          <rPr>
            <sz val="8"/>
            <rFont val="Tahoma"/>
            <family val="2"/>
          </rPr>
          <t>Расчет сделан на основании расхода топлива на 1 усл.га 12,2 кг.</t>
        </r>
      </text>
    </comment>
  </commentList>
</comments>
</file>

<file path=xl/sharedStrings.xml><?xml version="1.0" encoding="utf-8"?>
<sst xmlns="http://schemas.openxmlformats.org/spreadsheetml/2006/main" count="1883" uniqueCount="668">
  <si>
    <t>Резерв отпусков (руб)</t>
  </si>
  <si>
    <t>Трактор МТЗ-1221</t>
  </si>
  <si>
    <t>Борона БДП-3,0</t>
  </si>
  <si>
    <t>Прицепной кормоуборочный комбайн</t>
  </si>
  <si>
    <t>Погрузчик ПМТ-0,1</t>
  </si>
  <si>
    <t>300руб</t>
  </si>
  <si>
    <t>138руб</t>
  </si>
  <si>
    <t>с НДС</t>
  </si>
  <si>
    <t>ДТЗ, ДТА</t>
  </si>
  <si>
    <t>вил.</t>
  </si>
  <si>
    <t>центр.</t>
  </si>
  <si>
    <t>масла</t>
  </si>
  <si>
    <t>Наименование работ</t>
  </si>
  <si>
    <t>Расход ГСМ</t>
  </si>
  <si>
    <t>Расход электроэнергии</t>
  </si>
  <si>
    <t>за весь объем работ</t>
  </si>
  <si>
    <t>Единица измерения</t>
  </si>
  <si>
    <t>Трактористов-машинистов</t>
  </si>
  <si>
    <t>Прицепщиков и рабочих на ручных работах</t>
  </si>
  <si>
    <t>Северный и районный коэффициент</t>
  </si>
  <si>
    <t>Разряд оплаты труда</t>
  </si>
  <si>
    <t>Часовая ставка</t>
  </si>
  <si>
    <t>Итого</t>
  </si>
  <si>
    <t>Погрузка минеральных удобрений вручную</t>
  </si>
  <si>
    <t>Охрана посевов</t>
  </si>
  <si>
    <t>Всего</t>
  </si>
  <si>
    <t>Сроки выполнения работ</t>
  </si>
  <si>
    <t>Дата начала</t>
  </si>
  <si>
    <t>Дата окончания</t>
  </si>
  <si>
    <t>Количество рабочих дней</t>
  </si>
  <si>
    <t>Объемы работ в физическом выражении</t>
  </si>
  <si>
    <t>Обслуживающий персонал  для выполнения нормы</t>
  </si>
  <si>
    <t>механизаторов</t>
  </si>
  <si>
    <t>разнорабочих</t>
  </si>
  <si>
    <t>Количество нормо-смен в объеме работы</t>
  </si>
  <si>
    <t>Норма выработки (норма смен / га; норма смен / тн)</t>
  </si>
  <si>
    <t>Требуется агрегатов</t>
  </si>
  <si>
    <t>количество</t>
  </si>
  <si>
    <t>коэфф.перевода, кг</t>
  </si>
  <si>
    <t>вид ГСМ</t>
  </si>
  <si>
    <t>на 1 час работы, (кВт/час)</t>
  </si>
  <si>
    <t>Амортизация техники</t>
  </si>
  <si>
    <t>тракторов</t>
  </si>
  <si>
    <t>сельхозмашин</t>
  </si>
  <si>
    <t>Прямые затраты</t>
  </si>
  <si>
    <t>всего (ц)</t>
  </si>
  <si>
    <t>за 7 часовую смену усл.эт.га</t>
  </si>
  <si>
    <t>Наименование работ и средства механизации</t>
  </si>
  <si>
    <t>марка сельхозмашин</t>
  </si>
  <si>
    <t>марка тракторов, комбайнов, автомашин</t>
  </si>
  <si>
    <t>№№ п/п</t>
  </si>
  <si>
    <t>по производству продукции растениеводства</t>
  </si>
  <si>
    <t>Эталонная выработка трактора, комбайна (усл.-эт.га)</t>
  </si>
  <si>
    <t>Подача воды в оросительную сеть</t>
  </si>
  <si>
    <t>Вегетационный полив</t>
  </si>
  <si>
    <t>Послепосадочный полив</t>
  </si>
  <si>
    <t>Обработка пестицидами и ядохимикатами</t>
  </si>
  <si>
    <t>Буртование земли и перегноя</t>
  </si>
  <si>
    <t>Погрузка земли, перегноя и опилки</t>
  </si>
  <si>
    <t>Транспортировка компонентов и разгрузка  вручную</t>
  </si>
  <si>
    <t>Погрузка и разгрузка минеральных удобрений вручную</t>
  </si>
  <si>
    <t>Подвоз минеральных удобрений</t>
  </si>
  <si>
    <t>Приготовление смеси  для посева из равных частей компонентов</t>
  </si>
  <si>
    <t>Погрузка смеси вручную</t>
  </si>
  <si>
    <t>Разбрасывание смеси в теплице вручную</t>
  </si>
  <si>
    <t>Разравнивание смеси  граблями</t>
  </si>
  <si>
    <t>Заготовка грунтов и удобрений</t>
  </si>
  <si>
    <t>Дезинфекция теплицы</t>
  </si>
  <si>
    <t>Снятие старой пленки</t>
  </si>
  <si>
    <t>Очистка теплиц от снега</t>
  </si>
  <si>
    <t>Укрытие теплиц пленкой</t>
  </si>
  <si>
    <t>Перекопка грунта в углах у боковых стен</t>
  </si>
  <si>
    <t>Фрезерование грунта (2-кратная)</t>
  </si>
  <si>
    <t>Поделка гряд</t>
  </si>
  <si>
    <t>Полив  из  шланга</t>
  </si>
  <si>
    <t>Подготовка теплицы</t>
  </si>
  <si>
    <t>Подготовка семян  к  посеву</t>
  </si>
  <si>
    <t>Посев</t>
  </si>
  <si>
    <t>Полив (3-4 раза) и подкормка рассады (1-2 раза)</t>
  </si>
  <si>
    <t>Подсыпка смеси</t>
  </si>
  <si>
    <t>Дежурство теплогенераторщиков</t>
  </si>
  <si>
    <t>Обогрев теплицы теплогенератор</t>
  </si>
  <si>
    <t>Посев и уход</t>
  </si>
  <si>
    <t>Культура: Рассада ранней белокочанной капусты</t>
  </si>
  <si>
    <t>Культура: Рассада среднеспелой белокочанной капусты</t>
  </si>
  <si>
    <t>Дезинфекция теплицы  0,2 % - м раствором акрекса или рогора</t>
  </si>
  <si>
    <t>Культура: Среднеспелая белокочанная капуста</t>
  </si>
  <si>
    <t>Лущение в 2 следа</t>
  </si>
  <si>
    <t>Эксплуатац.планировка</t>
  </si>
  <si>
    <t>Зяблевая вспашка (25-27 см)</t>
  </si>
  <si>
    <t>Дискование в 2 следа</t>
  </si>
  <si>
    <t>Культивация 2-кратная (до18 см )</t>
  </si>
  <si>
    <t>Основная и предпосевная обработка почвы</t>
  </si>
  <si>
    <t>Буртование и перебивка навоза</t>
  </si>
  <si>
    <t>Погрузка органических удобрений и транспортировка (9-10 км)</t>
  </si>
  <si>
    <t>Транспортировка до 5 км</t>
  </si>
  <si>
    <t>Внесение органики под зябь</t>
  </si>
  <si>
    <t>Перевозка и внесение минеральных удобрений</t>
  </si>
  <si>
    <t>Подготовка и внесение удобрений</t>
  </si>
  <si>
    <t>Выборка рассады в ящики</t>
  </si>
  <si>
    <t>Погрузка рассады с переноской</t>
  </si>
  <si>
    <t>Подвоз рассады (до 3 км)</t>
  </si>
  <si>
    <t>Разгрузка рассады с переноской</t>
  </si>
  <si>
    <t>Посадка рассады  (70  х 50 см)</t>
  </si>
  <si>
    <t>Подсадка и оправка растений</t>
  </si>
  <si>
    <t>Подготовка и посадка рассады</t>
  </si>
  <si>
    <t>Предпосадочный полив</t>
  </si>
  <si>
    <t>Послепосадочный  полив</t>
  </si>
  <si>
    <t>Полив с подкормкой</t>
  </si>
  <si>
    <t xml:space="preserve">Полив  </t>
  </si>
  <si>
    <t>Приготовление рабочего раствора - 600 л/га</t>
  </si>
  <si>
    <t>Первая - на глубину 5 - 8 см</t>
  </si>
  <si>
    <t>Вторая - на глубину 8 - 10 см</t>
  </si>
  <si>
    <t>Окучивание с небольшим гребнем</t>
  </si>
  <si>
    <t>Оправка растений за агрегатом</t>
  </si>
  <si>
    <t>Прополка в рядках</t>
  </si>
  <si>
    <t>Междурядная обработка</t>
  </si>
  <si>
    <t>Рубка с очисткой  кочанов</t>
  </si>
  <si>
    <t>Затаривание в мешки</t>
  </si>
  <si>
    <t>Погрузка с переноской до 20 м</t>
  </si>
  <si>
    <t>Транспортировка  до  3 км</t>
  </si>
  <si>
    <t>Разгрузка</t>
  </si>
  <si>
    <t>Сбор капустного листа</t>
  </si>
  <si>
    <t>Уборка урожая</t>
  </si>
  <si>
    <t>Ремонт  ящиков</t>
  </si>
  <si>
    <t>Стряхивание мешкотары</t>
  </si>
  <si>
    <t>Разные работы</t>
  </si>
  <si>
    <t>Культура: Ранняя белокочанная капуста</t>
  </si>
  <si>
    <t>Посадка рассады  (70  х 40 см)</t>
  </si>
  <si>
    <t>Выборочная уборка с затариванием</t>
  </si>
  <si>
    <t>Массовая уборка с очисткой качана</t>
  </si>
  <si>
    <t>ДТ-75</t>
  </si>
  <si>
    <t>СВУ-2,6</t>
  </si>
  <si>
    <t>МТЗ-82</t>
  </si>
  <si>
    <t>га</t>
  </si>
  <si>
    <t>СЗ-3,6</t>
  </si>
  <si>
    <t>БЗСС-1,0</t>
  </si>
  <si>
    <t>ОВТ-1А</t>
  </si>
  <si>
    <t>ПН-4-35</t>
  </si>
  <si>
    <t>Енисей</t>
  </si>
  <si>
    <t>2ПТС-4</t>
  </si>
  <si>
    <t>ЗАВ-10</t>
  </si>
  <si>
    <t>СЗ-6</t>
  </si>
  <si>
    <t>Вручную</t>
  </si>
  <si>
    <t>тн.</t>
  </si>
  <si>
    <t>БДТ-3,0</t>
  </si>
  <si>
    <t>КПГ-250</t>
  </si>
  <si>
    <t>шт</t>
  </si>
  <si>
    <t>кв.м.</t>
  </si>
  <si>
    <t>Бульд.</t>
  </si>
  <si>
    <t>ПФ-0,5</t>
  </si>
  <si>
    <t>ЛДГ-10 А</t>
  </si>
  <si>
    <t>РОУ-5</t>
  </si>
  <si>
    <t>ИСУ-4</t>
  </si>
  <si>
    <t>РМГ-4</t>
  </si>
  <si>
    <t>КРН-4,2</t>
  </si>
  <si>
    <t>СНП-50/80</t>
  </si>
  <si>
    <t>ДДН-70</t>
  </si>
  <si>
    <t>КИР-1,5</t>
  </si>
  <si>
    <t>КТН-2В</t>
  </si>
  <si>
    <t>чел./дн.</t>
  </si>
  <si>
    <t>СН-4Б</t>
  </si>
  <si>
    <t>КСМ-4</t>
  </si>
  <si>
    <t>ПБ-35</t>
  </si>
  <si>
    <t>Т-16</t>
  </si>
  <si>
    <t>ОЗГ-120А</t>
  </si>
  <si>
    <t>ФС-07</t>
  </si>
  <si>
    <t>куб.м.</t>
  </si>
  <si>
    <t>ПРСМ-7</t>
  </si>
  <si>
    <t>Теплогенератор</t>
  </si>
  <si>
    <t>ТГ - 1,5</t>
  </si>
  <si>
    <t>кг.</t>
  </si>
  <si>
    <t>кв. м</t>
  </si>
  <si>
    <t>час</t>
  </si>
  <si>
    <t>ЛДГ-5</t>
  </si>
  <si>
    <t>П-4</t>
  </si>
  <si>
    <t>КПС4</t>
  </si>
  <si>
    <t>Д-606</t>
  </si>
  <si>
    <t>ПТС-6</t>
  </si>
  <si>
    <t>РУМ-3</t>
  </si>
  <si>
    <t>СКН-6А</t>
  </si>
  <si>
    <t>тыс.шт.</t>
  </si>
  <si>
    <t>АПР</t>
  </si>
  <si>
    <t>КПС-4</t>
  </si>
  <si>
    <t>ЗКВГ-1,4</t>
  </si>
  <si>
    <t>Коэффициент перевода на кг</t>
  </si>
  <si>
    <t>ДТЛ</t>
  </si>
  <si>
    <t>ДТЗ</t>
  </si>
  <si>
    <t>Тарифные разряды, ставки для оплаты труда работников сельскохозяйственных предприятий</t>
  </si>
  <si>
    <t>Профессия</t>
  </si>
  <si>
    <t>ставки</t>
  </si>
  <si>
    <t>разряды</t>
  </si>
  <si>
    <t>коэффициент</t>
  </si>
  <si>
    <t>месячная ставка, руб./коп</t>
  </si>
  <si>
    <t>дневная ставка (сменная) руб./коп</t>
  </si>
  <si>
    <t>часовая ставка, руб./коп</t>
  </si>
  <si>
    <t>Очистка льда,перегноя от  боковых стен теплицы</t>
  </si>
  <si>
    <t>Прореживание и прополка в теплице</t>
  </si>
  <si>
    <t>Надбавка за стаж работы в данном хозяйстве</t>
  </si>
  <si>
    <t>Резерв отпусков</t>
  </si>
  <si>
    <t>Процент доплат за качественное и своевременное выполнение работ</t>
  </si>
  <si>
    <t>Вид работ</t>
  </si>
  <si>
    <t>За высококачественную подготовку почвы согласны агротехническим требованиям</t>
  </si>
  <si>
    <t>За качественное проведение сева, посадки культур в строго установленные сроки</t>
  </si>
  <si>
    <t>За своевременное и качественное проведение работ по обработке почвы, проведению работ по борьбе с вредителями, болезнями и уничтожению сорняков с применением гербецидов</t>
  </si>
  <si>
    <t>За высокое качество уборки урожая в установленные сроки без потерь</t>
  </si>
  <si>
    <t>Размер дополнительной оплаты, в% к заработной плате (не менее)</t>
  </si>
  <si>
    <t>За заготовку кормов высокого качества и в сжатые агротехнические сроки</t>
  </si>
  <si>
    <t>Трактористов-машинистов (1класс-20%, 2класс-10%)</t>
  </si>
  <si>
    <t>Прицепщиков и рабочих на ручных работах (мастер растениеводства 1 класса-20%, 2го класса-10%)</t>
  </si>
  <si>
    <t>Стаж работы в данном хозяйстве</t>
  </si>
  <si>
    <t>Размер надбавки за стаж работы (в% к заработку)</t>
  </si>
  <si>
    <t>от 2 до 5 лет</t>
  </si>
  <si>
    <t>от 5 до 10 лет</t>
  </si>
  <si>
    <t>от 10 до 15 лет</t>
  </si>
  <si>
    <t>от 15 до 20 лет</t>
  </si>
  <si>
    <t>свыше 20 лет</t>
  </si>
  <si>
    <t>Марка тракторов</t>
  </si>
  <si>
    <t>К-700</t>
  </si>
  <si>
    <t>МТЗ-1221</t>
  </si>
  <si>
    <t>СНП-50/79</t>
  </si>
  <si>
    <t>Расход семян</t>
  </si>
  <si>
    <t>всего (тн)</t>
  </si>
  <si>
    <t>Стоимость за единицу</t>
  </si>
  <si>
    <t>ЗКК-6А</t>
  </si>
  <si>
    <t>BRG 225/90</t>
  </si>
  <si>
    <t>GT 540 H</t>
  </si>
  <si>
    <t>GR 385 3 PS</t>
  </si>
  <si>
    <t>R 12 Super</t>
  </si>
  <si>
    <t>FW 10/2000</t>
  </si>
  <si>
    <t>КТП-6</t>
  </si>
  <si>
    <t>КСК-100</t>
  </si>
  <si>
    <t>ГВР-6</t>
  </si>
  <si>
    <t>СПТ-60</t>
  </si>
  <si>
    <t>ГПП-6</t>
  </si>
  <si>
    <t>ПРП-1,6</t>
  </si>
  <si>
    <t>ПКУ-0,8</t>
  </si>
  <si>
    <t>ППУ-0,5</t>
  </si>
  <si>
    <t>Кони</t>
  </si>
  <si>
    <t>КК-1,2</t>
  </si>
  <si>
    <t>ГК-4</t>
  </si>
  <si>
    <t>на единицу, (цн/га)</t>
  </si>
  <si>
    <t>Расчет амортизации основных средств</t>
  </si>
  <si>
    <t>Наименование трактора (машины)</t>
  </si>
  <si>
    <t>Марка трактора (машины)</t>
  </si>
  <si>
    <t>Рассада ранняя</t>
  </si>
  <si>
    <t>Рассада среднеспелая</t>
  </si>
  <si>
    <t>Трактор ДТ-75</t>
  </si>
  <si>
    <t>КАМАЗ-5320</t>
  </si>
  <si>
    <t>Камаз</t>
  </si>
  <si>
    <t>ЗИЛ-130</t>
  </si>
  <si>
    <t>ЗИЛ</t>
  </si>
  <si>
    <t>Трактор МТЗ-82</t>
  </si>
  <si>
    <t>Трактор</t>
  </si>
  <si>
    <t>Комбайн «Енисей-1200»</t>
  </si>
  <si>
    <t>Китайский комбайн</t>
  </si>
  <si>
    <t>Рабочие лошади</t>
  </si>
  <si>
    <t>Гигант Петкус</t>
  </si>
  <si>
    <t>Петкус</t>
  </si>
  <si>
    <t>Семяочистительная машина</t>
  </si>
  <si>
    <t>СМ-4</t>
  </si>
  <si>
    <t>Зерноочистительный комплекс  ЗАВ-25</t>
  </si>
  <si>
    <t>Прицеп 2ПТС-4</t>
  </si>
  <si>
    <t>Роторная навесная косилка-плющилка</t>
  </si>
  <si>
    <t>Упаковщик рулонов</t>
  </si>
  <si>
    <t>Грабли волкообразователи</t>
  </si>
  <si>
    <t xml:space="preserve">Вспушиватель </t>
  </si>
  <si>
    <t>Пресс подборщик рулонный</t>
  </si>
  <si>
    <t>Автомат приготовления растворов</t>
  </si>
  <si>
    <t>Борона БДТ-3,0</t>
  </si>
  <si>
    <t>Борона БЗСС-1,0</t>
  </si>
  <si>
    <t>Борона БСО-4,0</t>
  </si>
  <si>
    <t>БСО-4,0</t>
  </si>
  <si>
    <t>Бульдозерный отвал</t>
  </si>
  <si>
    <t>Грабли (грабли валковые)</t>
  </si>
  <si>
    <t>ГВК</t>
  </si>
  <si>
    <t>Грабли-ворошилка</t>
  </si>
  <si>
    <t>Грабли конные</t>
  </si>
  <si>
    <t>Грабли поперечные</t>
  </si>
  <si>
    <t>Дожд. установка ДДН-70</t>
  </si>
  <si>
    <t>Каток ЗКВГ-1,4</t>
  </si>
  <si>
    <t>Каток ЗКК-6</t>
  </si>
  <si>
    <t>Измельчитель минеральных удобрений</t>
  </si>
  <si>
    <t>Косилка измель. ротац. КИР-1,5</t>
  </si>
  <si>
    <t>Косилка конная</t>
  </si>
  <si>
    <t>Картофелекомбайн ККУ-2А</t>
  </si>
  <si>
    <t>ККУ-2А</t>
  </si>
  <si>
    <t>Культиватор окучник КОН-2,8</t>
  </si>
  <si>
    <t>КОН-2,8</t>
  </si>
  <si>
    <t>Плоскорез КПГ-250</t>
  </si>
  <si>
    <t>Культиватор КПС-4</t>
  </si>
  <si>
    <t>Культиватор окучник навесной КРН-4,2</t>
  </si>
  <si>
    <t>Косилка тракторная</t>
  </si>
  <si>
    <t>Комбайн</t>
  </si>
  <si>
    <t>Картофелесажалка КСМ-4</t>
  </si>
  <si>
    <t>Картофелекопалка КТН-2В</t>
  </si>
  <si>
    <t>Косилка</t>
  </si>
  <si>
    <t>КТП-4</t>
  </si>
  <si>
    <t>Лущильник дисковый ЛДГ-10</t>
  </si>
  <si>
    <t>Лущильник дисковый ЛДГ-5</t>
  </si>
  <si>
    <t xml:space="preserve">Опрыскиватели </t>
  </si>
  <si>
    <t>Опрыскиватель для защищенного грунта</t>
  </si>
  <si>
    <t>Планировщик</t>
  </si>
  <si>
    <t>Погрузчик ПБ-35</t>
  </si>
  <si>
    <t>Погрузчик ковшевый универсальный</t>
  </si>
  <si>
    <t>Плуг навесной ПН-4-35</t>
  </si>
  <si>
    <t>Опрыскиватель вентиляторный ПОМ-603</t>
  </si>
  <si>
    <t>ПОМ-603</t>
  </si>
  <si>
    <t xml:space="preserve">Пресс-подборщики </t>
  </si>
  <si>
    <t>ПР-3</t>
  </si>
  <si>
    <t>Пресподборщик</t>
  </si>
  <si>
    <t>Сеялка</t>
  </si>
  <si>
    <t>Прицеп ПТС-6</t>
  </si>
  <si>
    <t>Погрузчик фронтальный</t>
  </si>
  <si>
    <t xml:space="preserve">Разбрасывателями минеральных удобрений </t>
  </si>
  <si>
    <t>Разбрасыватель органических удобрений РОУ-5</t>
  </si>
  <si>
    <t>Снегопах СВУ-2,6</t>
  </si>
  <si>
    <t xml:space="preserve">Сеялка зерновая СЗ-3,6 </t>
  </si>
  <si>
    <t>Сушилки зерна</t>
  </si>
  <si>
    <t>Рассадопосадочная машина СКН-6</t>
  </si>
  <si>
    <t>СКН-6</t>
  </si>
  <si>
    <t>Картофелесажалка навесная четырехрядная</t>
  </si>
  <si>
    <t>Дожд. установка СНП-50/80</t>
  </si>
  <si>
    <t>Дожд. установка СНП-75/100</t>
  </si>
  <si>
    <t>СНП-75/100</t>
  </si>
  <si>
    <t>Дожд. установка СНП-80/50</t>
  </si>
  <si>
    <t>СНП-80/50</t>
  </si>
  <si>
    <t>Подборщик-стогообразователь</t>
  </si>
  <si>
    <t>ТГ-1,5</t>
  </si>
  <si>
    <t>ТГ-150</t>
  </si>
  <si>
    <t>Фреза</t>
  </si>
  <si>
    <t>на 1 усл.-эт.га</t>
  </si>
  <si>
    <t>ремонт тракторов</t>
  </si>
  <si>
    <t>техническое обслуживание тракторов</t>
  </si>
  <si>
    <t>замена шин тракторов</t>
  </si>
  <si>
    <t>ремонт и тех.обслуживание сельхозмашин (руб)</t>
  </si>
  <si>
    <t>всего (руб)</t>
  </si>
  <si>
    <t xml:space="preserve">Текущий ремонт и тех.обслуживание </t>
  </si>
  <si>
    <t>на весь объем работ (руб)</t>
  </si>
  <si>
    <t>Тарифная ставка за норму (руб)</t>
  </si>
  <si>
    <t>Затраты труда на весь объем работ (чел-час)</t>
  </si>
  <si>
    <t>Дополнительная оплата за качественное и своевременное выполнение работ (руб)</t>
  </si>
  <si>
    <t>Доплата за продукцию (руб)</t>
  </si>
  <si>
    <t>Надбавка за классность, за звание (руб)</t>
  </si>
  <si>
    <t>Надбавка за стаж работы в данном хозяйстве (руб)</t>
  </si>
  <si>
    <t>Всего фонд заработной платы (руб)</t>
  </si>
  <si>
    <t>Отчисления на страховые взносы (руб)</t>
  </si>
  <si>
    <t>Итого Фонд заработной платы с отчислениями на страховые взносы (руб)</t>
  </si>
  <si>
    <t>стоимость 1 ц (руб)</t>
  </si>
  <si>
    <t>стоимость всего (руб)</t>
  </si>
  <si>
    <t>стоимость 1 кг (руб)</t>
  </si>
  <si>
    <t>Затраты труда на 1 га (чел-час)</t>
  </si>
  <si>
    <t>на 1 га (руб)</t>
  </si>
  <si>
    <t>на единицу, (литр/га; литр/тн)</t>
  </si>
  <si>
    <t>всего (кВт/час)</t>
  </si>
  <si>
    <t>Расход удобрений</t>
  </si>
  <si>
    <t>руб/кг</t>
  </si>
  <si>
    <t>Культура</t>
  </si>
  <si>
    <t>Основные показатели</t>
  </si>
  <si>
    <t>Пар</t>
  </si>
  <si>
    <t>Площадь</t>
  </si>
  <si>
    <t>Урожайность</t>
  </si>
  <si>
    <t>Выход продукции</t>
  </si>
  <si>
    <t>Посевная</t>
  </si>
  <si>
    <t>Ед.изм.</t>
  </si>
  <si>
    <t>Кол.</t>
  </si>
  <si>
    <t>Основной</t>
  </si>
  <si>
    <t>Побочной</t>
  </si>
  <si>
    <t>ГСМ</t>
  </si>
  <si>
    <t>цент./га</t>
  </si>
  <si>
    <t>цент.</t>
  </si>
  <si>
    <t>т.р./га</t>
  </si>
  <si>
    <t>т.р./тн.</t>
  </si>
  <si>
    <t>шт./кв.м.</t>
  </si>
  <si>
    <t>шт.</t>
  </si>
  <si>
    <t>т.р./т.шт.</t>
  </si>
  <si>
    <t>амортизация</t>
  </si>
  <si>
    <t>текущий ремонт</t>
  </si>
  <si>
    <t>на 1 га</t>
  </si>
  <si>
    <t>на 1 цн</t>
  </si>
  <si>
    <t>трактористов-машинистов</t>
  </si>
  <si>
    <t>прицепщиков и рабочих на ручных работах</t>
  </si>
  <si>
    <t>Доля, %</t>
  </si>
  <si>
    <t>тракторы</t>
  </si>
  <si>
    <t>сельхозмашины</t>
  </si>
  <si>
    <t>Прочие затраты, руб</t>
  </si>
  <si>
    <t>Итого прямые затраты, руб</t>
  </si>
  <si>
    <t>Организация производства и управления, руб</t>
  </si>
  <si>
    <t>Всего затрат, руб</t>
  </si>
  <si>
    <t>Затраты на 1 га, руб</t>
  </si>
  <si>
    <t>Затраты на 1 цн основной продукции, руб</t>
  </si>
  <si>
    <t>Затраты труда всего, чел.-час</t>
  </si>
  <si>
    <t>Среднемесячная заработная плата на 1 работника, руб</t>
  </si>
  <si>
    <t>Семена и посадочный материал, руб</t>
  </si>
  <si>
    <t>Удобрения, руб</t>
  </si>
  <si>
    <t>Содержание основных средств, руб</t>
  </si>
  <si>
    <t>электроэнергия</t>
  </si>
  <si>
    <t>ФОТ с отчислениями, руб</t>
  </si>
  <si>
    <t>Урожайность, цн/га:</t>
  </si>
  <si>
    <t>Средняя заработная плата за 1 чел-час, руб</t>
  </si>
  <si>
    <t xml:space="preserve">Валовый сбор основной продукции (цн):  </t>
  </si>
  <si>
    <t>Урожайность (цн/га):</t>
  </si>
  <si>
    <t>Расход средств защиты растений</t>
  </si>
  <si>
    <t>всего (л)</t>
  </si>
  <si>
    <t>стоимость 1 л (руб)</t>
  </si>
  <si>
    <t>Средства защиты растений, руб</t>
  </si>
  <si>
    <t>стоимость 1 кВт/час (руб)</t>
  </si>
  <si>
    <t>Донгфен, Синтай</t>
  </si>
  <si>
    <t>ремонт изгороди</t>
  </si>
  <si>
    <t xml:space="preserve">Площадь посева (га):           </t>
  </si>
  <si>
    <t>Сорт: Номер первый полярный К-206 или Июньская 3200</t>
  </si>
  <si>
    <t xml:space="preserve">Валовый сбор основной продукции (шт):  </t>
  </si>
  <si>
    <t>Расход удобрений, компонентов (земли, пергноя и опилок)</t>
  </si>
  <si>
    <t>на единицу, (кг/кв.м)</t>
  </si>
  <si>
    <t xml:space="preserve">Площадь рассады (кв.м):           </t>
  </si>
  <si>
    <t>Урожайность (шт/кв.м):</t>
  </si>
  <si>
    <t>всего (кг)</t>
  </si>
  <si>
    <t>на единицу, (л/кв.м)</t>
  </si>
  <si>
    <t>Затраты на 1 кв.м, руб</t>
  </si>
  <si>
    <t>Затраты на 1 тыс.шт.рассады, руб</t>
  </si>
  <si>
    <t>на 1 кв.м</t>
  </si>
  <si>
    <t>на 1 тыс.шт.</t>
  </si>
  <si>
    <t>Сорт: Слава грибовская 231 или отечественный гибрид СБ-з</t>
  </si>
  <si>
    <t xml:space="preserve">Площадь теплицы (кв.м):           </t>
  </si>
  <si>
    <t>пленка (150 мкм)</t>
  </si>
  <si>
    <t>пленка</t>
  </si>
  <si>
    <t>Предшественник: Картофель, кормовые на зеленку</t>
  </si>
  <si>
    <t>Расход рассады</t>
  </si>
  <si>
    <t>на единицу, (тыс.шт/га)</t>
  </si>
  <si>
    <t>всего (тыс.шт)</t>
  </si>
  <si>
    <t>стоимость 1 тыс.шт. (руб)</t>
  </si>
  <si>
    <t>ПЛН-4-35</t>
  </si>
  <si>
    <t>т.р./кв.м.</t>
  </si>
  <si>
    <t>Нормы полива</t>
  </si>
  <si>
    <t>Норма полива воды</t>
  </si>
  <si>
    <t>Рассада капусты ранней белокочанной</t>
  </si>
  <si>
    <t>Рассада капусты среднеспелой белокочанной</t>
  </si>
  <si>
    <t>Капуста ранняя белокочанная</t>
  </si>
  <si>
    <t>Капуста среднеспелая белокочанная</t>
  </si>
  <si>
    <t>Расход пленки</t>
  </si>
  <si>
    <t>всего (кв.м)</t>
  </si>
  <si>
    <t>стоимость 1 кв.м (руб)</t>
  </si>
  <si>
    <t>Рассадопосадочная машина СКН-6А</t>
  </si>
  <si>
    <t>Дожд. установка СНП-50/79</t>
  </si>
  <si>
    <t>Петкус-Селектра К-218</t>
  </si>
  <si>
    <t>2ПТС-4А</t>
  </si>
  <si>
    <t>Прицеп 2ПТС-4А</t>
  </si>
  <si>
    <t>БДН-3</t>
  </si>
  <si>
    <t>Борона БДН-3</t>
  </si>
  <si>
    <t>Плуг навесной ПЛН-4-35</t>
  </si>
  <si>
    <t>Китайский трактор</t>
  </si>
  <si>
    <t>Gushen 2000</t>
  </si>
  <si>
    <t>на единицу, (л/га, кг/га)</t>
  </si>
  <si>
    <t>всего (л. кг)</t>
  </si>
  <si>
    <t>стоимость 1 л, кг (руб)</t>
  </si>
  <si>
    <t xml:space="preserve">Обработка семероном, 0,5 кг/га </t>
  </si>
  <si>
    <t>Опрыскивание раствором лепидоцида</t>
  </si>
  <si>
    <t>Трактористы-машинисты для расчета расценок за продукцию (II группа)</t>
  </si>
  <si>
    <t>Трактористы-машинисты для расчета расценок за продукцию (III группа)</t>
  </si>
  <si>
    <t>Трактористы-машинисты для расчета расценок за продукцию (I группа)</t>
  </si>
  <si>
    <t>Рабочие реммастерских</t>
  </si>
  <si>
    <t>На работах в животноводстве и на ручных работах в растениеводстве для расчета расценок за продукцию</t>
  </si>
  <si>
    <t>чел-дн.</t>
  </si>
  <si>
    <t>на 1 кв.м (руб)</t>
  </si>
  <si>
    <t>Затраты труда на 1 кв.м (чел-час)</t>
  </si>
  <si>
    <t xml:space="preserve">Себестоимость единицы </t>
  </si>
  <si>
    <t>Среднемесячная з/п, руб</t>
  </si>
  <si>
    <t>Всего затрат, т.р.</t>
  </si>
  <si>
    <t>БДП-3,0</t>
  </si>
  <si>
    <t>АПК-4,2</t>
  </si>
  <si>
    <t>ПМТ-0,1</t>
  </si>
  <si>
    <t>КСД-2,0</t>
  </si>
  <si>
    <t>Итого ФОТ с учетом северного и районного коэффициентов (руб)</t>
  </si>
  <si>
    <t>Размер минимальной заработной платы в РС (Я)</t>
  </si>
  <si>
    <t>рублей</t>
  </si>
  <si>
    <t>часов</t>
  </si>
  <si>
    <t xml:space="preserve">Норма рабочего времени в месяц </t>
  </si>
  <si>
    <t>дней</t>
  </si>
  <si>
    <t xml:space="preserve">Количество рабочих дней в месяц </t>
  </si>
  <si>
    <t>тн</t>
  </si>
  <si>
    <t>Внесение минеральных удобрений, фитоспорин в грунт</t>
  </si>
  <si>
    <t>10.04.</t>
  </si>
  <si>
    <t>25.04.</t>
  </si>
  <si>
    <t>в день</t>
  </si>
  <si>
    <t>посева</t>
  </si>
  <si>
    <t>10.05.</t>
  </si>
  <si>
    <t>необх.</t>
  </si>
  <si>
    <t>1.07.</t>
  </si>
  <si>
    <t>15.08.</t>
  </si>
  <si>
    <t>20.09.</t>
  </si>
  <si>
    <t>5.06.</t>
  </si>
  <si>
    <t>15.06.</t>
  </si>
  <si>
    <t>июль</t>
  </si>
  <si>
    <t>август</t>
  </si>
  <si>
    <t>при</t>
  </si>
  <si>
    <t xml:space="preserve">в </t>
  </si>
  <si>
    <t xml:space="preserve">период </t>
  </si>
  <si>
    <t>веге</t>
  </si>
  <si>
    <t>тации</t>
  </si>
  <si>
    <t>1 декада</t>
  </si>
  <si>
    <t>июля</t>
  </si>
  <si>
    <t>2 декада</t>
  </si>
  <si>
    <t>20.07.</t>
  </si>
  <si>
    <t>1.08.</t>
  </si>
  <si>
    <t>май</t>
  </si>
  <si>
    <t>10.06.</t>
  </si>
  <si>
    <t>20.08.</t>
  </si>
  <si>
    <t>с/х техн</t>
  </si>
  <si>
    <t>Т-150К</t>
  </si>
  <si>
    <t>ПБ-36</t>
  </si>
  <si>
    <t>Внесение минеральных удобрений  в грунт</t>
  </si>
  <si>
    <t xml:space="preserve">       Вручную</t>
  </si>
  <si>
    <t>Опрыскивание 2,5 к.э. раствором дециса или 40% к.э. фуфанона</t>
  </si>
  <si>
    <t xml:space="preserve">        ФС-07</t>
  </si>
  <si>
    <t>авг</t>
  </si>
  <si>
    <t>сент</t>
  </si>
  <si>
    <t>март</t>
  </si>
  <si>
    <t>апр</t>
  </si>
  <si>
    <t>Потребность семян, кг на 1 кв.м.</t>
  </si>
  <si>
    <t>Перевозка смеси к теплице</t>
  </si>
  <si>
    <t>Среднее количество часов в день</t>
  </si>
  <si>
    <t>Тарифные разряды по сельскохозяйственным механизированным работам</t>
  </si>
  <si>
    <t>1-ая группа</t>
  </si>
  <si>
    <t>2-ая группа</t>
  </si>
  <si>
    <t>3-я группа</t>
  </si>
  <si>
    <t>Колесные трактора с классом тяги до 1,4 т и мощностью двигателя до 80 л.е.; экскаваторы с емкостью ковша до 0,15 м. куб.</t>
  </si>
  <si>
    <t>Тракторы с классом тяги 4-6 т и мощностью двигателя: а) гусеничные до 100 л.с. б) колесные свыше 80 до 130 л.е.; экскаваторы с емкостью ковша до 0,15 до 0,4 м. куб.</t>
  </si>
  <si>
    <t>Тракторы с классом тяги 4-6 т и мощностью двигателя: а) гусеничные - 100 л.с. и выше; б) колесные — 130 л.с. и выше; экскаваторы с емкостью ковша до 0,4 м. куб. и выше, многоковшовые экскаваторы.</t>
  </si>
  <si>
    <t>Т-25, Т- 30, Т-40 Т-40А, МТЗ -80, МТЗ-82, Т-16, Донфен-304, Синтай- 220 др.</t>
  </si>
  <si>
    <t>ДТ-75 всех модификаций и др.</t>
  </si>
  <si>
    <t>Т-150 К, К-700, MT3-1221 всех модификаций и др.</t>
  </si>
  <si>
    <t>Электроэнергия</t>
  </si>
  <si>
    <t>руб/кВт ч</t>
  </si>
  <si>
    <t>Урожайность продукции растениеводства, цн/га</t>
  </si>
  <si>
    <t>Урожайность цн./га.</t>
  </si>
  <si>
    <t>Овощи</t>
  </si>
  <si>
    <t>рассады</t>
  </si>
  <si>
    <t>Трактор К-700, К-701</t>
  </si>
  <si>
    <t>Комбайн Нива</t>
  </si>
  <si>
    <t>Нива</t>
  </si>
  <si>
    <t>Комбайн "Вектор-410"</t>
  </si>
  <si>
    <t>Вектор</t>
  </si>
  <si>
    <t>Каток кольчото-шпоровый</t>
  </si>
  <si>
    <t>ЗККШ</t>
  </si>
  <si>
    <t xml:space="preserve">Посевная машина </t>
  </si>
  <si>
    <t>Обь-4-ЗТ</t>
  </si>
  <si>
    <t>Норма высева минеральных удобрений, кг/кв.м</t>
  </si>
  <si>
    <t>Норма внесения компонентов (земли, перегноя и опилок), кг/кв.м</t>
  </si>
  <si>
    <t>Норма высева органических удобрений, кг/кв.м</t>
  </si>
  <si>
    <t>Норма расхода пестицида, кг/кв.м</t>
  </si>
  <si>
    <t>Нормы расхода семян, удобрения, пестицида для рассады</t>
  </si>
  <si>
    <t>Нормы расхода семян, удобрения, пестицида для выращивания капусты</t>
  </si>
  <si>
    <t>Капусты ранней белокочанной</t>
  </si>
  <si>
    <t>Капусты среднеспелой белокочанной</t>
  </si>
  <si>
    <t>Норма расхода рассады, тыс.шт./га</t>
  </si>
  <si>
    <t>Норма высева минеральных удобрений, ц/га</t>
  </si>
  <si>
    <t>Норма высева органических удобрений, ц/га</t>
  </si>
  <si>
    <t>Норма расхода пестицида, кг/га</t>
  </si>
  <si>
    <t>Норма расхода пленки на 1 кв.м, кв.м</t>
  </si>
  <si>
    <t>Работа теплогенератора, ч/кв.м</t>
  </si>
  <si>
    <t>руб/кв.м</t>
  </si>
  <si>
    <t xml:space="preserve">Коэффициент перевода нефтепродукты на кг </t>
  </si>
  <si>
    <t>Улусы (районы)</t>
  </si>
  <si>
    <t>кратность</t>
  </si>
  <si>
    <t>Нормы</t>
  </si>
  <si>
    <t>Исходные данные</t>
  </si>
  <si>
    <t>Срок службы, лет</t>
  </si>
  <si>
    <t>Годовая норма амортизационных отчислений, (%)</t>
  </si>
  <si>
    <t>Годовая нормативная загрузка трактора (машины), (ч.)</t>
  </si>
  <si>
    <t>Часовая норма амортизационных отчислений (в руб.)</t>
  </si>
  <si>
    <t>Балансовая стоимость, (руб.)*</t>
  </si>
  <si>
    <t xml:space="preserve">гигант </t>
  </si>
  <si>
    <t>Часовая норма амортизационных отчислений</t>
  </si>
  <si>
    <t>Перечень таблиц типовой (примерной) технологической карты по выращиванию капусты</t>
  </si>
  <si>
    <t>2. ИСХОДНЫЕ ДАННЫЕ</t>
  </si>
  <si>
    <t>3. Расчет амортизации основных средств</t>
  </si>
  <si>
    <t>4. Основные показатели технологических карт по выращиванию капусты</t>
  </si>
  <si>
    <t>Основные показатели технологических карт по выращиванию капусты</t>
  </si>
  <si>
    <t>Отпускная цена смазочных материалов на 1 ц, руб.</t>
  </si>
  <si>
    <t>Виды смазочных материалов</t>
  </si>
  <si>
    <t>Цена за 1 ц</t>
  </si>
  <si>
    <t>Моторные масла (дизельное масло)</t>
  </si>
  <si>
    <t>Трансмиссионные масла (автол)</t>
  </si>
  <si>
    <t>Индустриальные масла (солидол)</t>
  </si>
  <si>
    <t xml:space="preserve">Средняя стоимость 1 литра ДТ </t>
  </si>
  <si>
    <t xml:space="preserve"> ДТЗ (зима)</t>
  </si>
  <si>
    <t xml:space="preserve"> ДТЛ (лето)</t>
  </si>
  <si>
    <t>Амгинский, Нижний Бестях, Вилюйский</t>
  </si>
  <si>
    <t>Расчет комплексной (укрупненной) цены 1 ц основного горючего (дизельного топлива) для тракторов</t>
  </si>
  <si>
    <t>ДТ-75М</t>
  </si>
  <si>
    <t>К-700, К-701</t>
  </si>
  <si>
    <t>Т-150, МТЗ-1221</t>
  </si>
  <si>
    <t>Т-150 К</t>
  </si>
  <si>
    <t>МТЗ-80, МТЗ-82</t>
  </si>
  <si>
    <t>Т-40</t>
  </si>
  <si>
    <t>Т-25</t>
  </si>
  <si>
    <t>Нормы расхода смазочных масел в расчете на 1 ц основного горючего, кг.</t>
  </si>
  <si>
    <t>Расход смазочных масел на 1 ц основного горючего, руб.</t>
  </si>
  <si>
    <t>Всего, руб.</t>
  </si>
  <si>
    <t>Зима</t>
  </si>
  <si>
    <t>Лето</t>
  </si>
  <si>
    <t>Расчет примерных нормативов затрат денежных средств на техническое обслуживание, ремонт и хранение тракторов на 1 условный эталонный гектар, в рублях (2020)</t>
  </si>
  <si>
    <t>К-700, К-701, МТЗ-1221, Т-150</t>
  </si>
  <si>
    <t>Ремонт</t>
  </si>
  <si>
    <t>из них</t>
  </si>
  <si>
    <t>запчасти</t>
  </si>
  <si>
    <t>оплата труда с отчислениями</t>
  </si>
  <si>
    <t>прочие</t>
  </si>
  <si>
    <t>Техническое обслуживание</t>
  </si>
  <si>
    <t>материалы</t>
  </si>
  <si>
    <t>Замена шин</t>
  </si>
  <si>
    <t>Эталонная выработка тракторов за смену</t>
  </si>
  <si>
    <t>Эталонная выработка за 7 часовую смену, усл. эт. га.</t>
  </si>
  <si>
    <t>Гусеничные:</t>
  </si>
  <si>
    <t>ДТ-75 выпуска после 1972 г.</t>
  </si>
  <si>
    <t>Колесные:</t>
  </si>
  <si>
    <t>Т-25, Т-30</t>
  </si>
  <si>
    <t>МТЗ-80</t>
  </si>
  <si>
    <t>Донфен-304</t>
  </si>
  <si>
    <t>Синтай- 220</t>
  </si>
  <si>
    <t>Зерноуборочные комбайны</t>
  </si>
  <si>
    <t>Поправочные коэффициенты к годовой наработке в зависимости от срока службы техники</t>
  </si>
  <si>
    <t>Поправочные коэффициенты по сроку службы, год</t>
  </si>
  <si>
    <t>Срок службы, год</t>
  </si>
  <si>
    <t>Тракторы:</t>
  </si>
  <si>
    <t>К-700.</t>
  </si>
  <si>
    <t>Т-150К, МТЗ-80, МТЗ-82, МТЗ-1221.</t>
  </si>
  <si>
    <t>1Д</t>
  </si>
  <si>
    <t>Т-150К, ДТ-75 выпуска после 1972 г.</t>
  </si>
  <si>
    <t xml:space="preserve">Коэффициенты дифференцирования затрат на техническое обслуживание ремонт и хранение тракторов, комбайнов.
</t>
  </si>
  <si>
    <t>Год эксплуатации</t>
  </si>
  <si>
    <t>«Дон- 1500»</t>
  </si>
  <si>
    <t>СКД-6 «Енисей»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</si>
  <si>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</si>
  <si>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</si>
  <si>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</si>
  <si>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</si>
  <si>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</si>
  <si>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</si>
  <si>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</si>
  <si>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</si>
  <si>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</si>
  <si>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</si>
  <si>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-</t>
  </si>
  <si>
    <t>11-й</t>
  </si>
  <si>
    <t>12-й</t>
  </si>
  <si>
    <t>Основные показатели для расчета оплаты труда в 2022 году</t>
  </si>
  <si>
    <t>Размер минимальной заработной платы в РС (Я) без районного коэффициента и северной надбавки с 01.01.2023г.</t>
  </si>
  <si>
    <t>Норма рабочего времени в 2023г. (40-час. раб.нед.)</t>
  </si>
  <si>
    <t>Количество рабочих дней в году (без выходных и праздников) на 2023 год</t>
  </si>
  <si>
    <t>Отпускная цена дизельного топлива за 1 кг, руб. на 01.12.2022</t>
  </si>
  <si>
    <t>Комплексная (укрупненная) цена топлива на 2022 год на 1 ц, руб.</t>
  </si>
  <si>
    <t xml:space="preserve">6. РАСЧЕТ СЕБЕСТОИМОСТИ ПРОДУКЦИИ РАСТЕНИЕВОДСТВА </t>
  </si>
  <si>
    <t>8. Расчет себестоимости выращивания рассады среднеспелой белокочанной капусты</t>
  </si>
  <si>
    <t>10. Расчет себестоимости выращивания ранней белокочанной капусты</t>
  </si>
  <si>
    <t>12. Расчет себестоимости выращивания среднеспелой белокочанной капусты</t>
  </si>
  <si>
    <t>Технологическая карта по выращиванию рассады ранней белокочанной капусты</t>
  </si>
  <si>
    <t>Расчет себестоимости выращивания рассады ранней белокочанной капусты</t>
  </si>
  <si>
    <t>Технологическая карта по выращиванию рассады среднеспелой белокочанной капусты</t>
  </si>
  <si>
    <t>Расчет себестоимости выращивания рассады среднеспелой белокочанной капусты</t>
  </si>
  <si>
    <t>Технологическая карта по выращиванию ранней белокочанной капусты</t>
  </si>
  <si>
    <t>Расчет себестоимости выращивания ранней белокочанной капусты</t>
  </si>
  <si>
    <t>Технологическая карта по выращиванию среднеспелой белокочанной капусты</t>
  </si>
  <si>
    <t>Расчет себестоимости выращивания среднеспелой белокочанной капусты</t>
  </si>
  <si>
    <t>5.ТЕХНОЛОГИЧЕСКАЯ КАРТА по производству продукции растениеводства</t>
  </si>
  <si>
    <t>7. ТЕХНОЛОГИЧЕСКАЯ КАРТА</t>
  </si>
  <si>
    <t>9. ТЕХНОЛОГИЧЕСКАЯ КАРТА</t>
  </si>
  <si>
    <t>11. ТЕХНОЛОГИЧЕСКАЯ КАРТА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</si>
</sst>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0_ ;[Red]\-#,##0.00\ "/>
    <numFmt numFmtId="174" formatCode="0.0"/>
    <numFmt numFmtId="175" formatCode="#,##0.0_ ;[Red]\-#,##0.0\ "/>
    <numFmt numFmtId="176" formatCode="#,##0_ ;\-#,##0\ "/>
    <numFmt numFmtId="177" formatCode="#,##0.000_ ;[Red]\-#,##0.000\ "/>
    <numFmt numFmtId="178" formatCode="0.000"/>
    <numFmt numFmtId="179" formatCode="_-* #,##0_р_._-;\-* #,##0_р_._-;_-* &quot;-&quot;??_р_._-;_-@_-"/>
    <numFmt numFmtId="180" formatCode="#,##0.000"/>
    <numFmt numFmtId="181" formatCode="0.0%"/>
    <numFmt numFmtId="182" formatCode="#,##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000"/>
    <numFmt numFmtId="192" formatCode="0.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0_ ;[Red]\-#,##0.0000\ "/>
    <numFmt numFmtId="200" formatCode="mmm/yyyy"/>
    <numFmt numFmtId="201" formatCode="#,##0.0000"/>
    <numFmt numFmtId="202" formatCode="#,##0.00000_ ;[Red]\-#,##0.00000\ "/>
    <numFmt numFmtId="203" formatCode="#,##0.000000_ ;[Red]\-#,##0.000000\ "/>
    <numFmt numFmtId="204" formatCode="[$-FC19]d\ mmmm\ yyyy\ &quot;г.&quot;"/>
    <numFmt numFmtId="205" formatCode="0.00000000"/>
    <numFmt numFmtId="206" formatCode="[$-419]d\ mmm;@"/>
    <numFmt numFmtId="207" formatCode="0.000000000"/>
    <numFmt numFmtId="208" formatCode="#,##0.00_ ;\-#,##0.00\ "/>
    <numFmt numFmtId="209" formatCode="#,##0.0_ ;\-#,##0.0\ 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sz val="12"/>
      <color indexed="9"/>
      <name val="Times New Roman"/>
      <family val="1"/>
    </font>
    <font>
      <sz val="8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2"/>
      <color theme="1"/>
      <name val="Times New Roman"/>
      <family val="1"/>
    </font>
    <font>
      <u val="single"/>
      <sz val="10"/>
      <color theme="10"/>
      <name val="Arial Cyr"/>
      <family val="0"/>
    </font>
    <font>
      <sz val="12"/>
      <color theme="0"/>
      <name val="Times New Roman"/>
      <family val="1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2" fontId="2" fillId="0" borderId="0" xfId="0" applyNumberFormat="1" applyFont="1" applyFill="1" applyAlignment="1" applyProtection="1">
      <alignment vertical="center"/>
      <protection locked="0"/>
    </xf>
    <xf numFmtId="173" fontId="2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72" fontId="3" fillId="0" borderId="0" xfId="0" applyNumberFormat="1" applyFont="1" applyFill="1" applyAlignment="1" applyProtection="1">
      <alignment vertical="center"/>
      <protection locked="0"/>
    </xf>
    <xf numFmtId="172" fontId="3" fillId="0" borderId="0" xfId="0" applyNumberFormat="1" applyFont="1" applyFill="1" applyAlignment="1" applyProtection="1">
      <alignment horizontal="center" vertical="center"/>
      <protection locked="0"/>
    </xf>
    <xf numFmtId="173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2" fontId="4" fillId="0" borderId="0" xfId="0" applyNumberFormat="1" applyFont="1" applyFill="1" applyAlignment="1" applyProtection="1">
      <alignment vertical="center"/>
      <protection locked="0"/>
    </xf>
    <xf numFmtId="17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172" fontId="3" fillId="0" borderId="10" xfId="0" applyNumberFormat="1" applyFont="1" applyFill="1" applyBorder="1" applyAlignment="1" applyProtection="1">
      <alignment vertical="center"/>
      <protection locked="0"/>
    </xf>
    <xf numFmtId="17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176" fontId="4" fillId="0" borderId="10" xfId="63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/>
    </xf>
    <xf numFmtId="172" fontId="4" fillId="0" borderId="10" xfId="0" applyNumberFormat="1" applyFont="1" applyFill="1" applyBorder="1" applyAlignment="1" applyProtection="1">
      <alignment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vertical="center"/>
      <protection/>
    </xf>
    <xf numFmtId="174" fontId="4" fillId="0" borderId="10" xfId="0" applyNumberFormat="1" applyFont="1" applyFill="1" applyBorder="1" applyAlignment="1" applyProtection="1">
      <alignment vertical="center"/>
      <protection locked="0"/>
    </xf>
    <xf numFmtId="17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173" fontId="3" fillId="0" borderId="10" xfId="0" applyNumberFormat="1" applyFont="1" applyFill="1" applyBorder="1" applyAlignment="1" applyProtection="1">
      <alignment vertical="center"/>
      <protection locked="0"/>
    </xf>
    <xf numFmtId="172" fontId="3" fillId="0" borderId="1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 wrapText="1"/>
      <protection locked="0"/>
    </xf>
    <xf numFmtId="176" fontId="4" fillId="34" borderId="10" xfId="63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2" fontId="4" fillId="35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12" fillId="0" borderId="10" xfId="0" applyNumberFormat="1" applyFont="1" applyBorder="1" applyAlignment="1">
      <alignment horizontal="left" vertical="center" wrapText="1"/>
    </xf>
    <xf numFmtId="174" fontId="4" fillId="0" borderId="0" xfId="0" applyNumberFormat="1" applyFont="1" applyFill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173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82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10" xfId="63" applyNumberFormat="1" applyFont="1" applyFill="1" applyBorder="1" applyAlignment="1">
      <alignment vertical="center" wrapText="1"/>
    </xf>
    <xf numFmtId="176" fontId="4" fillId="0" borderId="10" xfId="63" applyNumberFormat="1" applyFont="1" applyFill="1" applyBorder="1" applyAlignment="1">
      <alignment vertical="center"/>
    </xf>
    <xf numFmtId="176" fontId="4" fillId="0" borderId="10" xfId="63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13" fillId="0" borderId="0" xfId="0" applyNumberFormat="1" applyFont="1" applyFill="1" applyAlignment="1" applyProtection="1">
      <alignment vertical="center"/>
      <protection locked="0"/>
    </xf>
    <xf numFmtId="173" fontId="13" fillId="0" borderId="0" xfId="0" applyNumberFormat="1" applyFont="1" applyFill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left" indent="2"/>
    </xf>
    <xf numFmtId="0" fontId="13" fillId="0" borderId="10" xfId="0" applyFont="1" applyFill="1" applyBorder="1" applyAlignment="1">
      <alignment horizontal="left" indent="2"/>
    </xf>
    <xf numFmtId="0" fontId="13" fillId="0" borderId="10" xfId="0" applyFont="1" applyFill="1" applyBorder="1" applyAlignment="1" applyProtection="1">
      <alignment horizontal="left" vertical="center" wrapText="1" indent="2"/>
      <protection locked="0"/>
    </xf>
    <xf numFmtId="182" fontId="2" fillId="0" borderId="10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201" fontId="4" fillId="0" borderId="1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172" fontId="3" fillId="35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174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175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 locked="0"/>
    </xf>
    <xf numFmtId="172" fontId="4" fillId="35" borderId="10" xfId="0" applyNumberFormat="1" applyFont="1" applyFill="1" applyBorder="1" applyAlignment="1" applyProtection="1">
      <alignment horizontal="right" vertical="center"/>
      <protection/>
    </xf>
    <xf numFmtId="174" fontId="4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right" vertical="center"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17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73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172" fontId="4" fillId="0" borderId="10" xfId="0" applyNumberFormat="1" applyFont="1" applyFill="1" applyBorder="1" applyAlignment="1" applyProtection="1">
      <alignment vertical="center"/>
      <protection hidden="1"/>
    </xf>
    <xf numFmtId="175" fontId="4" fillId="0" borderId="10" xfId="0" applyNumberFormat="1" applyFont="1" applyFill="1" applyBorder="1" applyAlignment="1" applyProtection="1">
      <alignment vertical="center"/>
      <protection hidden="1"/>
    </xf>
    <xf numFmtId="4" fontId="4" fillId="0" borderId="10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right" vertical="center"/>
      <protection hidden="1"/>
    </xf>
    <xf numFmtId="175" fontId="4" fillId="0" borderId="10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201" fontId="4" fillId="0" borderId="10" xfId="0" applyNumberFormat="1" applyFont="1" applyFill="1" applyBorder="1" applyAlignment="1" applyProtection="1">
      <alignment horizontal="right" vertical="center"/>
      <protection locked="0"/>
    </xf>
    <xf numFmtId="175" fontId="3" fillId="35" borderId="10" xfId="0" applyNumberFormat="1" applyFont="1" applyFill="1" applyBorder="1" applyAlignment="1" applyProtection="1">
      <alignment vertical="center"/>
      <protection/>
    </xf>
    <xf numFmtId="173" fontId="3" fillId="35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3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13" fillId="36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Fill="1" applyAlignment="1" applyProtection="1">
      <alignment vertical="center"/>
      <protection locked="0"/>
    </xf>
    <xf numFmtId="0" fontId="9" fillId="0" borderId="0" xfId="42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175" fontId="3" fillId="0" borderId="10" xfId="0" applyNumberFormat="1" applyFont="1" applyFill="1" applyBorder="1" applyAlignment="1" applyProtection="1">
      <alignment vertical="center"/>
      <protection/>
    </xf>
    <xf numFmtId="172" fontId="3" fillId="12" borderId="10" xfId="0" applyNumberFormat="1" applyFont="1" applyFill="1" applyBorder="1" applyAlignment="1" applyProtection="1">
      <alignment vertical="center"/>
      <protection/>
    </xf>
    <xf numFmtId="1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 locked="0"/>
    </xf>
    <xf numFmtId="176" fontId="4" fillId="0" borderId="13" xfId="63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72" fontId="61" fillId="36" borderId="10" xfId="0" applyNumberFormat="1" applyFont="1" applyFill="1" applyBorder="1" applyAlignment="1" applyProtection="1">
      <alignment vertical="center"/>
      <protection/>
    </xf>
    <xf numFmtId="172" fontId="61" fillId="35" borderId="10" xfId="0" applyNumberFormat="1" applyFont="1" applyFill="1" applyBorder="1" applyAlignment="1" applyProtection="1">
      <alignment vertical="center"/>
      <protection/>
    </xf>
    <xf numFmtId="16" fontId="4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horizontal="left" wrapText="1"/>
    </xf>
    <xf numFmtId="0" fontId="12" fillId="0" borderId="10" xfId="55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178" fontId="12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horizontal="left" vertical="center"/>
    </xf>
    <xf numFmtId="43" fontId="12" fillId="0" borderId="10" xfId="63" applyFont="1" applyBorder="1" applyAlignment="1">
      <alignment horizontal="center" wrapText="1"/>
    </xf>
    <xf numFmtId="43" fontId="12" fillId="0" borderId="10" xfId="63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76" fontId="4" fillId="0" borderId="10" xfId="63" applyNumberFormat="1" applyFont="1" applyFill="1" applyBorder="1" applyAlignment="1">
      <alignment horizontal="left" vertical="center" wrapText="1"/>
    </xf>
    <xf numFmtId="176" fontId="4" fillId="0" borderId="10" xfId="63" applyNumberFormat="1" applyFont="1" applyFill="1" applyBorder="1" applyAlignment="1">
      <alignment horizontal="left" vertical="center"/>
    </xf>
    <xf numFmtId="43" fontId="4" fillId="37" borderId="10" xfId="63" applyFont="1" applyFill="1" applyBorder="1" applyAlignment="1">
      <alignment horizontal="center" vertical="center" wrapText="1"/>
    </xf>
    <xf numFmtId="176" fontId="4" fillId="37" borderId="10" xfId="63" applyNumberFormat="1" applyFont="1" applyFill="1" applyBorder="1" applyAlignment="1">
      <alignment vertical="center"/>
    </xf>
    <xf numFmtId="208" fontId="4" fillId="37" borderId="10" xfId="63" applyNumberFormat="1" applyFont="1" applyFill="1" applyBorder="1" applyAlignment="1">
      <alignment vertical="center"/>
    </xf>
    <xf numFmtId="0" fontId="4" fillId="37" borderId="0" xfId="0" applyFont="1" applyFill="1" applyAlignment="1">
      <alignment vertical="center"/>
    </xf>
    <xf numFmtId="0" fontId="63" fillId="37" borderId="0" xfId="42" applyFont="1" applyFill="1" applyAlignment="1" applyProtection="1">
      <alignment vertical="center"/>
      <protection/>
    </xf>
    <xf numFmtId="176" fontId="4" fillId="37" borderId="10" xfId="63" applyNumberFormat="1" applyFont="1" applyFill="1" applyBorder="1" applyAlignment="1">
      <alignment vertical="center" wrapText="1"/>
    </xf>
    <xf numFmtId="173" fontId="4" fillId="37" borderId="10" xfId="63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3" fontId="4" fillId="0" borderId="10" xfId="63" applyFont="1" applyBorder="1" applyAlignment="1">
      <alignment horizontal="center" vertical="center" wrapText="1"/>
    </xf>
    <xf numFmtId="173" fontId="4" fillId="37" borderId="0" xfId="0" applyNumberFormat="1" applyFont="1" applyFill="1" applyAlignment="1">
      <alignment vertical="center"/>
    </xf>
    <xf numFmtId="182" fontId="4" fillId="37" borderId="0" xfId="0" applyNumberFormat="1" applyFont="1" applyFill="1" applyAlignment="1">
      <alignment vertical="center"/>
    </xf>
    <xf numFmtId="0" fontId="5" fillId="37" borderId="0" xfId="0" applyFont="1" applyFill="1" applyAlignment="1">
      <alignment horizontal="center" vertical="center"/>
    </xf>
    <xf numFmtId="182" fontId="4" fillId="37" borderId="10" xfId="63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 applyProtection="1">
      <alignment vertical="center" wrapText="1"/>
      <protection locked="0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53" applyFont="1" applyFill="1" applyBorder="1" applyAlignment="1">
      <alignment horizontal="justify" vertical="top" wrapText="1"/>
      <protection/>
    </xf>
    <xf numFmtId="0" fontId="12" fillId="0" borderId="0" xfId="53" applyFont="1">
      <alignment/>
      <protection/>
    </xf>
    <xf numFmtId="0" fontId="63" fillId="0" borderId="0" xfId="42" applyFont="1" applyAlignment="1" applyProtection="1">
      <alignment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82" fontId="65" fillId="37" borderId="10" xfId="63" applyNumberFormat="1" applyFont="1" applyFill="1" applyBorder="1" applyAlignment="1">
      <alignment horizontal="center" vertical="center"/>
    </xf>
    <xf numFmtId="209" fontId="4" fillId="37" borderId="10" xfId="63" applyNumberFormat="1" applyFont="1" applyFill="1" applyBorder="1" applyAlignment="1">
      <alignment vertical="center"/>
    </xf>
    <xf numFmtId="172" fontId="4" fillId="0" borderId="10" xfId="63" applyNumberFormat="1" applyFont="1" applyFill="1" applyBorder="1" applyAlignment="1">
      <alignment vertical="center"/>
    </xf>
    <xf numFmtId="176" fontId="4" fillId="35" borderId="10" xfId="63" applyNumberFormat="1" applyFont="1" applyFill="1" applyBorder="1" applyAlignment="1">
      <alignment vertical="center"/>
    </xf>
    <xf numFmtId="176" fontId="65" fillId="37" borderId="10" xfId="63" applyNumberFormat="1" applyFont="1" applyFill="1" applyBorder="1" applyAlignment="1">
      <alignment vertical="center"/>
    </xf>
    <xf numFmtId="176" fontId="65" fillId="0" borderId="10" xfId="63" applyNumberFormat="1" applyFont="1" applyFill="1" applyBorder="1" applyAlignment="1">
      <alignment vertical="center"/>
    </xf>
    <xf numFmtId="172" fontId="65" fillId="0" borderId="10" xfId="63" applyNumberFormat="1" applyFont="1" applyFill="1" applyBorder="1" applyAlignment="1">
      <alignment vertical="center"/>
    </xf>
    <xf numFmtId="173" fontId="65" fillId="37" borderId="10" xfId="63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177" fontId="3" fillId="36" borderId="10" xfId="0" applyNumberFormat="1" applyFont="1" applyFill="1" applyBorder="1" applyAlignment="1">
      <alignment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12" fillId="0" borderId="0" xfId="53" applyNumberFormat="1" applyFont="1" applyFill="1" applyBorder="1">
      <alignment/>
      <protection/>
    </xf>
    <xf numFmtId="0" fontId="20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1" fontId="19" fillId="0" borderId="10" xfId="53" applyNumberFormat="1" applyFont="1" applyBorder="1" applyAlignment="1">
      <alignment horizontal="center" vertical="top" wrapText="1"/>
      <protection/>
    </xf>
    <xf numFmtId="0" fontId="19" fillId="0" borderId="10" xfId="0" applyFont="1" applyBorder="1" applyAlignment="1">
      <alignment vertical="center" wrapText="1"/>
    </xf>
    <xf numFmtId="1" fontId="19" fillId="0" borderId="10" xfId="53" applyNumberFormat="1" applyFont="1" applyBorder="1" applyAlignment="1">
      <alignment horizontal="center"/>
      <protection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43" fontId="67" fillId="0" borderId="0" xfId="63" applyFont="1" applyBorder="1" applyAlignment="1">
      <alignment horizontal="center" vertical="center" wrapText="1"/>
    </xf>
    <xf numFmtId="0" fontId="19" fillId="0" borderId="16" xfId="53" applyFont="1" applyBorder="1" applyAlignment="1">
      <alignment vertical="center" wrapText="1"/>
      <protection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74" fontId="19" fillId="0" borderId="10" xfId="0" applyNumberFormat="1" applyFont="1" applyBorder="1" applyAlignment="1">
      <alignment horizontal="center" vertical="center" wrapText="1"/>
    </xf>
    <xf numFmtId="0" fontId="20" fillId="0" borderId="14" xfId="53" applyFont="1" applyFill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53" applyFont="1" applyBorder="1" applyAlignment="1">
      <alignment vertical="center" wrapText="1"/>
      <protection/>
    </xf>
    <xf numFmtId="174" fontId="20" fillId="0" borderId="10" xfId="0" applyNumberFormat="1" applyFont="1" applyBorder="1" applyAlignment="1">
      <alignment horizontal="center" vertical="center" wrapText="1"/>
    </xf>
    <xf numFmtId="0" fontId="19" fillId="0" borderId="10" xfId="53" applyFont="1" applyBorder="1" applyAlignment="1">
      <alignment horizontal="right"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0" fillId="0" borderId="16" xfId="53" applyFont="1" applyBorder="1" applyAlignment="1">
      <alignment vertical="center" wrapText="1"/>
      <protection/>
    </xf>
    <xf numFmtId="0" fontId="20" fillId="0" borderId="17" xfId="0" applyFont="1" applyBorder="1" applyAlignment="1">
      <alignment vertical="center" wrapText="1"/>
    </xf>
    <xf numFmtId="0" fontId="20" fillId="0" borderId="14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174" fontId="20" fillId="0" borderId="0" xfId="0" applyNumberFormat="1" applyFont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19" fillId="38" borderId="0" xfId="0" applyFont="1" applyFill="1" applyBorder="1" applyAlignment="1">
      <alignment horizontal="left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38" borderId="10" xfId="0" applyFont="1" applyFill="1" applyBorder="1" applyAlignment="1">
      <alignment horizontal="center" vertical="center" wrapText="1"/>
    </xf>
    <xf numFmtId="43" fontId="11" fillId="0" borderId="10" xfId="63" applyFont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9" fillId="38" borderId="10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173" fontId="4" fillId="37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72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72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72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7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63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76" fontId="4" fillId="0" borderId="14" xfId="63" applyNumberFormat="1" applyFont="1" applyFill="1" applyBorder="1" applyAlignment="1" applyProtection="1">
      <alignment horizontal="center" vertical="center"/>
      <protection locked="0"/>
    </xf>
    <xf numFmtId="176" fontId="4" fillId="0" borderId="13" xfId="63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3" xfId="53"/>
    <cellStyle name="Обычный 3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6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44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44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44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4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ill>
        <patternFill>
          <bgColor indexed="27"/>
        </patternFill>
      </fill>
    </dxf>
    <dxf>
      <font>
        <color rgb="FFFFFFFF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auto="1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3209925</xdr:colOff>
      <xdr:row>9</xdr:row>
      <xdr:rowOff>323850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09925" y="1828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view="pageBreakPreview" zoomScale="90" zoomScaleSheetLayoutView="90" workbookViewId="0" topLeftCell="A1">
      <selection activeCell="N15" sqref="N15"/>
    </sheetView>
  </sheetViews>
  <sheetFormatPr defaultColWidth="9.00390625" defaultRowHeight="12.75"/>
  <cols>
    <col min="1" max="1" width="4.875" style="277" customWidth="1"/>
    <col min="2" max="2" width="98.25390625" style="70" customWidth="1"/>
    <col min="3" max="16384" width="9.125" style="70" customWidth="1"/>
  </cols>
  <sheetData>
    <row r="1" ht="15.75">
      <c r="B1" s="227" t="s">
        <v>573</v>
      </c>
    </row>
    <row r="2" spans="1:2" ht="15.75">
      <c r="A2" s="277">
        <v>1</v>
      </c>
      <c r="B2" s="202" t="s">
        <v>564</v>
      </c>
    </row>
    <row r="3" spans="1:2" ht="15.75">
      <c r="A3" s="277">
        <v>2</v>
      </c>
      <c r="B3" s="202" t="s">
        <v>565</v>
      </c>
    </row>
    <row r="4" spans="1:2" ht="15.75">
      <c r="A4" s="277">
        <v>3</v>
      </c>
      <c r="B4" s="202" t="s">
        <v>242</v>
      </c>
    </row>
    <row r="5" spans="1:2" ht="15.75">
      <c r="A5" s="277">
        <v>4</v>
      </c>
      <c r="B5" s="202" t="s">
        <v>577</v>
      </c>
    </row>
    <row r="6" spans="1:2" ht="15.75">
      <c r="A6" s="277">
        <v>5</v>
      </c>
      <c r="B6" s="202" t="s">
        <v>656</v>
      </c>
    </row>
    <row r="7" spans="1:2" ht="15.75">
      <c r="A7" s="277">
        <v>6</v>
      </c>
      <c r="B7" s="202" t="s">
        <v>657</v>
      </c>
    </row>
    <row r="8" spans="1:2" ht="15" customHeight="1">
      <c r="A8" s="277">
        <v>7</v>
      </c>
      <c r="B8" s="202" t="s">
        <v>658</v>
      </c>
    </row>
    <row r="9" spans="1:2" ht="15.75">
      <c r="A9" s="277">
        <v>8</v>
      </c>
      <c r="B9" s="202" t="s">
        <v>659</v>
      </c>
    </row>
    <row r="10" spans="1:2" ht="15.75">
      <c r="A10" s="277">
        <v>9</v>
      </c>
      <c r="B10" s="202" t="s">
        <v>660</v>
      </c>
    </row>
    <row r="11" spans="1:2" ht="15.75">
      <c r="A11" s="277">
        <v>10</v>
      </c>
      <c r="B11" s="202" t="s">
        <v>661</v>
      </c>
    </row>
    <row r="12" spans="1:2" ht="15.75">
      <c r="A12" s="277">
        <v>11</v>
      </c>
      <c r="B12" s="202" t="s">
        <v>662</v>
      </c>
    </row>
    <row r="13" spans="1:2" ht="15.75">
      <c r="A13" s="277">
        <v>12</v>
      </c>
      <c r="B13" s="202" t="s">
        <v>663</v>
      </c>
    </row>
    <row r="21" ht="12.75">
      <c r="A21" s="278"/>
    </row>
    <row r="22" spans="1:2" ht="12.75">
      <c r="A22" s="278"/>
      <c r="B22" s="273"/>
    </row>
  </sheetData>
  <sheetProtection/>
  <hyperlinks>
    <hyperlink ref="B2" location="Нормы!A1" display="Нормы"/>
    <hyperlink ref="B3" location="Исх.данные!A1" display="Исходные данные"/>
    <hyperlink ref="B4" location="аморт!A1" display="Расчет амортизации основных средств"/>
    <hyperlink ref="B5" location="'свод затрат'!A1" display="Основные показатели технологических карт по производству капусты"/>
    <hyperlink ref="B6" location="'О-РР'!A1" display="Нормативно-технологическая карта по выращиванию рассады ранней белокочанной капусты"/>
    <hyperlink ref="B7" location="'О-РРсеб'!A1" display="Себестоимость выращивания рассады ранней белокочанной капусты"/>
    <hyperlink ref="B8" location="'О-РС'!A1" display="Нормативно-технологическая карта по выращиванию рассады среднеспелой белокочанной капусты"/>
    <hyperlink ref="B9" location="'О-РСсеб'!A1" display="Себестоимость выращивания рассады среднеспелой белокочанной капусты"/>
    <hyperlink ref="B10" location="'О-КР'!A1" display="Нормативно-технологическая карта по выращиванию ранней белокочанной капусты"/>
    <hyperlink ref="B11" location="'О-КРсеб'!A1" display="Себестоимость выращивания ранней белокочанной капусты"/>
    <hyperlink ref="B12" location="'О-КС'!A1" display="Нормативно-технологическая карта по выращиванию среднеспелой белокочанной капусты"/>
    <hyperlink ref="B13" location="'О-КСсеб'!A1" display="Себестоимость выращивания среднеспелой белокочанной капусты"/>
  </hyperlink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BU77"/>
  <sheetViews>
    <sheetView view="pageBreakPreview" zoomScale="80" zoomScaleSheetLayoutView="80" zoomScalePageLayoutView="0" workbookViewId="0" topLeftCell="A1">
      <pane xSplit="5" ySplit="16" topLeftCell="BT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B2" sqref="B2"/>
    </sheetView>
  </sheetViews>
  <sheetFormatPr defaultColWidth="9.00390625" defaultRowHeight="12.75"/>
  <cols>
    <col min="1" max="1" width="3.875" style="15" customWidth="1"/>
    <col min="2" max="2" width="28.75390625" style="13" customWidth="1"/>
    <col min="3" max="3" width="5.375" style="13" customWidth="1"/>
    <col min="4" max="4" width="7.25390625" style="13" customWidth="1"/>
    <col min="5" max="5" width="8.125" style="13" customWidth="1"/>
    <col min="6" max="6" width="6.875" style="15" customWidth="1"/>
    <col min="7" max="7" width="6.125" style="13" customWidth="1"/>
    <col min="8" max="8" width="7.375" style="13" customWidth="1"/>
    <col min="9" max="9" width="6.125" style="13" customWidth="1"/>
    <col min="10" max="10" width="8.00390625" style="13" customWidth="1"/>
    <col min="11" max="11" width="8.375" style="13" customWidth="1"/>
    <col min="12" max="16" width="6.125" style="13" customWidth="1"/>
    <col min="17" max="17" width="6.125" style="18" customWidth="1"/>
    <col min="18" max="21" width="6.125" style="13" customWidth="1"/>
    <col min="22" max="22" width="9.125" style="13" customWidth="1"/>
    <col min="23" max="23" width="6.125" style="13" customWidth="1"/>
    <col min="24" max="24" width="8.875" style="13" customWidth="1"/>
    <col min="25" max="27" width="6.125" style="13" customWidth="1"/>
    <col min="28" max="29" width="8.125" style="13" customWidth="1"/>
    <col min="30" max="30" width="8.00390625" style="13" customWidth="1"/>
    <col min="31" max="31" width="7.125" style="13" customWidth="1"/>
    <col min="32" max="32" width="6.00390625" style="13" customWidth="1"/>
    <col min="33" max="33" width="7.75390625" style="13" customWidth="1"/>
    <col min="34" max="35" width="8.25390625" style="13" customWidth="1"/>
    <col min="36" max="36" width="6.125" style="13" customWidth="1"/>
    <col min="37" max="37" width="8.25390625" style="13" customWidth="1"/>
    <col min="38" max="38" width="8.375" style="13" customWidth="1"/>
    <col min="39" max="39" width="8.25390625" style="13" customWidth="1"/>
    <col min="40" max="41" width="6.125" style="13" customWidth="1"/>
    <col min="42" max="42" width="7.25390625" style="16" customWidth="1"/>
    <col min="43" max="44" width="8.75390625" style="45" customWidth="1"/>
    <col min="45" max="45" width="9.625" style="16" customWidth="1"/>
    <col min="46" max="46" width="6.625" style="13" customWidth="1"/>
    <col min="47" max="47" width="6.125" style="16" customWidth="1"/>
    <col min="48" max="48" width="7.25390625" style="16" customWidth="1"/>
    <col min="49" max="49" width="8.875" style="16" customWidth="1"/>
    <col min="50" max="50" width="4.75390625" style="16" customWidth="1"/>
    <col min="51" max="51" width="5.875" style="16" customWidth="1"/>
    <col min="52" max="52" width="6.375" style="16" customWidth="1"/>
    <col min="53" max="53" width="8.375" style="16" customWidth="1"/>
    <col min="54" max="54" width="6.375" style="16" customWidth="1"/>
    <col min="55" max="55" width="6.125" style="16" customWidth="1"/>
    <col min="56" max="56" width="6.00390625" style="16" customWidth="1"/>
    <col min="57" max="57" width="5.875" style="16" customWidth="1"/>
    <col min="58" max="68" width="7.375" style="16" customWidth="1"/>
    <col min="69" max="69" width="9.00390625" style="16" customWidth="1"/>
    <col min="70" max="71" width="7.375" style="16" customWidth="1"/>
    <col min="72" max="72" width="6.125" style="17" customWidth="1"/>
    <col min="73" max="73" width="6.875" style="13" customWidth="1"/>
    <col min="74" max="16384" width="9.125" style="13" customWidth="1"/>
  </cols>
  <sheetData>
    <row r="1" spans="2:72" s="7" customFormat="1" ht="15.75">
      <c r="B1" s="49" t="s">
        <v>666</v>
      </c>
      <c r="E1" s="8"/>
      <c r="G1" s="6"/>
      <c r="Q1" s="46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1"/>
    </row>
    <row r="2" spans="2:72" s="7" customFormat="1" ht="15.75">
      <c r="B2" s="49" t="s">
        <v>51</v>
      </c>
      <c r="E2" s="8"/>
      <c r="G2" s="6"/>
      <c r="Q2" s="46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1"/>
    </row>
    <row r="3" spans="2:72" s="7" customFormat="1" ht="15.75">
      <c r="B3" s="6"/>
      <c r="E3" s="8"/>
      <c r="G3" s="6"/>
      <c r="Q3" s="46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1"/>
    </row>
    <row r="4" spans="2:72" s="1" customFormat="1" ht="12.75" customHeight="1">
      <c r="B4" s="48" t="s">
        <v>127</v>
      </c>
      <c r="E4" s="2"/>
      <c r="G4" s="48"/>
      <c r="L4" s="48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2:72" s="1" customFormat="1" ht="12.75" customHeight="1">
      <c r="B5" s="48" t="s">
        <v>410</v>
      </c>
      <c r="E5" s="2"/>
      <c r="G5" s="48"/>
      <c r="L5" s="48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2:72" s="1" customFormat="1" ht="12.75" customHeight="1">
      <c r="B6" s="48" t="s">
        <v>426</v>
      </c>
      <c r="E6" s="2"/>
      <c r="G6" s="48"/>
      <c r="L6" s="48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2:72" s="1" customFormat="1" ht="12.75" customHeight="1">
      <c r="B7" s="48" t="s">
        <v>409</v>
      </c>
      <c r="D7" s="1">
        <v>1</v>
      </c>
      <c r="E7" s="2"/>
      <c r="F7" s="1" t="s">
        <v>401</v>
      </c>
      <c r="G7" s="48"/>
      <c r="I7" s="1">
        <f>Нормы!B33</f>
        <v>250</v>
      </c>
      <c r="L7" s="48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5"/>
    </row>
    <row r="8" spans="2:44" ht="12.75" customHeight="1">
      <c r="B8" s="47" t="s">
        <v>400</v>
      </c>
      <c r="D8" s="13">
        <f>D7*I7</f>
        <v>250</v>
      </c>
      <c r="E8" s="14"/>
      <c r="F8" s="7"/>
      <c r="G8" s="12"/>
      <c r="K8" s="7"/>
      <c r="L8" s="7"/>
      <c r="N8" s="7"/>
      <c r="Q8" s="15"/>
      <c r="AQ8" s="16"/>
      <c r="AR8" s="16"/>
    </row>
    <row r="9" spans="1:44" ht="12.75" customHeight="1">
      <c r="A9" s="47"/>
      <c r="D9" s="14"/>
      <c r="E9" s="7"/>
      <c r="F9" s="12"/>
      <c r="K9" s="7"/>
      <c r="L9" s="7"/>
      <c r="N9" s="7"/>
      <c r="Q9" s="15"/>
      <c r="AQ9" s="16"/>
      <c r="AR9" s="16"/>
    </row>
    <row r="10" spans="1:73" s="6" customFormat="1" ht="39.75" customHeight="1">
      <c r="A10" s="421" t="s">
        <v>50</v>
      </c>
      <c r="B10" s="392" t="s">
        <v>47</v>
      </c>
      <c r="C10" s="392"/>
      <c r="D10" s="392"/>
      <c r="E10" s="392"/>
      <c r="F10" s="421" t="s">
        <v>16</v>
      </c>
      <c r="G10" s="421" t="s">
        <v>30</v>
      </c>
      <c r="H10" s="392" t="s">
        <v>26</v>
      </c>
      <c r="I10" s="392"/>
      <c r="J10" s="421" t="s">
        <v>29</v>
      </c>
      <c r="K10" s="421" t="s">
        <v>35</v>
      </c>
      <c r="L10" s="421" t="s">
        <v>34</v>
      </c>
      <c r="M10" s="392" t="s">
        <v>31</v>
      </c>
      <c r="N10" s="392"/>
      <c r="O10" s="392" t="s">
        <v>340</v>
      </c>
      <c r="P10" s="392"/>
      <c r="Q10" s="392" t="s">
        <v>339</v>
      </c>
      <c r="R10" s="392"/>
      <c r="S10" s="392"/>
      <c r="T10" s="392"/>
      <c r="U10" s="392" t="s">
        <v>341</v>
      </c>
      <c r="V10" s="392"/>
      <c r="W10" s="392" t="s">
        <v>342</v>
      </c>
      <c r="X10" s="392"/>
      <c r="Y10" s="392" t="s">
        <v>343</v>
      </c>
      <c r="Z10" s="392"/>
      <c r="AA10" s="392" t="s">
        <v>344</v>
      </c>
      <c r="AB10" s="392"/>
      <c r="AC10" s="384" t="s">
        <v>472</v>
      </c>
      <c r="AD10" s="385"/>
      <c r="AE10" s="386"/>
      <c r="AF10" s="392" t="s">
        <v>199</v>
      </c>
      <c r="AG10" s="392"/>
      <c r="AH10" s="392" t="s">
        <v>345</v>
      </c>
      <c r="AI10" s="392"/>
      <c r="AJ10" s="392" t="s">
        <v>346</v>
      </c>
      <c r="AK10" s="392"/>
      <c r="AL10" s="392" t="s">
        <v>347</v>
      </c>
      <c r="AM10" s="392"/>
      <c r="AN10" s="392" t="s">
        <v>13</v>
      </c>
      <c r="AO10" s="392"/>
      <c r="AP10" s="392"/>
      <c r="AQ10" s="392"/>
      <c r="AR10" s="392"/>
      <c r="AS10" s="392"/>
      <c r="AT10" s="392" t="s">
        <v>427</v>
      </c>
      <c r="AU10" s="392"/>
      <c r="AV10" s="392"/>
      <c r="AW10" s="392"/>
      <c r="AX10" s="392" t="s">
        <v>355</v>
      </c>
      <c r="AY10" s="392"/>
      <c r="AZ10" s="392"/>
      <c r="BA10" s="392"/>
      <c r="BB10" s="392" t="s">
        <v>402</v>
      </c>
      <c r="BC10" s="392"/>
      <c r="BD10" s="392"/>
      <c r="BE10" s="392"/>
      <c r="BF10" s="392" t="s">
        <v>41</v>
      </c>
      <c r="BG10" s="392"/>
      <c r="BH10" s="392"/>
      <c r="BI10" s="392"/>
      <c r="BJ10" s="392" t="s">
        <v>337</v>
      </c>
      <c r="BK10" s="392"/>
      <c r="BL10" s="392"/>
      <c r="BM10" s="392"/>
      <c r="BN10" s="392"/>
      <c r="BO10" s="392"/>
      <c r="BP10" s="392"/>
      <c r="BQ10" s="392" t="s">
        <v>44</v>
      </c>
      <c r="BR10" s="392"/>
      <c r="BS10" s="392" t="s">
        <v>351</v>
      </c>
      <c r="BT10" s="428" t="s">
        <v>52</v>
      </c>
      <c r="BU10" s="428"/>
    </row>
    <row r="11" spans="1:73" s="6" customFormat="1" ht="40.5" customHeight="1">
      <c r="A11" s="421"/>
      <c r="B11" s="392"/>
      <c r="C11" s="392"/>
      <c r="D11" s="392"/>
      <c r="E11" s="392"/>
      <c r="F11" s="421"/>
      <c r="G11" s="421"/>
      <c r="H11" s="392"/>
      <c r="I11" s="392"/>
      <c r="J11" s="421"/>
      <c r="K11" s="421"/>
      <c r="L11" s="421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87"/>
      <c r="AD11" s="388"/>
      <c r="AE11" s="389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428"/>
      <c r="BU11" s="428"/>
    </row>
    <row r="12" spans="1:73" s="6" customFormat="1" ht="28.5" customHeight="1">
      <c r="A12" s="421"/>
      <c r="B12" s="392" t="s">
        <v>12</v>
      </c>
      <c r="C12" s="392" t="s">
        <v>36</v>
      </c>
      <c r="D12" s="392"/>
      <c r="E12" s="392"/>
      <c r="F12" s="421"/>
      <c r="G12" s="421"/>
      <c r="H12" s="421" t="s">
        <v>27</v>
      </c>
      <c r="I12" s="421" t="s">
        <v>28</v>
      </c>
      <c r="J12" s="421"/>
      <c r="K12" s="421"/>
      <c r="L12" s="421"/>
      <c r="M12" s="421" t="s">
        <v>32</v>
      </c>
      <c r="N12" s="421" t="s">
        <v>33</v>
      </c>
      <c r="O12" s="426">
        <f>'Исх.данные'!B10</f>
        <v>7.987854251012146</v>
      </c>
      <c r="P12" s="399"/>
      <c r="Q12" s="392" t="s">
        <v>32</v>
      </c>
      <c r="R12" s="392"/>
      <c r="S12" s="392" t="s">
        <v>33</v>
      </c>
      <c r="T12" s="392"/>
      <c r="U12" s="421" t="s">
        <v>17</v>
      </c>
      <c r="V12" s="421" t="s">
        <v>18</v>
      </c>
      <c r="W12" s="427">
        <v>0</v>
      </c>
      <c r="X12" s="427"/>
      <c r="Y12" s="75">
        <v>0.1</v>
      </c>
      <c r="Z12" s="75">
        <v>0.05</v>
      </c>
      <c r="AA12" s="423"/>
      <c r="AB12" s="423"/>
      <c r="AC12" s="378" t="s">
        <v>19</v>
      </c>
      <c r="AD12" s="378" t="s">
        <v>17</v>
      </c>
      <c r="AE12" s="378" t="s">
        <v>18</v>
      </c>
      <c r="AF12" s="423">
        <f>(((((AD75/O75)*'Исх.данные'!B6)/29.25*(52/12)))/((AD75/O75)*'Исх.данные'!B6))</f>
        <v>0.14814814814814814</v>
      </c>
      <c r="AG12" s="423"/>
      <c r="AH12" s="421" t="s">
        <v>17</v>
      </c>
      <c r="AI12" s="421" t="s">
        <v>18</v>
      </c>
      <c r="AJ12" s="423">
        <v>0.307</v>
      </c>
      <c r="AK12" s="423"/>
      <c r="AL12" s="421" t="s">
        <v>17</v>
      </c>
      <c r="AM12" s="421" t="s">
        <v>18</v>
      </c>
      <c r="AN12" s="421" t="s">
        <v>353</v>
      </c>
      <c r="AO12" s="421" t="s">
        <v>38</v>
      </c>
      <c r="AP12" s="422" t="s">
        <v>45</v>
      </c>
      <c r="AQ12" s="422" t="s">
        <v>39</v>
      </c>
      <c r="AR12" s="422" t="s">
        <v>348</v>
      </c>
      <c r="AS12" s="422" t="s">
        <v>349</v>
      </c>
      <c r="AT12" s="421" t="s">
        <v>428</v>
      </c>
      <c r="AU12" s="422" t="s">
        <v>429</v>
      </c>
      <c r="AV12" s="422" t="s">
        <v>430</v>
      </c>
      <c r="AW12" s="422" t="s">
        <v>349</v>
      </c>
      <c r="AX12" s="421" t="s">
        <v>241</v>
      </c>
      <c r="AY12" s="422" t="s">
        <v>222</v>
      </c>
      <c r="AZ12" s="422" t="s">
        <v>350</v>
      </c>
      <c r="BA12" s="422" t="s">
        <v>349</v>
      </c>
      <c r="BB12" s="421" t="s">
        <v>452</v>
      </c>
      <c r="BC12" s="422" t="s">
        <v>453</v>
      </c>
      <c r="BD12" s="422" t="s">
        <v>454</v>
      </c>
      <c r="BE12" s="422" t="s">
        <v>349</v>
      </c>
      <c r="BF12" s="428" t="s">
        <v>42</v>
      </c>
      <c r="BG12" s="428"/>
      <c r="BH12" s="428" t="s">
        <v>43</v>
      </c>
      <c r="BI12" s="428"/>
      <c r="BJ12" s="428" t="s">
        <v>332</v>
      </c>
      <c r="BK12" s="428"/>
      <c r="BL12" s="428" t="s">
        <v>333</v>
      </c>
      <c r="BM12" s="428"/>
      <c r="BN12" s="428" t="s">
        <v>334</v>
      </c>
      <c r="BO12" s="428"/>
      <c r="BP12" s="421" t="s">
        <v>335</v>
      </c>
      <c r="BQ12" s="422" t="s">
        <v>336</v>
      </c>
      <c r="BR12" s="422" t="s">
        <v>352</v>
      </c>
      <c r="BS12" s="392"/>
      <c r="BT12" s="422" t="s">
        <v>46</v>
      </c>
      <c r="BU12" s="422" t="s">
        <v>15</v>
      </c>
    </row>
    <row r="13" spans="1:73" s="6" customFormat="1" ht="48" customHeight="1">
      <c r="A13" s="421"/>
      <c r="B13" s="392"/>
      <c r="C13" s="421" t="s">
        <v>37</v>
      </c>
      <c r="D13" s="421" t="s">
        <v>49</v>
      </c>
      <c r="E13" s="421" t="s">
        <v>48</v>
      </c>
      <c r="F13" s="421"/>
      <c r="G13" s="421"/>
      <c r="H13" s="421"/>
      <c r="I13" s="421"/>
      <c r="J13" s="421"/>
      <c r="K13" s="421"/>
      <c r="L13" s="421"/>
      <c r="M13" s="421"/>
      <c r="N13" s="421"/>
      <c r="O13" s="421" t="s">
        <v>32</v>
      </c>
      <c r="P13" s="421" t="s">
        <v>33</v>
      </c>
      <c r="Q13" s="429" t="s">
        <v>20</v>
      </c>
      <c r="R13" s="421" t="s">
        <v>21</v>
      </c>
      <c r="S13" s="429" t="s">
        <v>20</v>
      </c>
      <c r="T13" s="421" t="s">
        <v>21</v>
      </c>
      <c r="U13" s="421"/>
      <c r="V13" s="421"/>
      <c r="W13" s="421" t="s">
        <v>17</v>
      </c>
      <c r="X13" s="421" t="s">
        <v>18</v>
      </c>
      <c r="Y13" s="421" t="s">
        <v>208</v>
      </c>
      <c r="Z13" s="421" t="s">
        <v>209</v>
      </c>
      <c r="AA13" s="421" t="s">
        <v>17</v>
      </c>
      <c r="AB13" s="421" t="s">
        <v>18</v>
      </c>
      <c r="AC13" s="379"/>
      <c r="AD13" s="379"/>
      <c r="AE13" s="379"/>
      <c r="AF13" s="421" t="s">
        <v>17</v>
      </c>
      <c r="AG13" s="421" t="s">
        <v>18</v>
      </c>
      <c r="AH13" s="421"/>
      <c r="AI13" s="421"/>
      <c r="AJ13" s="421" t="s">
        <v>17</v>
      </c>
      <c r="AK13" s="421" t="s">
        <v>18</v>
      </c>
      <c r="AL13" s="421"/>
      <c r="AM13" s="421"/>
      <c r="AN13" s="421"/>
      <c r="AO13" s="421"/>
      <c r="AP13" s="422"/>
      <c r="AQ13" s="422"/>
      <c r="AR13" s="422"/>
      <c r="AS13" s="422"/>
      <c r="AT13" s="421"/>
      <c r="AU13" s="422"/>
      <c r="AV13" s="422"/>
      <c r="AW13" s="422"/>
      <c r="AX13" s="421"/>
      <c r="AY13" s="422"/>
      <c r="AZ13" s="422"/>
      <c r="BA13" s="422"/>
      <c r="BB13" s="421"/>
      <c r="BC13" s="422"/>
      <c r="BD13" s="422"/>
      <c r="BE13" s="422"/>
      <c r="BF13" s="381" t="s">
        <v>572</v>
      </c>
      <c r="BG13" s="381" t="s">
        <v>338</v>
      </c>
      <c r="BH13" s="381" t="s">
        <v>572</v>
      </c>
      <c r="BI13" s="381" t="s">
        <v>338</v>
      </c>
      <c r="BJ13" s="422" t="s">
        <v>331</v>
      </c>
      <c r="BK13" s="422" t="s">
        <v>338</v>
      </c>
      <c r="BL13" s="422" t="s">
        <v>331</v>
      </c>
      <c r="BM13" s="422" t="s">
        <v>338</v>
      </c>
      <c r="BN13" s="422" t="s">
        <v>331</v>
      </c>
      <c r="BO13" s="422" t="s">
        <v>338</v>
      </c>
      <c r="BP13" s="421"/>
      <c r="BQ13" s="422"/>
      <c r="BR13" s="422"/>
      <c r="BS13" s="392"/>
      <c r="BT13" s="422"/>
      <c r="BU13" s="422"/>
    </row>
    <row r="14" spans="1:73" s="6" customFormat="1" ht="76.5" customHeight="1">
      <c r="A14" s="421"/>
      <c r="B14" s="392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9"/>
      <c r="R14" s="421"/>
      <c r="S14" s="429"/>
      <c r="T14" s="421"/>
      <c r="U14" s="421"/>
      <c r="V14" s="421"/>
      <c r="W14" s="421"/>
      <c r="X14" s="421"/>
      <c r="Y14" s="421"/>
      <c r="Z14" s="421"/>
      <c r="AA14" s="421"/>
      <c r="AB14" s="421"/>
      <c r="AC14" s="380"/>
      <c r="AD14" s="380"/>
      <c r="AE14" s="380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2"/>
      <c r="AQ14" s="422"/>
      <c r="AR14" s="422"/>
      <c r="AS14" s="422"/>
      <c r="AT14" s="421"/>
      <c r="AU14" s="422"/>
      <c r="AV14" s="422"/>
      <c r="AW14" s="422"/>
      <c r="AX14" s="421"/>
      <c r="AY14" s="422"/>
      <c r="AZ14" s="422"/>
      <c r="BA14" s="422"/>
      <c r="BB14" s="421"/>
      <c r="BC14" s="422"/>
      <c r="BD14" s="422"/>
      <c r="BE14" s="422"/>
      <c r="BF14" s="383"/>
      <c r="BG14" s="383"/>
      <c r="BH14" s="383"/>
      <c r="BI14" s="383"/>
      <c r="BJ14" s="422"/>
      <c r="BK14" s="422"/>
      <c r="BL14" s="422"/>
      <c r="BM14" s="422"/>
      <c r="BN14" s="422"/>
      <c r="BO14" s="422"/>
      <c r="BP14" s="421"/>
      <c r="BQ14" s="422"/>
      <c r="BR14" s="422"/>
      <c r="BS14" s="392"/>
      <c r="BT14" s="422"/>
      <c r="BU14" s="422"/>
    </row>
    <row r="15" spans="1:73" ht="11.25">
      <c r="A15" s="20">
        <f>COLUMN(A15)</f>
        <v>1</v>
      </c>
      <c r="B15" s="424">
        <f>COLUMN(B15)</f>
        <v>2</v>
      </c>
      <c r="C15" s="424"/>
      <c r="D15" s="424"/>
      <c r="E15" s="424"/>
      <c r="F15" s="20">
        <v>3</v>
      </c>
      <c r="G15" s="20">
        <f>F15+1</f>
        <v>4</v>
      </c>
      <c r="H15" s="20">
        <f aca="true" t="shared" si="0" ref="H15:BU15">G15+1</f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 t="shared" si="0"/>
        <v>53</v>
      </c>
      <c r="BE15" s="20">
        <f t="shared" si="0"/>
        <v>54</v>
      </c>
      <c r="BF15" s="20">
        <f t="shared" si="0"/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20">
        <f t="shared" si="0"/>
        <v>59</v>
      </c>
      <c r="BK15" s="20">
        <f t="shared" si="0"/>
        <v>60</v>
      </c>
      <c r="BL15" s="20">
        <f t="shared" si="0"/>
        <v>61</v>
      </c>
      <c r="BM15" s="20">
        <f t="shared" si="0"/>
        <v>62</v>
      </c>
      <c r="BN15" s="20">
        <f t="shared" si="0"/>
        <v>63</v>
      </c>
      <c r="BO15" s="20">
        <f t="shared" si="0"/>
        <v>64</v>
      </c>
      <c r="BP15" s="20">
        <f t="shared" si="0"/>
        <v>65</v>
      </c>
      <c r="BQ15" s="20">
        <f t="shared" si="0"/>
        <v>66</v>
      </c>
      <c r="BR15" s="20">
        <f t="shared" si="0"/>
        <v>67</v>
      </c>
      <c r="BS15" s="20">
        <f t="shared" si="0"/>
        <v>68</v>
      </c>
      <c r="BT15" s="20">
        <f t="shared" si="0"/>
        <v>69</v>
      </c>
      <c r="BU15" s="20">
        <f t="shared" si="0"/>
        <v>70</v>
      </c>
    </row>
    <row r="16" spans="1:73" s="7" customFormat="1" ht="11.25">
      <c r="A16" s="21"/>
      <c r="B16" s="399" t="s">
        <v>92</v>
      </c>
      <c r="C16" s="399"/>
      <c r="D16" s="399"/>
      <c r="E16" s="399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6"/>
      <c r="AQ16" s="27"/>
      <c r="AR16" s="27"/>
      <c r="AS16" s="26"/>
      <c r="AT16" s="24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4"/>
    </row>
    <row r="17" spans="1:73" ht="11.25">
      <c r="A17" s="19">
        <v>1</v>
      </c>
      <c r="B17" s="28" t="s">
        <v>87</v>
      </c>
      <c r="C17" s="30"/>
      <c r="D17" s="31" t="s">
        <v>133</v>
      </c>
      <c r="E17" s="32" t="s">
        <v>174</v>
      </c>
      <c r="F17" s="29" t="s">
        <v>134</v>
      </c>
      <c r="G17" s="30">
        <f>D7*2</f>
        <v>2</v>
      </c>
      <c r="H17" s="30" t="s">
        <v>515</v>
      </c>
      <c r="I17" s="30" t="s">
        <v>515</v>
      </c>
      <c r="J17" s="81">
        <f>L17/M17</f>
        <v>0.125</v>
      </c>
      <c r="K17" s="33">
        <v>16</v>
      </c>
      <c r="L17" s="34">
        <f>IF((M17+N17)&gt;0,G17/K17,0)</f>
        <v>0.125</v>
      </c>
      <c r="M17" s="35">
        <v>1</v>
      </c>
      <c r="N17" s="35"/>
      <c r="O17" s="36">
        <f>IF(M17=0,0,L17*$O$12)</f>
        <v>0.9984817813765182</v>
      </c>
      <c r="P17" s="36">
        <f>IF(N17=0,0,L17*$O$12)</f>
        <v>0</v>
      </c>
      <c r="Q17" s="35">
        <v>3</v>
      </c>
      <c r="R17" s="81">
        <f>IF(AND(O17&gt;0,Q17&gt;0),SUMIF('Исх.данные'!$C$14:$H$14,Q17,'Исх.данные'!$C$18:$H$18),IF(O17=0,0,IF(Q17=0,"РОТ")))</f>
        <v>138.29984794728838</v>
      </c>
      <c r="S17" s="35"/>
      <c r="T17" s="34"/>
      <c r="U17" s="144">
        <f>O17*R17*'Исх.данные'!$C$43%</f>
        <v>0</v>
      </c>
      <c r="V17" s="144">
        <f>P17*T17*'Исх.данные'!$C$44%</f>
        <v>0</v>
      </c>
      <c r="W17" s="144">
        <f>O17*R17*$W$12</f>
        <v>0</v>
      </c>
      <c r="X17" s="145">
        <f>P17*T17*$W$12</f>
        <v>0</v>
      </c>
      <c r="Y17" s="144">
        <f>(O17*R17+U17+W17)*$Y$12</f>
        <v>13.808987854251013</v>
      </c>
      <c r="Z17" s="145">
        <f>(P17*T17+V17+X17)*$Z$12</f>
        <v>0</v>
      </c>
      <c r="AA17" s="144">
        <f>(O17*R17+U17)*$AA$12</f>
        <v>0</v>
      </c>
      <c r="AB17" s="145">
        <f>(P17*T17+V17)*$AA$12</f>
        <v>0</v>
      </c>
      <c r="AC17" s="143">
        <v>2.5</v>
      </c>
      <c r="AD17" s="144">
        <f>(O17*R17+U17+W17+Y17+AA17)*AC17</f>
        <v>379.7471659919028</v>
      </c>
      <c r="AE17" s="144">
        <f>(P17*T17+V17+X17+Z17+AB17)*AC17</f>
        <v>0</v>
      </c>
      <c r="AF17" s="36">
        <f aca="true" t="shared" si="1" ref="AF17:AG21">AD17*$AF$12</f>
        <v>56.25883940620782</v>
      </c>
      <c r="AG17" s="74">
        <f t="shared" si="1"/>
        <v>0</v>
      </c>
      <c r="AH17" s="36">
        <f aca="true" t="shared" si="2" ref="AH17:AI21">AD17+AF17</f>
        <v>436.00600539811063</v>
      </c>
      <c r="AI17" s="36">
        <f t="shared" si="2"/>
        <v>0</v>
      </c>
      <c r="AJ17" s="36">
        <f aca="true" t="shared" si="3" ref="AJ17:AK21">AH17*$AJ$12</f>
        <v>133.85384365721995</v>
      </c>
      <c r="AK17" s="74">
        <f t="shared" si="3"/>
        <v>0</v>
      </c>
      <c r="AL17" s="36">
        <f>AH17+AJ17</f>
        <v>569.8598490553306</v>
      </c>
      <c r="AM17" s="74">
        <f>AK17+AI17</f>
        <v>0</v>
      </c>
      <c r="AN17" s="33">
        <v>5.4</v>
      </c>
      <c r="AO17" s="34">
        <f>'Исх.данные'!C60</f>
        <v>0.84</v>
      </c>
      <c r="AP17" s="79">
        <f>(G17*AN17)*AO17/100</f>
        <v>0.09072000000000001</v>
      </c>
      <c r="AQ17" s="125" t="s">
        <v>186</v>
      </c>
      <c r="AR17" s="81">
        <f>'Исх.данные'!$G$85</f>
        <v>9559.371428571429</v>
      </c>
      <c r="AS17" s="37">
        <f>AP17*AR17</f>
        <v>867.2261760000001</v>
      </c>
      <c r="AT17" s="33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>
        <f>аморт!$H$10</f>
        <v>69.6969696969697</v>
      </c>
      <c r="BG17" s="37">
        <f>BF17*L17*$O$12</f>
        <v>69.59115445957552</v>
      </c>
      <c r="BH17" s="37">
        <f>аморт!$H$65</f>
        <v>72.63916666666667</v>
      </c>
      <c r="BI17" s="37">
        <f>BH17*L17*$O$12</f>
        <v>72.52888453103914</v>
      </c>
      <c r="BJ17" s="39">
        <f>'Исх.данные'!$E$89</f>
        <v>98.91196513535999</v>
      </c>
      <c r="BK17" s="37">
        <f>BJ17*BU17</f>
        <v>63.05637777379199</v>
      </c>
      <c r="BL17" s="39">
        <f>'Исх.данные'!$E$94</f>
        <v>16.685392176959997</v>
      </c>
      <c r="BM17" s="37">
        <f>BL17*BU17</f>
        <v>10.636937512811997</v>
      </c>
      <c r="BN17" s="39">
        <f>'Исх.данные'!$E$99</f>
        <v>5.761862046719998</v>
      </c>
      <c r="BO17" s="37">
        <f>BN17*BU17</f>
        <v>3.6731870547839987</v>
      </c>
      <c r="BP17" s="37">
        <f>аморт!$D$65*10%/аморт!$G$65*L17*$O$12</f>
        <v>50.7702191717274</v>
      </c>
      <c r="BQ17" s="37">
        <f>BP17+BO17+BM17+BK17+BI17+BG17+BE17+BA17+AW17+AS17+AM17+AL17</f>
        <v>1707.3427855590608</v>
      </c>
      <c r="BR17" s="37">
        <f>BQ17/$D$7</f>
        <v>1707.3427855590608</v>
      </c>
      <c r="BS17" s="39">
        <f>(O17+P17)/$D$7</f>
        <v>0.9984817813765182</v>
      </c>
      <c r="BT17" s="39">
        <f>'Исх.данные'!$B$109</f>
        <v>5.1</v>
      </c>
      <c r="BU17" s="40">
        <f>BT17*L17</f>
        <v>0.6375</v>
      </c>
    </row>
    <row r="18" spans="1:73" ht="11.25">
      <c r="A18" s="20">
        <f>A17+1</f>
        <v>2</v>
      </c>
      <c r="B18" s="28" t="s">
        <v>88</v>
      </c>
      <c r="C18" s="30"/>
      <c r="D18" s="31" t="s">
        <v>508</v>
      </c>
      <c r="E18" s="32" t="s">
        <v>175</v>
      </c>
      <c r="F18" s="29" t="s">
        <v>134</v>
      </c>
      <c r="G18" s="30">
        <f>D7</f>
        <v>1</v>
      </c>
      <c r="H18" s="30" t="s">
        <v>515</v>
      </c>
      <c r="I18" s="30" t="s">
        <v>515</v>
      </c>
      <c r="J18" s="81">
        <f>L18/M18</f>
        <v>0.2469135802469136</v>
      </c>
      <c r="K18" s="33">
        <v>4.05</v>
      </c>
      <c r="L18" s="34">
        <f>IF((M18+N18)&gt;0,G18/K18,0)</f>
        <v>0.2469135802469136</v>
      </c>
      <c r="M18" s="35">
        <v>1</v>
      </c>
      <c r="N18" s="35"/>
      <c r="O18" s="36">
        <f>IF(M18=0,0,L18*$O$12)</f>
        <v>1.9723096916079372</v>
      </c>
      <c r="P18" s="36">
        <f>IF(N18=0,0,L18*$O$12)</f>
        <v>0</v>
      </c>
      <c r="Q18" s="35">
        <v>3</v>
      </c>
      <c r="R18" s="81">
        <f>IF(AND(O18&gt;0,Q18&gt;0),SUMIF('Исх.данные'!$C$14:$H$14,Q18,'Исх.данные'!$C$26:$H$26),IF(O18=0,0,IF(Q18=0,"РОТ")))</f>
        <v>169.91124176381146</v>
      </c>
      <c r="S18" s="35"/>
      <c r="T18" s="34"/>
      <c r="U18" s="144">
        <f>O18*R18*'Исх.данные'!$C$43%</f>
        <v>0</v>
      </c>
      <c r="V18" s="144">
        <f>P18*T18*'Исх.данные'!$C$44%</f>
        <v>0</v>
      </c>
      <c r="W18" s="144">
        <f>O18*R18*$W$12</f>
        <v>0</v>
      </c>
      <c r="X18" s="145">
        <f>P18*T18*$W$12</f>
        <v>0</v>
      </c>
      <c r="Y18" s="144">
        <f>(O18*R18+U18+W18)*$Y$12</f>
        <v>33.51175888439047</v>
      </c>
      <c r="Z18" s="145">
        <f>(P18*T18+V18+X18)*$Z$12</f>
        <v>0</v>
      </c>
      <c r="AA18" s="144">
        <f>(O18*R18+U18)*$AA$12</f>
        <v>0</v>
      </c>
      <c r="AB18" s="145">
        <f>(P18*T18+V18)*$AA$12</f>
        <v>0</v>
      </c>
      <c r="AC18" s="143">
        <v>2.5</v>
      </c>
      <c r="AD18" s="144">
        <f>(O18*R18+U18+W18+Y18+AA18)*AC18</f>
        <v>921.5733693207378</v>
      </c>
      <c r="AE18" s="144">
        <f>(P18*T18+V18+X18+Z18+AB18)*AC18</f>
        <v>0</v>
      </c>
      <c r="AF18" s="36">
        <f t="shared" si="1"/>
        <v>136.5293880475167</v>
      </c>
      <c r="AG18" s="74">
        <f t="shared" si="1"/>
        <v>0</v>
      </c>
      <c r="AH18" s="36">
        <f t="shared" si="2"/>
        <v>1058.1027573682545</v>
      </c>
      <c r="AI18" s="36">
        <f t="shared" si="2"/>
        <v>0</v>
      </c>
      <c r="AJ18" s="36">
        <f t="shared" si="3"/>
        <v>324.83754651205413</v>
      </c>
      <c r="AK18" s="74">
        <f t="shared" si="3"/>
        <v>0</v>
      </c>
      <c r="AL18" s="36">
        <f>AH18+AJ18</f>
        <v>1382.9403038803086</v>
      </c>
      <c r="AM18" s="74">
        <f>AK18+AI18</f>
        <v>0</v>
      </c>
      <c r="AN18" s="33">
        <v>31.8</v>
      </c>
      <c r="AO18" s="34">
        <f>$AO$17</f>
        <v>0.84</v>
      </c>
      <c r="AP18" s="79">
        <f>(G18*AN18)*AO18/100</f>
        <v>0.26712</v>
      </c>
      <c r="AQ18" s="125" t="s">
        <v>186</v>
      </c>
      <c r="AR18" s="81">
        <f>'Исх.данные'!$F$85</f>
        <v>9573.371428571429</v>
      </c>
      <c r="AS18" s="37">
        <f>AP18*AR18</f>
        <v>2557.238976</v>
      </c>
      <c r="AT18" s="33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>
        <f>аморт!$H$12</f>
        <v>61.781971818181816</v>
      </c>
      <c r="BG18" s="37">
        <f aca="true" t="shared" si="4" ref="BG18:BG73">BF18*L18*$O$12</f>
        <v>121.85318178364845</v>
      </c>
      <c r="BH18" s="69">
        <f>аморт!H68</f>
        <v>126.15384615384616</v>
      </c>
      <c r="BI18" s="37">
        <f aca="true" t="shared" si="5" ref="BI18:BI73">BH18*L18*$O$12</f>
        <v>248.81445340284748</v>
      </c>
      <c r="BJ18" s="39">
        <f>'Исх.данные'!$C$89</f>
        <v>101.43277978079999</v>
      </c>
      <c r="BK18" s="37">
        <f>BJ18*BU18</f>
        <v>290.52351739685923</v>
      </c>
      <c r="BL18" s="39">
        <f>'Исх.данные'!$C$94</f>
        <v>11.283646508159999</v>
      </c>
      <c r="BM18" s="37">
        <f>BL18*BU18</f>
        <v>32.318592467816295</v>
      </c>
      <c r="BN18" s="37">
        <f>'Исх.данные'!$C$99</f>
        <v>8.04259910688</v>
      </c>
      <c r="BO18" s="37">
        <f>BN18*BU18</f>
        <v>23.035592503656297</v>
      </c>
      <c r="BP18" s="37">
        <f>аморт!$D$68*10%/аморт!$G$68*L18*$O$12</f>
        <v>124.40722670142374</v>
      </c>
      <c r="BQ18" s="37">
        <f>BP18+BO18+BM18+BK18+BI18+BG18+BE18+BA18+AW18+AS18+AM18+AL18</f>
        <v>4781.13184413656</v>
      </c>
      <c r="BR18" s="37">
        <f>BQ18/$D$7</f>
        <v>4781.13184413656</v>
      </c>
      <c r="BS18" s="39">
        <f>(O18+P18)/$D$7</f>
        <v>1.9723096916079372</v>
      </c>
      <c r="BT18" s="39">
        <f>'Исх.данные'!$B$113</f>
        <v>11.6</v>
      </c>
      <c r="BU18" s="40">
        <f>BT18*L18</f>
        <v>2.864197530864198</v>
      </c>
    </row>
    <row r="19" spans="1:73" ht="11.25">
      <c r="A19" s="20">
        <f>A18+1</f>
        <v>3</v>
      </c>
      <c r="B19" s="28" t="s">
        <v>89</v>
      </c>
      <c r="C19" s="30"/>
      <c r="D19" s="31" t="s">
        <v>508</v>
      </c>
      <c r="E19" s="32" t="s">
        <v>138</v>
      </c>
      <c r="F19" s="29" t="s">
        <v>134</v>
      </c>
      <c r="G19" s="30">
        <f>D7</f>
        <v>1</v>
      </c>
      <c r="H19" s="30" t="s">
        <v>515</v>
      </c>
      <c r="I19" s="30" t="s">
        <v>515</v>
      </c>
      <c r="J19" s="81">
        <f>L19/M19</f>
        <v>0.14814814814814814</v>
      </c>
      <c r="K19" s="33">
        <v>6.75</v>
      </c>
      <c r="L19" s="34">
        <f>IF((M19+N19)&gt;0,G19/K19,0)</f>
        <v>0.14814814814814814</v>
      </c>
      <c r="M19" s="35">
        <v>1</v>
      </c>
      <c r="N19" s="35"/>
      <c r="O19" s="36">
        <f>IF(M19=0,0,L19*$O$12)</f>
        <v>1.1833858149647623</v>
      </c>
      <c r="P19" s="36">
        <f>IF(N19=0,0,L19*$O$12)</f>
        <v>0</v>
      </c>
      <c r="Q19" s="35">
        <v>5</v>
      </c>
      <c r="R19" s="81">
        <f>IF(AND(O19&gt;0,Q19&gt;0),SUMIF('Исх.данные'!$C$14:$H$14,Q19,'Исх.данные'!$C$26:$H$26),IF(O19=0,0,IF(Q19=0,"РОТ")))</f>
        <v>219.30404460212878</v>
      </c>
      <c r="S19" s="35"/>
      <c r="T19" s="34"/>
      <c r="U19" s="144">
        <f>O19*R19*'Исх.данные'!$C$43%</f>
        <v>0</v>
      </c>
      <c r="V19" s="144">
        <f>P19*T19*'Исх.данные'!$C$44%</f>
        <v>0</v>
      </c>
      <c r="W19" s="144">
        <f>O19*R19*$W$12</f>
        <v>0</v>
      </c>
      <c r="X19" s="145">
        <f>P19*T19*$W$12</f>
        <v>0</v>
      </c>
      <c r="Y19" s="144">
        <f>(O19*R19+U19+W19)*$Y$12</f>
        <v>25.952129554655876</v>
      </c>
      <c r="Z19" s="145">
        <f>(P19*T19+V19+X19)*$Z$12</f>
        <v>0</v>
      </c>
      <c r="AA19" s="144">
        <f>(O19*R19+U19)*$AA$12</f>
        <v>0</v>
      </c>
      <c r="AB19" s="145">
        <f>(P19*T19+V19)*$AA$12</f>
        <v>0</v>
      </c>
      <c r="AC19" s="143">
        <v>2.5</v>
      </c>
      <c r="AD19" s="144">
        <f>(O19*R19+U19+W19+Y19+AA19)*AC19</f>
        <v>713.6835627530365</v>
      </c>
      <c r="AE19" s="144">
        <f>(P19*T19+V19+X19+Z19+AB19)*AC19</f>
        <v>0</v>
      </c>
      <c r="AF19" s="36">
        <f t="shared" si="1"/>
        <v>105.73089818563504</v>
      </c>
      <c r="AG19" s="74">
        <f t="shared" si="1"/>
        <v>0</v>
      </c>
      <c r="AH19" s="36">
        <f t="shared" si="2"/>
        <v>819.4144609386716</v>
      </c>
      <c r="AI19" s="36">
        <f t="shared" si="2"/>
        <v>0</v>
      </c>
      <c r="AJ19" s="36">
        <f t="shared" si="3"/>
        <v>251.56023950817217</v>
      </c>
      <c r="AK19" s="74">
        <f t="shared" si="3"/>
        <v>0</v>
      </c>
      <c r="AL19" s="36">
        <f>AH19+AJ19</f>
        <v>1070.9747004468438</v>
      </c>
      <c r="AM19" s="74">
        <f>AK19+AI19</f>
        <v>0</v>
      </c>
      <c r="AN19" s="33">
        <v>24.2</v>
      </c>
      <c r="AO19" s="34">
        <f>$AO$17</f>
        <v>0.84</v>
      </c>
      <c r="AP19" s="79">
        <f>(G19*AN19)*AO19/100</f>
        <v>0.20328</v>
      </c>
      <c r="AQ19" s="125" t="s">
        <v>186</v>
      </c>
      <c r="AR19" s="81">
        <f>'Исх.данные'!$F$85</f>
        <v>9573.371428571429</v>
      </c>
      <c r="AS19" s="37">
        <f>AP19*AR19</f>
        <v>1946.074944</v>
      </c>
      <c r="AT19" s="33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>
        <f>аморт!$H$12</f>
        <v>61.781971818181816</v>
      </c>
      <c r="BG19" s="37">
        <f t="shared" si="4"/>
        <v>73.11190907018907</v>
      </c>
      <c r="BH19" s="37">
        <f>аморт!$H$72</f>
        <v>16.941761627906978</v>
      </c>
      <c r="BI19" s="37">
        <f t="shared" si="5"/>
        <v>20.048640390979436</v>
      </c>
      <c r="BJ19" s="39">
        <f>'Исх.данные'!$C$89</f>
        <v>101.43277978079999</v>
      </c>
      <c r="BK19" s="37">
        <f>BJ19*BU19</f>
        <v>174.3141104381155</v>
      </c>
      <c r="BL19" s="39">
        <f>'Исх.данные'!$C$94</f>
        <v>11.283646508159999</v>
      </c>
      <c r="BM19" s="37">
        <f>BL19*BU19</f>
        <v>19.391155480689772</v>
      </c>
      <c r="BN19" s="37">
        <f>'Исх.данные'!$C$99</f>
        <v>8.04259910688</v>
      </c>
      <c r="BO19" s="37">
        <f>BN19*BU19</f>
        <v>13.821355502193775</v>
      </c>
      <c r="BP19" s="37">
        <f>аморт!$D$72*10%/аморт!$G$72*L19*$O$12</f>
        <v>16.03891231278355</v>
      </c>
      <c r="BQ19" s="37">
        <f>BP19+BO19+BM19+BK19+BI19+BG19+BE19+BA19+AW19+AS19+AM19+AL19</f>
        <v>3333.775727641795</v>
      </c>
      <c r="BR19" s="37">
        <f>BQ19/$D$7</f>
        <v>3333.775727641795</v>
      </c>
      <c r="BS19" s="39">
        <f>(O19+P19)/$D$7</f>
        <v>1.1833858149647623</v>
      </c>
      <c r="BT19" s="39">
        <f>'Исх.данные'!$B$113</f>
        <v>11.6</v>
      </c>
      <c r="BU19" s="40">
        <f>BT19*L19</f>
        <v>1.7185185185185183</v>
      </c>
    </row>
    <row r="20" spans="1:73" ht="11.25">
      <c r="A20" s="20">
        <f>A19+1</f>
        <v>4</v>
      </c>
      <c r="B20" s="28" t="s">
        <v>90</v>
      </c>
      <c r="C20" s="30"/>
      <c r="D20" s="31" t="s">
        <v>133</v>
      </c>
      <c r="E20" s="32" t="s">
        <v>174</v>
      </c>
      <c r="F20" s="29" t="s">
        <v>134</v>
      </c>
      <c r="G20" s="30">
        <f>D7*2</f>
        <v>2</v>
      </c>
      <c r="H20" s="30" t="s">
        <v>515</v>
      </c>
      <c r="I20" s="30" t="s">
        <v>515</v>
      </c>
      <c r="J20" s="81">
        <f>L20/M20</f>
        <v>0.125</v>
      </c>
      <c r="K20" s="33">
        <v>16</v>
      </c>
      <c r="L20" s="34">
        <f>IF((M20+N20)&gt;0,G20/K20,0)</f>
        <v>0.125</v>
      </c>
      <c r="M20" s="35">
        <v>1</v>
      </c>
      <c r="N20" s="35"/>
      <c r="O20" s="36">
        <f>IF(M20=0,0,L20*$O$12)</f>
        <v>0.9984817813765182</v>
      </c>
      <c r="P20" s="36">
        <f>IF(N20=0,0,L20*$O$12)</f>
        <v>0</v>
      </c>
      <c r="Q20" s="35">
        <v>3</v>
      </c>
      <c r="R20" s="81">
        <f>IF(AND(O20&gt;0,Q20&gt;0),SUMIF('Исх.данные'!$C$14:$H$14,Q20,'Исх.данные'!$C$18:$H$18),IF(O20=0,0,IF(Q20=0,"РОТ")))</f>
        <v>138.29984794728838</v>
      </c>
      <c r="S20" s="35"/>
      <c r="T20" s="34"/>
      <c r="U20" s="144">
        <f>O20*R20*'Исх.данные'!$C$43%</f>
        <v>0</v>
      </c>
      <c r="V20" s="144">
        <f>P20*T20*'Исх.данные'!$C$44%</f>
        <v>0</v>
      </c>
      <c r="W20" s="144">
        <f>O20*R20*$W$12</f>
        <v>0</v>
      </c>
      <c r="X20" s="145">
        <f>P20*T20*$W$12</f>
        <v>0</v>
      </c>
      <c r="Y20" s="144">
        <f>(O20*R20+U20+W20)*$Y$12</f>
        <v>13.808987854251013</v>
      </c>
      <c r="Z20" s="145">
        <f>(P20*T20+V20+X20)*$Z$12</f>
        <v>0</v>
      </c>
      <c r="AA20" s="144">
        <f>(O20*R20+U20)*$AA$12</f>
        <v>0</v>
      </c>
      <c r="AB20" s="145">
        <f>(P20*T20+V20)*$AA$12</f>
        <v>0</v>
      </c>
      <c r="AC20" s="143">
        <v>2.5</v>
      </c>
      <c r="AD20" s="144">
        <f>(O20*R20+U20+W20+Y20+AA20)*AC20</f>
        <v>379.7471659919028</v>
      </c>
      <c r="AE20" s="144">
        <f>(P20*T20+V20+X20+Z20+AB20)*AC20</f>
        <v>0</v>
      </c>
      <c r="AF20" s="36">
        <f t="shared" si="1"/>
        <v>56.25883940620782</v>
      </c>
      <c r="AG20" s="74">
        <f t="shared" si="1"/>
        <v>0</v>
      </c>
      <c r="AH20" s="36">
        <f t="shared" si="2"/>
        <v>436.00600539811063</v>
      </c>
      <c r="AI20" s="36">
        <f t="shared" si="2"/>
        <v>0</v>
      </c>
      <c r="AJ20" s="36">
        <f t="shared" si="3"/>
        <v>133.85384365721995</v>
      </c>
      <c r="AK20" s="74">
        <f t="shared" si="3"/>
        <v>0</v>
      </c>
      <c r="AL20" s="36">
        <f>AH20+AJ20</f>
        <v>569.8598490553306</v>
      </c>
      <c r="AM20" s="74">
        <f>AK20+AI20</f>
        <v>0</v>
      </c>
      <c r="AN20" s="33">
        <v>5.4</v>
      </c>
      <c r="AO20" s="34">
        <f>$AO$17</f>
        <v>0.84</v>
      </c>
      <c r="AP20" s="79">
        <f>(G20*AN20)*AO20/100</f>
        <v>0.09072000000000001</v>
      </c>
      <c r="AQ20" s="125" t="s">
        <v>186</v>
      </c>
      <c r="AR20" s="81">
        <f>'Исх.данные'!$G$85</f>
        <v>9559.371428571429</v>
      </c>
      <c r="AS20" s="37">
        <f>AP20*AR20</f>
        <v>867.2261760000001</v>
      </c>
      <c r="AT20" s="33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>
        <f>аморт!$H$10</f>
        <v>69.6969696969697</v>
      </c>
      <c r="BG20" s="37">
        <f t="shared" si="4"/>
        <v>69.59115445957552</v>
      </c>
      <c r="BH20" s="37">
        <f>аморт!$H$65</f>
        <v>72.63916666666667</v>
      </c>
      <c r="BI20" s="37">
        <f t="shared" si="5"/>
        <v>72.52888453103914</v>
      </c>
      <c r="BJ20" s="39">
        <f>'Исх.данные'!$E$89</f>
        <v>98.91196513535999</v>
      </c>
      <c r="BK20" s="37">
        <f>BJ20*BU20</f>
        <v>63.05637777379199</v>
      </c>
      <c r="BL20" s="39">
        <f>'Исх.данные'!$E$94</f>
        <v>16.685392176959997</v>
      </c>
      <c r="BM20" s="37">
        <f>BL20*BU20</f>
        <v>10.636937512811997</v>
      </c>
      <c r="BN20" s="39">
        <f>'Исх.данные'!$E$99</f>
        <v>5.761862046719998</v>
      </c>
      <c r="BO20" s="37">
        <f>BN20*BU20</f>
        <v>3.6731870547839987</v>
      </c>
      <c r="BP20" s="37">
        <f>аморт!$D$65*10%/аморт!$G$65*L20*$O$12</f>
        <v>50.7702191717274</v>
      </c>
      <c r="BQ20" s="37">
        <f>BP20+BO20+BM20+BK20+BI20+BG20+BE20+BA20+AW20+AS20+AM20+AL20</f>
        <v>1707.3427855590608</v>
      </c>
      <c r="BR20" s="37">
        <f>BQ20/$D$7</f>
        <v>1707.3427855590608</v>
      </c>
      <c r="BS20" s="39">
        <f>(O20+P20)/$D$7</f>
        <v>0.9984817813765182</v>
      </c>
      <c r="BT20" s="39">
        <f>'Исх.данные'!$B$109</f>
        <v>5.1</v>
      </c>
      <c r="BU20" s="40">
        <f>BT20*L20</f>
        <v>0.6375</v>
      </c>
    </row>
    <row r="21" spans="1:73" ht="11.25">
      <c r="A21" s="20">
        <f>A20+1</f>
        <v>5</v>
      </c>
      <c r="B21" s="28" t="s">
        <v>91</v>
      </c>
      <c r="C21" s="30"/>
      <c r="D21" s="31" t="s">
        <v>133</v>
      </c>
      <c r="E21" s="32" t="s">
        <v>176</v>
      </c>
      <c r="F21" s="29" t="s">
        <v>134</v>
      </c>
      <c r="G21" s="30">
        <f>D7*2</f>
        <v>2</v>
      </c>
      <c r="H21" s="30" t="s">
        <v>515</v>
      </c>
      <c r="I21" s="30" t="s">
        <v>515</v>
      </c>
      <c r="J21" s="81">
        <f>L21/M21</f>
        <v>0.2857142857142857</v>
      </c>
      <c r="K21" s="33">
        <v>7</v>
      </c>
      <c r="L21" s="34">
        <f>IF((M21+N21)&gt;0,G21/K21,0)</f>
        <v>0.2857142857142857</v>
      </c>
      <c r="M21" s="35">
        <v>1</v>
      </c>
      <c r="N21" s="35"/>
      <c r="O21" s="36">
        <f>IF(M21=0,0,L21*$O$12)</f>
        <v>2.2822440717177557</v>
      </c>
      <c r="P21" s="36">
        <f>IF(N21=0,0,L21*$O$12)</f>
        <v>0</v>
      </c>
      <c r="Q21" s="35">
        <v>3</v>
      </c>
      <c r="R21" s="81">
        <f>IF(AND(O21&gt;0,Q21&gt;0),SUMIF('Исх.данные'!$C$14:$H$14,Q21,'Исх.данные'!$C$18:$H$18),IF(O21=0,0,IF(Q21=0,"РОТ")))</f>
        <v>138.29984794728838</v>
      </c>
      <c r="S21" s="35"/>
      <c r="T21" s="34"/>
      <c r="U21" s="144">
        <f>O21*R21*'Исх.данные'!$C$43%</f>
        <v>0</v>
      </c>
      <c r="V21" s="144">
        <f>P21*T21*'Исх.данные'!$C$44%</f>
        <v>0</v>
      </c>
      <c r="W21" s="144">
        <f>O21*R21*$W$12</f>
        <v>0</v>
      </c>
      <c r="X21" s="145">
        <f>P21*T21*$W$12</f>
        <v>0</v>
      </c>
      <c r="Y21" s="144">
        <f>(O21*R21+U21+W21)*$Y$12</f>
        <v>31.563400809716594</v>
      </c>
      <c r="Z21" s="145">
        <f>(P21*T21+V21+X21)*$Z$12</f>
        <v>0</v>
      </c>
      <c r="AA21" s="144">
        <f>(O21*R21+U21)*$AA$12</f>
        <v>0</v>
      </c>
      <c r="AB21" s="145">
        <f>(P21*T21+V21)*$AA$12</f>
        <v>0</v>
      </c>
      <c r="AC21" s="143">
        <v>2.5</v>
      </c>
      <c r="AD21" s="144">
        <f>(O21*R21+U21+W21+Y21+AA21)*AC21</f>
        <v>867.9935222672063</v>
      </c>
      <c r="AE21" s="144">
        <f>(P21*T21+V21+X21+Z21+AB21)*AC21</f>
        <v>0</v>
      </c>
      <c r="AF21" s="36">
        <f t="shared" si="1"/>
        <v>128.591632928475</v>
      </c>
      <c r="AG21" s="74">
        <f t="shared" si="1"/>
        <v>0</v>
      </c>
      <c r="AH21" s="36">
        <f t="shared" si="2"/>
        <v>996.5851551956814</v>
      </c>
      <c r="AI21" s="36">
        <f t="shared" si="2"/>
        <v>0</v>
      </c>
      <c r="AJ21" s="36">
        <f t="shared" si="3"/>
        <v>305.9516426450742</v>
      </c>
      <c r="AK21" s="74">
        <f t="shared" si="3"/>
        <v>0</v>
      </c>
      <c r="AL21" s="36">
        <f>AH21+AJ21</f>
        <v>1302.5367978407555</v>
      </c>
      <c r="AM21" s="74">
        <f>AK21+AI21</f>
        <v>0</v>
      </c>
      <c r="AN21" s="33">
        <v>6.1</v>
      </c>
      <c r="AO21" s="34">
        <f>$AO$17</f>
        <v>0.84</v>
      </c>
      <c r="AP21" s="79">
        <f>(G21*AN21)*AO21/100</f>
        <v>0.10247999999999999</v>
      </c>
      <c r="AQ21" s="125" t="s">
        <v>186</v>
      </c>
      <c r="AR21" s="81">
        <f>'Исх.данные'!$G$85</f>
        <v>9559.371428571429</v>
      </c>
      <c r="AS21" s="37">
        <f>AP21*AR21</f>
        <v>979.6443839999998</v>
      </c>
      <c r="AT21" s="33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>
        <f>аморт!$H$10</f>
        <v>69.6969696969697</v>
      </c>
      <c r="BG21" s="37">
        <f t="shared" si="4"/>
        <v>159.0654959076012</v>
      </c>
      <c r="BH21" s="37">
        <f>аморт!$H$54</f>
        <v>43.453374999999994</v>
      </c>
      <c r="BI21" s="37">
        <f t="shared" si="5"/>
        <v>99.17120748987851</v>
      </c>
      <c r="BJ21" s="39">
        <f>'Исх.данные'!$E$89</f>
        <v>98.91196513535999</v>
      </c>
      <c r="BK21" s="37">
        <f>BJ21*BU21</f>
        <v>144.1288634829531</v>
      </c>
      <c r="BL21" s="39">
        <f>'Исх.данные'!$E$94</f>
        <v>16.685392176959997</v>
      </c>
      <c r="BM21" s="37">
        <f>BL21*BU21</f>
        <v>24.313000029284563</v>
      </c>
      <c r="BN21" s="39">
        <f>'Исх.данные'!$E$99</f>
        <v>5.761862046719998</v>
      </c>
      <c r="BO21" s="37">
        <f>BN21*BU21</f>
        <v>8.395856125220567</v>
      </c>
      <c r="BP21" s="37">
        <f>аморт!$D$54*10%/аморт!$G$54*L21*$O$12</f>
        <v>79.33696599190283</v>
      </c>
      <c r="BQ21" s="37">
        <f>BP21+BO21+BM21+BK21+BI21+BG21+BE21+BA21+AW21+AS21+AM21+AL21</f>
        <v>2796.592570867596</v>
      </c>
      <c r="BR21" s="37">
        <f>BQ21/$D$7</f>
        <v>2796.592570867596</v>
      </c>
      <c r="BS21" s="39">
        <f>(O21+P21)/$D$7</f>
        <v>2.2822440717177557</v>
      </c>
      <c r="BT21" s="39">
        <f>'Исх.данные'!$B$109</f>
        <v>5.1</v>
      </c>
      <c r="BU21" s="40">
        <f>BT21*L21</f>
        <v>1.4571428571428569</v>
      </c>
    </row>
    <row r="22" spans="1:73" s="65" customFormat="1" ht="11.25">
      <c r="A22" s="62"/>
      <c r="B22" s="55" t="s">
        <v>22</v>
      </c>
      <c r="C22" s="64"/>
      <c r="D22" s="67"/>
      <c r="E22" s="61"/>
      <c r="F22" s="63"/>
      <c r="G22" s="64"/>
      <c r="H22" s="64"/>
      <c r="I22" s="64"/>
      <c r="J22" s="59">
        <f>SUM(J17:J21)</f>
        <v>0.9307760141093474</v>
      </c>
      <c r="K22" s="59"/>
      <c r="L22" s="59">
        <f aca="true" t="shared" si="6" ref="L22:BM22">SUM(L17:L21)</f>
        <v>0.9307760141093474</v>
      </c>
      <c r="M22" s="59">
        <f t="shared" si="6"/>
        <v>5</v>
      </c>
      <c r="N22" s="59">
        <f t="shared" si="6"/>
        <v>0</v>
      </c>
      <c r="O22" s="59">
        <f t="shared" si="6"/>
        <v>7.434903141043491</v>
      </c>
      <c r="P22" s="59">
        <f t="shared" si="6"/>
        <v>0</v>
      </c>
      <c r="Q22" s="59"/>
      <c r="R22" s="59"/>
      <c r="S22" s="59"/>
      <c r="T22" s="59"/>
      <c r="U22" s="59">
        <f t="shared" si="6"/>
        <v>0</v>
      </c>
      <c r="V22" s="59">
        <f t="shared" si="6"/>
        <v>0</v>
      </c>
      <c r="W22" s="59">
        <f t="shared" si="6"/>
        <v>0</v>
      </c>
      <c r="X22" s="59">
        <f t="shared" si="6"/>
        <v>0</v>
      </c>
      <c r="Y22" s="59">
        <f t="shared" si="6"/>
        <v>118.64526495726497</v>
      </c>
      <c r="Z22" s="59">
        <f t="shared" si="6"/>
        <v>0</v>
      </c>
      <c r="AA22" s="59">
        <f t="shared" si="6"/>
        <v>0</v>
      </c>
      <c r="AB22" s="59">
        <f t="shared" si="6"/>
        <v>0</v>
      </c>
      <c r="AC22" s="59"/>
      <c r="AD22" s="59">
        <f t="shared" si="6"/>
        <v>3262.744786324786</v>
      </c>
      <c r="AE22" s="59">
        <f t="shared" si="6"/>
        <v>0</v>
      </c>
      <c r="AF22" s="59">
        <f t="shared" si="6"/>
        <v>483.3695979740424</v>
      </c>
      <c r="AG22" s="59">
        <f t="shared" si="6"/>
        <v>0</v>
      </c>
      <c r="AH22" s="59">
        <f t="shared" si="6"/>
        <v>3746.1143842988286</v>
      </c>
      <c r="AI22" s="59">
        <f t="shared" si="6"/>
        <v>0</v>
      </c>
      <c r="AJ22" s="59">
        <f t="shared" si="6"/>
        <v>1150.0571159797405</v>
      </c>
      <c r="AK22" s="59">
        <f t="shared" si="6"/>
        <v>0</v>
      </c>
      <c r="AL22" s="59">
        <f t="shared" si="6"/>
        <v>4896.1715002785695</v>
      </c>
      <c r="AM22" s="59">
        <f t="shared" si="6"/>
        <v>0</v>
      </c>
      <c r="AN22" s="42"/>
      <c r="AO22" s="59"/>
      <c r="AP22" s="59">
        <f t="shared" si="6"/>
        <v>0.7543200000000001</v>
      </c>
      <c r="AQ22" s="59"/>
      <c r="AR22" s="59"/>
      <c r="AS22" s="59">
        <f t="shared" si="6"/>
        <v>7217.410656000001</v>
      </c>
      <c r="AT22" s="59"/>
      <c r="AU22" s="59">
        <f t="shared" si="6"/>
        <v>0</v>
      </c>
      <c r="AV22" s="59"/>
      <c r="AW22" s="59">
        <f t="shared" si="6"/>
        <v>0</v>
      </c>
      <c r="AX22" s="59"/>
      <c r="AY22" s="59">
        <f t="shared" si="6"/>
        <v>0</v>
      </c>
      <c r="AZ22" s="59"/>
      <c r="BA22" s="59">
        <f t="shared" si="6"/>
        <v>0</v>
      </c>
      <c r="BB22" s="59"/>
      <c r="BC22" s="59">
        <f t="shared" si="6"/>
        <v>0</v>
      </c>
      <c r="BD22" s="59"/>
      <c r="BE22" s="59">
        <f t="shared" si="6"/>
        <v>0</v>
      </c>
      <c r="BF22" s="59"/>
      <c r="BG22" s="59">
        <f t="shared" si="6"/>
        <v>493.2128956805898</v>
      </c>
      <c r="BH22" s="59"/>
      <c r="BI22" s="59">
        <f t="shared" si="6"/>
        <v>513.0920703457837</v>
      </c>
      <c r="BJ22" s="59"/>
      <c r="BK22" s="59">
        <f t="shared" si="6"/>
        <v>735.0792468655118</v>
      </c>
      <c r="BL22" s="59"/>
      <c r="BM22" s="59">
        <f t="shared" si="6"/>
        <v>97.29662300341462</v>
      </c>
      <c r="BN22" s="59"/>
      <c r="BO22" s="59">
        <f aca="true" t="shared" si="7" ref="BO22:BU22">SUM(BO17:BO21)</f>
        <v>52.599178240638636</v>
      </c>
      <c r="BP22" s="59">
        <f t="shared" si="7"/>
        <v>321.3235433495649</v>
      </c>
      <c r="BQ22" s="59">
        <f t="shared" si="7"/>
        <v>14326.185713764073</v>
      </c>
      <c r="BR22" s="59"/>
      <c r="BS22" s="59"/>
      <c r="BT22" s="59"/>
      <c r="BU22" s="59">
        <f t="shared" si="7"/>
        <v>7.314858906525574</v>
      </c>
    </row>
    <row r="23" spans="1:73" s="7" customFormat="1" ht="11.25">
      <c r="A23" s="21"/>
      <c r="B23" s="399" t="s">
        <v>98</v>
      </c>
      <c r="C23" s="399"/>
      <c r="D23" s="399"/>
      <c r="E23" s="399"/>
      <c r="F23" s="23"/>
      <c r="G23" s="24"/>
      <c r="H23" s="24"/>
      <c r="I23" s="24"/>
      <c r="J23" s="24"/>
      <c r="K23" s="24"/>
      <c r="L23" s="41"/>
      <c r="M23" s="24"/>
      <c r="N23" s="24"/>
      <c r="O23" s="42"/>
      <c r="P23" s="42"/>
      <c r="Q23" s="26"/>
      <c r="R23" s="24"/>
      <c r="S23" s="2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3"/>
      <c r="AH23" s="42"/>
      <c r="AI23" s="42"/>
      <c r="AJ23" s="42"/>
      <c r="AK23" s="42"/>
      <c r="AL23" s="42"/>
      <c r="AM23" s="42"/>
      <c r="AN23" s="24"/>
      <c r="AO23" s="24"/>
      <c r="AP23" s="44"/>
      <c r="AQ23" s="27"/>
      <c r="AR23" s="27"/>
      <c r="AS23" s="44"/>
      <c r="AT23" s="2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37">
        <f t="shared" si="4"/>
        <v>0</v>
      </c>
      <c r="BH23" s="44"/>
      <c r="BI23" s="37">
        <f t="shared" si="5"/>
        <v>0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</row>
    <row r="24" spans="1:73" s="7" customFormat="1" ht="11.25">
      <c r="A24" s="19">
        <v>1</v>
      </c>
      <c r="B24" s="28" t="s">
        <v>93</v>
      </c>
      <c r="C24" s="30"/>
      <c r="D24" s="31" t="s">
        <v>508</v>
      </c>
      <c r="E24" s="32" t="s">
        <v>149</v>
      </c>
      <c r="F24" s="29" t="s">
        <v>479</v>
      </c>
      <c r="G24" s="37">
        <f>AY27</f>
        <v>60</v>
      </c>
      <c r="H24" s="29" t="s">
        <v>487</v>
      </c>
      <c r="I24" s="29" t="s">
        <v>488</v>
      </c>
      <c r="J24" s="81">
        <f aca="true" t="shared" si="8" ref="J24:J29">L24/M24</f>
        <v>0.2</v>
      </c>
      <c r="K24" s="33">
        <v>300</v>
      </c>
      <c r="L24" s="34">
        <f aca="true" t="shared" si="9" ref="L24:L29">IF((M24+N24)&gt;0,G24/K24,0)</f>
        <v>0.2</v>
      </c>
      <c r="M24" s="24">
        <v>1</v>
      </c>
      <c r="N24" s="24"/>
      <c r="O24" s="36">
        <f aca="true" t="shared" si="10" ref="O24:O29">IF(M24=0,0,L24*$O$12)</f>
        <v>1.5975708502024293</v>
      </c>
      <c r="P24" s="36">
        <f aca="true" t="shared" si="11" ref="P24:P29">IF(N24=0,0,L24*$O$12)</f>
        <v>0</v>
      </c>
      <c r="Q24" s="26">
        <v>5</v>
      </c>
      <c r="R24" s="81">
        <f>IF(AND(O24&gt;0,Q24&gt;0),SUMIF('Исх.данные'!$C$14:$H$14,Q24,'Исх.данные'!$C$26:$H$26),IF(O24=0,0,IF(Q24=0,"РОТ")))</f>
        <v>219.30404460212878</v>
      </c>
      <c r="S24" s="26"/>
      <c r="T24" s="24"/>
      <c r="U24" s="144">
        <f>O24*R24*'Исх.данные'!$C$43%</f>
        <v>0</v>
      </c>
      <c r="V24" s="144">
        <f>P24*T24*'Исх.данные'!$C$44%</f>
        <v>0</v>
      </c>
      <c r="W24" s="144">
        <f aca="true" t="shared" si="12" ref="W24:W29">O24*R24*$W$12</f>
        <v>0</v>
      </c>
      <c r="X24" s="145">
        <f aca="true" t="shared" si="13" ref="X24:X29">P24*T24*$W$12</f>
        <v>0</v>
      </c>
      <c r="Y24" s="144">
        <f aca="true" t="shared" si="14" ref="Y24:Y29">(O24*R24+U24+W24)*$Y$12</f>
        <v>35.03537489878544</v>
      </c>
      <c r="Z24" s="145">
        <f aca="true" t="shared" si="15" ref="Z24:Z29">(P24*T24+V24+X24)*$Z$12</f>
        <v>0</v>
      </c>
      <c r="AA24" s="144">
        <f aca="true" t="shared" si="16" ref="AA24:AA29">(O24*R24+U24)*$AA$12</f>
        <v>0</v>
      </c>
      <c r="AB24" s="145">
        <f aca="true" t="shared" si="17" ref="AB24:AB29">(P24*T24+V24)*$AA$12</f>
        <v>0</v>
      </c>
      <c r="AC24" s="143">
        <v>2.5</v>
      </c>
      <c r="AD24" s="144">
        <f aca="true" t="shared" si="18" ref="AD24:AD29">(O24*R24+U24+W24+Y24+AA24)*AC24</f>
        <v>963.4728097165996</v>
      </c>
      <c r="AE24" s="144">
        <f aca="true" t="shared" si="19" ref="AE24:AE29">(P24*T24+V24+X24+Z24+AB24)*AC24</f>
        <v>0</v>
      </c>
      <c r="AF24" s="36">
        <f aca="true" t="shared" si="20" ref="AF24:AF29">AD24*$AF$12</f>
        <v>142.73671255060734</v>
      </c>
      <c r="AG24" s="74">
        <f aca="true" t="shared" si="21" ref="AG24:AG29">AE24*$AF$12</f>
        <v>0</v>
      </c>
      <c r="AH24" s="36">
        <f aca="true" t="shared" si="22" ref="AH24:AH29">AD24+AF24</f>
        <v>1106.209522267207</v>
      </c>
      <c r="AI24" s="36">
        <f aca="true" t="shared" si="23" ref="AI24:AI29">AE24+AG24</f>
        <v>0</v>
      </c>
      <c r="AJ24" s="36">
        <f aca="true" t="shared" si="24" ref="AJ24:AJ29">AH24*$AJ$12</f>
        <v>339.6063233360325</v>
      </c>
      <c r="AK24" s="74">
        <f aca="true" t="shared" si="25" ref="AK24:AK29">AI24*$AJ$12</f>
        <v>0</v>
      </c>
      <c r="AL24" s="36">
        <f aca="true" t="shared" si="26" ref="AL24:AL29">AH24+AJ24</f>
        <v>1445.8158456032395</v>
      </c>
      <c r="AM24" s="74">
        <f aca="true" t="shared" si="27" ref="AM24:AM29">AK24+AI24</f>
        <v>0</v>
      </c>
      <c r="AN24" s="33">
        <v>0.44</v>
      </c>
      <c r="AO24" s="34">
        <f aca="true" t="shared" si="28" ref="AO24:AO29">$AO$17</f>
        <v>0.84</v>
      </c>
      <c r="AP24" s="79">
        <f>(G24*AN24)*AO24/100</f>
        <v>0.22175999999999998</v>
      </c>
      <c r="AQ24" s="125" t="s">
        <v>186</v>
      </c>
      <c r="AR24" s="81">
        <f>'Исх.данные'!$F$85</f>
        <v>9573.371428571429</v>
      </c>
      <c r="AS24" s="37">
        <f>AP24*AR24</f>
        <v>2122.990848</v>
      </c>
      <c r="AT24" s="2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37">
        <f>аморт!$H$12</f>
        <v>61.781971818181816</v>
      </c>
      <c r="BG24" s="37">
        <f t="shared" si="4"/>
        <v>98.70107724475524</v>
      </c>
      <c r="BH24" s="37">
        <f>аморт!$H$38</f>
        <v>144.06779999999998</v>
      </c>
      <c r="BI24" s="37">
        <f t="shared" si="5"/>
        <v>230.15851773279348</v>
      </c>
      <c r="BJ24" s="39">
        <f>'Исх.данные'!$C$89</f>
        <v>101.43277978079999</v>
      </c>
      <c r="BK24" s="37">
        <f aca="true" t="shared" si="29" ref="BK24:BK29">BJ24*BU24</f>
        <v>235.32404909145595</v>
      </c>
      <c r="BL24" s="39">
        <f>'Исх.данные'!$C$94</f>
        <v>11.283646508159999</v>
      </c>
      <c r="BM24" s="37">
        <f aca="true" t="shared" si="30" ref="BM24:BM29">BL24*BU24</f>
        <v>26.178059898931195</v>
      </c>
      <c r="BN24" s="37">
        <f>'Исх.данные'!$C$99</f>
        <v>8.04259910688</v>
      </c>
      <c r="BO24" s="37">
        <f aca="true" t="shared" si="31" ref="BO24:BO29">BN24*BU24</f>
        <v>18.658829927961598</v>
      </c>
      <c r="BP24" s="37">
        <f>аморт!$D$43*10%/аморт!$G$43*L24*$O$12</f>
        <v>23.467117611336036</v>
      </c>
      <c r="BQ24" s="37">
        <f aca="true" t="shared" si="32" ref="BQ24:BQ29">BP24+BO24+BM24+BK24+BI24+BG24+BE24+BA24+AW24+AS24+AM24+AL24</f>
        <v>4201.294345110473</v>
      </c>
      <c r="BR24" s="37">
        <f aca="true" t="shared" si="33" ref="BR24:BR29">BQ24/$D$7</f>
        <v>4201.294345110473</v>
      </c>
      <c r="BS24" s="39">
        <f aca="true" t="shared" si="34" ref="BS24:BS29">(O24+P24)/$D$7</f>
        <v>1.5975708502024293</v>
      </c>
      <c r="BT24" s="39">
        <f>'Исх.данные'!$B$113</f>
        <v>11.6</v>
      </c>
      <c r="BU24" s="40">
        <f>BT24*L24</f>
        <v>2.32</v>
      </c>
    </row>
    <row r="25" spans="1:73" s="7" customFormat="1" ht="22.5">
      <c r="A25" s="19">
        <v>2</v>
      </c>
      <c r="B25" s="28" t="s">
        <v>94</v>
      </c>
      <c r="C25" s="30"/>
      <c r="D25" s="31" t="s">
        <v>508</v>
      </c>
      <c r="E25" s="32" t="s">
        <v>509</v>
      </c>
      <c r="F25" s="29" t="s">
        <v>479</v>
      </c>
      <c r="G25" s="37">
        <f>G24</f>
        <v>60</v>
      </c>
      <c r="H25" s="29" t="s">
        <v>488</v>
      </c>
      <c r="I25" s="29" t="s">
        <v>489</v>
      </c>
      <c r="J25" s="81">
        <f t="shared" si="8"/>
        <v>0.5</v>
      </c>
      <c r="K25" s="33">
        <v>120</v>
      </c>
      <c r="L25" s="34">
        <f t="shared" si="9"/>
        <v>0.5</v>
      </c>
      <c r="M25" s="24">
        <v>1</v>
      </c>
      <c r="N25" s="24"/>
      <c r="O25" s="36">
        <f t="shared" si="10"/>
        <v>3.993927125506073</v>
      </c>
      <c r="P25" s="36">
        <f t="shared" si="11"/>
        <v>0</v>
      </c>
      <c r="Q25" s="26">
        <v>5</v>
      </c>
      <c r="R25" s="81">
        <f>IF(AND(O25&gt;0,Q25&gt;0),SUMIF('Исх.данные'!$C$14:$H$14,Q25,'Исх.данные'!$C$26:$H$26),IF(O25=0,0,IF(Q25=0,"РОТ")))</f>
        <v>219.30404460212878</v>
      </c>
      <c r="S25" s="35">
        <v>4</v>
      </c>
      <c r="T25" s="81">
        <f>IF(AND(N25&gt;0,P25&gt;0),SUMIF('Исх.данные'!$C$14:$J$30,S25,'Исх.данные'!$C$34:$J$45),IF(N25=0,0,IF(S25=0,"РОТ")))</f>
        <v>0</v>
      </c>
      <c r="U25" s="144">
        <f>O25*R25*'Исх.данные'!$C$43%</f>
        <v>0</v>
      </c>
      <c r="V25" s="144">
        <f>P25*T25*'Исх.данные'!$C$44%</f>
        <v>0</v>
      </c>
      <c r="W25" s="144">
        <f t="shared" si="12"/>
        <v>0</v>
      </c>
      <c r="X25" s="145">
        <f t="shared" si="13"/>
        <v>0</v>
      </c>
      <c r="Y25" s="144">
        <f t="shared" si="14"/>
        <v>87.58843724696358</v>
      </c>
      <c r="Z25" s="145">
        <f t="shared" si="15"/>
        <v>0</v>
      </c>
      <c r="AA25" s="144">
        <f t="shared" si="16"/>
        <v>0</v>
      </c>
      <c r="AB25" s="145">
        <f t="shared" si="17"/>
        <v>0</v>
      </c>
      <c r="AC25" s="143">
        <v>2.5</v>
      </c>
      <c r="AD25" s="144">
        <f t="shared" si="18"/>
        <v>2408.6820242914982</v>
      </c>
      <c r="AE25" s="144">
        <f t="shared" si="19"/>
        <v>0</v>
      </c>
      <c r="AF25" s="36">
        <f t="shared" si="20"/>
        <v>356.8417813765182</v>
      </c>
      <c r="AG25" s="74">
        <f t="shared" si="21"/>
        <v>0</v>
      </c>
      <c r="AH25" s="36">
        <f t="shared" si="22"/>
        <v>2765.5238056680164</v>
      </c>
      <c r="AI25" s="36">
        <f t="shared" si="23"/>
        <v>0</v>
      </c>
      <c r="AJ25" s="36">
        <f t="shared" si="24"/>
        <v>849.015808340081</v>
      </c>
      <c r="AK25" s="74">
        <f t="shared" si="25"/>
        <v>0</v>
      </c>
      <c r="AL25" s="36">
        <f t="shared" si="26"/>
        <v>3614.5396140080975</v>
      </c>
      <c r="AM25" s="74">
        <f t="shared" si="27"/>
        <v>0</v>
      </c>
      <c r="AN25" s="33">
        <v>1.14</v>
      </c>
      <c r="AO25" s="34">
        <f t="shared" si="28"/>
        <v>0.84</v>
      </c>
      <c r="AP25" s="79">
        <f>(G25*AN25)*AO25/100</f>
        <v>0.5745599999999998</v>
      </c>
      <c r="AQ25" s="125" t="s">
        <v>186</v>
      </c>
      <c r="AR25" s="81">
        <f>'Исх.данные'!$F$85</f>
        <v>9573.371428571429</v>
      </c>
      <c r="AS25" s="37">
        <f>AP25*AR25</f>
        <v>5500.476287999999</v>
      </c>
      <c r="AT25" s="2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37">
        <f>аморт!$H$12</f>
        <v>61.781971818181816</v>
      </c>
      <c r="BG25" s="37">
        <f t="shared" si="4"/>
        <v>246.7526931118881</v>
      </c>
      <c r="BH25" s="37">
        <f>аморт!$H$69</f>
        <v>19.673123809523812</v>
      </c>
      <c r="BI25" s="37">
        <f t="shared" si="5"/>
        <v>78.57302282629652</v>
      </c>
      <c r="BJ25" s="39">
        <f>'Исх.данные'!$C$89</f>
        <v>101.43277978079999</v>
      </c>
      <c r="BK25" s="37">
        <f t="shared" si="29"/>
        <v>588.31012272864</v>
      </c>
      <c r="BL25" s="39">
        <f>'Исх.данные'!$C$94</f>
        <v>11.283646508159999</v>
      </c>
      <c r="BM25" s="37">
        <f t="shared" si="30"/>
        <v>65.44514974732799</v>
      </c>
      <c r="BN25" s="37">
        <f>'Исх.данные'!$C$99</f>
        <v>8.04259910688</v>
      </c>
      <c r="BO25" s="37">
        <f t="shared" si="31"/>
        <v>46.64707481990399</v>
      </c>
      <c r="BP25" s="37">
        <f>аморт!$D$69*10%/аморт!$G$69*L25*$O$12</f>
        <v>55.001115978407555</v>
      </c>
      <c r="BQ25" s="37">
        <f t="shared" si="32"/>
        <v>10195.74508122056</v>
      </c>
      <c r="BR25" s="37">
        <f t="shared" si="33"/>
        <v>10195.74508122056</v>
      </c>
      <c r="BS25" s="39">
        <f t="shared" si="34"/>
        <v>3.993927125506073</v>
      </c>
      <c r="BT25" s="39">
        <f>'Исх.данные'!$B$113</f>
        <v>11.6</v>
      </c>
      <c r="BU25" s="40">
        <f>BT25*L25</f>
        <v>5.8</v>
      </c>
    </row>
    <row r="26" spans="1:73" s="7" customFormat="1" ht="11.25">
      <c r="A26" s="19">
        <f>A25+1</f>
        <v>3</v>
      </c>
      <c r="B26" s="28" t="s">
        <v>95</v>
      </c>
      <c r="C26" s="30"/>
      <c r="D26" s="31" t="s">
        <v>133</v>
      </c>
      <c r="E26" s="32" t="s">
        <v>178</v>
      </c>
      <c r="F26" s="29" t="s">
        <v>479</v>
      </c>
      <c r="G26" s="37">
        <f>G25</f>
        <v>60</v>
      </c>
      <c r="H26" s="29" t="s">
        <v>488</v>
      </c>
      <c r="I26" s="29" t="s">
        <v>489</v>
      </c>
      <c r="J26" s="81">
        <f t="shared" si="8"/>
        <v>2</v>
      </c>
      <c r="K26" s="33">
        <v>30</v>
      </c>
      <c r="L26" s="34">
        <f t="shared" si="9"/>
        <v>2</v>
      </c>
      <c r="M26" s="24">
        <v>1</v>
      </c>
      <c r="N26" s="24">
        <v>0</v>
      </c>
      <c r="O26" s="36">
        <f t="shared" si="10"/>
        <v>15.975708502024291</v>
      </c>
      <c r="P26" s="36">
        <f t="shared" si="11"/>
        <v>0</v>
      </c>
      <c r="Q26" s="26">
        <v>2</v>
      </c>
      <c r="R26" s="81">
        <f>IF(AND(O26&gt;0,Q26&gt;0),SUMIF('Исх.данные'!$C$14:$H$14,Q26,'Исх.данные'!$C$18:$H$18),IF(O26=0,0,IF(Q26=0,"РОТ")))</f>
        <v>126.44557526609226</v>
      </c>
      <c r="S26" s="26">
        <v>2</v>
      </c>
      <c r="T26" s="81">
        <f>IF(AND(N26&gt;0,P26&gt;0),SUMIF('Исх.данные'!$C$14:$J$30,S26,'Исх.данные'!$C$34:$J$45),IF(N26=0,0,IF(S26=0,"РОТ")))</f>
        <v>0</v>
      </c>
      <c r="U26" s="144">
        <f>O26*R26*'Исх.данные'!$C$43%</f>
        <v>0</v>
      </c>
      <c r="V26" s="144">
        <f>P26*T26*'Исх.данные'!$C$44%</f>
        <v>0</v>
      </c>
      <c r="W26" s="144">
        <f t="shared" si="12"/>
        <v>0</v>
      </c>
      <c r="X26" s="145">
        <f t="shared" si="13"/>
        <v>0</v>
      </c>
      <c r="Y26" s="144">
        <f t="shared" si="14"/>
        <v>202.00576518218628</v>
      </c>
      <c r="Z26" s="145">
        <f t="shared" si="15"/>
        <v>0</v>
      </c>
      <c r="AA26" s="144">
        <f t="shared" si="16"/>
        <v>0</v>
      </c>
      <c r="AB26" s="145">
        <f t="shared" si="17"/>
        <v>0</v>
      </c>
      <c r="AC26" s="143">
        <v>2.5</v>
      </c>
      <c r="AD26" s="144">
        <f t="shared" si="18"/>
        <v>5555.158542510122</v>
      </c>
      <c r="AE26" s="144">
        <f t="shared" si="19"/>
        <v>0</v>
      </c>
      <c r="AF26" s="36">
        <f t="shared" si="20"/>
        <v>822.9864507422402</v>
      </c>
      <c r="AG26" s="74">
        <f t="shared" si="21"/>
        <v>0</v>
      </c>
      <c r="AH26" s="36">
        <f t="shared" si="22"/>
        <v>6378.144993252362</v>
      </c>
      <c r="AI26" s="36">
        <f t="shared" si="23"/>
        <v>0</v>
      </c>
      <c r="AJ26" s="36">
        <f t="shared" si="24"/>
        <v>1958.0905129284752</v>
      </c>
      <c r="AK26" s="74">
        <f t="shared" si="25"/>
        <v>0</v>
      </c>
      <c r="AL26" s="36">
        <f t="shared" si="26"/>
        <v>8336.235506180838</v>
      </c>
      <c r="AM26" s="74">
        <f t="shared" si="27"/>
        <v>0</v>
      </c>
      <c r="AN26" s="33">
        <v>2</v>
      </c>
      <c r="AO26" s="34">
        <f t="shared" si="28"/>
        <v>0.84</v>
      </c>
      <c r="AP26" s="79">
        <f>(G26*AN26)*AO26/100</f>
        <v>1.008</v>
      </c>
      <c r="AQ26" s="125" t="s">
        <v>186</v>
      </c>
      <c r="AR26" s="81">
        <f>'Исх.данные'!$G$85</f>
        <v>9559.371428571429</v>
      </c>
      <c r="AS26" s="37">
        <f>AP26*AR26</f>
        <v>9635.8464</v>
      </c>
      <c r="AT26" s="2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37">
        <f>аморт!$H$10</f>
        <v>69.6969696969697</v>
      </c>
      <c r="BG26" s="37">
        <f t="shared" si="4"/>
        <v>1113.4584713532083</v>
      </c>
      <c r="BH26" s="37">
        <f>аморт!$H$79</f>
        <v>25.41863076923077</v>
      </c>
      <c r="BI26" s="37">
        <f t="shared" si="5"/>
        <v>406.0806356898163</v>
      </c>
      <c r="BJ26" s="39">
        <f>'Исх.данные'!$E$89</f>
        <v>98.91196513535999</v>
      </c>
      <c r="BK26" s="37">
        <f t="shared" si="29"/>
        <v>1008.9020443806719</v>
      </c>
      <c r="BL26" s="39">
        <f>'Исх.данные'!$E$94</f>
        <v>16.685392176959997</v>
      </c>
      <c r="BM26" s="37">
        <f t="shared" si="30"/>
        <v>170.19100020499195</v>
      </c>
      <c r="BN26" s="39">
        <f>'Исх.данные'!$E$99</f>
        <v>5.761862046719998</v>
      </c>
      <c r="BO26" s="37">
        <f t="shared" si="31"/>
        <v>58.77099287654398</v>
      </c>
      <c r="BP26" s="37">
        <f>аморт!$D$79*10%/аморт!$G$79*L26*$O$12</f>
        <v>406.0806356898163</v>
      </c>
      <c r="BQ26" s="37">
        <f t="shared" si="32"/>
        <v>21135.565686375885</v>
      </c>
      <c r="BR26" s="37">
        <f t="shared" si="33"/>
        <v>21135.565686375885</v>
      </c>
      <c r="BS26" s="39">
        <f t="shared" si="34"/>
        <v>15.975708502024291</v>
      </c>
      <c r="BT26" s="39">
        <f>'Исх.данные'!$B$109</f>
        <v>5.1</v>
      </c>
      <c r="BU26" s="40">
        <f>BT26*L26</f>
        <v>10.2</v>
      </c>
    </row>
    <row r="27" spans="1:73" s="7" customFormat="1" ht="11.25">
      <c r="A27" s="19">
        <f>A26+1</f>
        <v>4</v>
      </c>
      <c r="B27" s="28" t="s">
        <v>96</v>
      </c>
      <c r="C27" s="30"/>
      <c r="D27" s="31" t="s">
        <v>133</v>
      </c>
      <c r="E27" s="32" t="s">
        <v>152</v>
      </c>
      <c r="F27" s="29" t="s">
        <v>479</v>
      </c>
      <c r="G27" s="37">
        <f>G26</f>
        <v>60</v>
      </c>
      <c r="H27" s="29" t="s">
        <v>488</v>
      </c>
      <c r="I27" s="29" t="s">
        <v>489</v>
      </c>
      <c r="J27" s="81">
        <f t="shared" si="8"/>
        <v>1.9230769230769231</v>
      </c>
      <c r="K27" s="33">
        <v>31.2</v>
      </c>
      <c r="L27" s="34">
        <f t="shared" si="9"/>
        <v>1.9230769230769231</v>
      </c>
      <c r="M27" s="24">
        <v>1</v>
      </c>
      <c r="N27" s="24">
        <v>1</v>
      </c>
      <c r="O27" s="36">
        <f t="shared" si="10"/>
        <v>15.361258175023357</v>
      </c>
      <c r="P27" s="36">
        <f t="shared" si="11"/>
        <v>15.361258175023357</v>
      </c>
      <c r="Q27" s="26">
        <v>5</v>
      </c>
      <c r="R27" s="81">
        <f>IF(AND(O27&gt;0,Q27&gt;0),SUMIF('Исх.данные'!$C$14:$H$14,Q27,'Исх.данные'!$C$18:$H$18),IF(O27=0,0,IF(Q27=0,"РОТ")))</f>
        <v>179.78980233147493</v>
      </c>
      <c r="S27" s="26"/>
      <c r="T27" s="81">
        <f>IF(AND(N27&gt;0,P27&gt;0),SUMIF('Исх.данные'!$C$14:$J$30,S27,'Исх.данные'!$C$34:$J$45),IF(N27=0,0,IF(S27=0,"РОТ")))</f>
        <v>0</v>
      </c>
      <c r="U27" s="144">
        <f>O27*R27*'Исх.данные'!$C$43%</f>
        <v>0</v>
      </c>
      <c r="V27" s="144">
        <f>P27*T27*'Исх.данные'!$C$44%</f>
        <v>0</v>
      </c>
      <c r="W27" s="144">
        <f t="shared" si="12"/>
        <v>0</v>
      </c>
      <c r="X27" s="145">
        <f t="shared" si="13"/>
        <v>0</v>
      </c>
      <c r="Y27" s="144">
        <f t="shared" si="14"/>
        <v>276.1797570850203</v>
      </c>
      <c r="Z27" s="145">
        <f t="shared" si="15"/>
        <v>0</v>
      </c>
      <c r="AA27" s="144">
        <f t="shared" si="16"/>
        <v>0</v>
      </c>
      <c r="AB27" s="145">
        <f t="shared" si="17"/>
        <v>0</v>
      </c>
      <c r="AC27" s="143">
        <v>2.5</v>
      </c>
      <c r="AD27" s="144">
        <f t="shared" si="18"/>
        <v>7594.9433198380575</v>
      </c>
      <c r="AE27" s="144">
        <f t="shared" si="19"/>
        <v>0</v>
      </c>
      <c r="AF27" s="36">
        <f t="shared" si="20"/>
        <v>1125.1767881241567</v>
      </c>
      <c r="AG27" s="74">
        <f t="shared" si="21"/>
        <v>0</v>
      </c>
      <c r="AH27" s="36">
        <f t="shared" si="22"/>
        <v>8720.120107962215</v>
      </c>
      <c r="AI27" s="36">
        <f t="shared" si="23"/>
        <v>0</v>
      </c>
      <c r="AJ27" s="36">
        <f t="shared" si="24"/>
        <v>2677.0768731444</v>
      </c>
      <c r="AK27" s="74">
        <f t="shared" si="25"/>
        <v>0</v>
      </c>
      <c r="AL27" s="36">
        <f t="shared" si="26"/>
        <v>11397.196981106616</v>
      </c>
      <c r="AM27" s="74">
        <f t="shared" si="27"/>
        <v>0</v>
      </c>
      <c r="AN27" s="33">
        <v>1.89</v>
      </c>
      <c r="AO27" s="34">
        <f t="shared" si="28"/>
        <v>0.84</v>
      </c>
      <c r="AP27" s="79">
        <f>(G27*AN27)*AO27/100</f>
        <v>0.9525599999999999</v>
      </c>
      <c r="AQ27" s="125" t="s">
        <v>186</v>
      </c>
      <c r="AR27" s="81">
        <f>'Исх.данные'!$G$85</f>
        <v>9559.371428571429</v>
      </c>
      <c r="AS27" s="37">
        <f>AP27*AR27</f>
        <v>9105.874848</v>
      </c>
      <c r="AT27" s="24"/>
      <c r="AU27" s="44"/>
      <c r="AV27" s="44"/>
      <c r="AW27" s="44"/>
      <c r="AX27" s="37">
        <f>Нормы!B28</f>
        <v>600</v>
      </c>
      <c r="AY27" s="39">
        <f>AX27*D7/10</f>
        <v>60</v>
      </c>
      <c r="AZ27" s="117">
        <f>Нормы!D28</f>
        <v>1</v>
      </c>
      <c r="BA27" s="37">
        <f>AY27*AZ27*1000</f>
        <v>60000</v>
      </c>
      <c r="BB27" s="44"/>
      <c r="BC27" s="44"/>
      <c r="BD27" s="44"/>
      <c r="BE27" s="44"/>
      <c r="BF27" s="37">
        <f>аморт!$H$10</f>
        <v>69.6969696969697</v>
      </c>
      <c r="BG27" s="37">
        <f t="shared" si="4"/>
        <v>1070.633145531931</v>
      </c>
      <c r="BH27" s="37">
        <f>аморт!$H$82</f>
        <v>124.59645238095241</v>
      </c>
      <c r="BI27" s="37">
        <f t="shared" si="5"/>
        <v>1913.9582727158138</v>
      </c>
      <c r="BJ27" s="39">
        <f>'Исх.данные'!$E$89</f>
        <v>98.91196513535999</v>
      </c>
      <c r="BK27" s="37">
        <f t="shared" si="29"/>
        <v>970.0981195967998</v>
      </c>
      <c r="BL27" s="39">
        <f>'Исх.данные'!$E$94</f>
        <v>16.685392176959997</v>
      </c>
      <c r="BM27" s="37">
        <f t="shared" si="30"/>
        <v>163.64519250479995</v>
      </c>
      <c r="BN27" s="39">
        <f>'Исх.данные'!$E$99</f>
        <v>5.761862046719998</v>
      </c>
      <c r="BO27" s="37">
        <f t="shared" si="31"/>
        <v>56.51057007359998</v>
      </c>
      <c r="BP27" s="37">
        <f>аморт!$D$82*10%/аморт!$G$82*L27*$O$12</f>
        <v>1148.374963629488</v>
      </c>
      <c r="BQ27" s="37">
        <f t="shared" si="32"/>
        <v>85826.29209315905</v>
      </c>
      <c r="BR27" s="37">
        <f t="shared" si="33"/>
        <v>85826.29209315905</v>
      </c>
      <c r="BS27" s="39">
        <f t="shared" si="34"/>
        <v>30.722516350046714</v>
      </c>
      <c r="BT27" s="39">
        <f>'Исх.данные'!$B$109</f>
        <v>5.1</v>
      </c>
      <c r="BU27" s="40">
        <f>BT27*L27</f>
        <v>9.807692307692307</v>
      </c>
    </row>
    <row r="28" spans="1:73" s="7" customFormat="1" ht="22.5">
      <c r="A28" s="19">
        <f>A27+1</f>
        <v>5</v>
      </c>
      <c r="B28" s="28" t="s">
        <v>23</v>
      </c>
      <c r="C28" s="30"/>
      <c r="D28" s="418" t="s">
        <v>143</v>
      </c>
      <c r="E28" s="419"/>
      <c r="F28" s="29" t="s">
        <v>479</v>
      </c>
      <c r="G28" s="39">
        <f>AY29</f>
        <v>0.6</v>
      </c>
      <c r="H28" s="29" t="s">
        <v>482</v>
      </c>
      <c r="I28" s="29" t="s">
        <v>485</v>
      </c>
      <c r="J28" s="81">
        <f>L28/N28</f>
        <v>0.12</v>
      </c>
      <c r="K28" s="33">
        <v>5</v>
      </c>
      <c r="L28" s="34">
        <f t="shared" si="9"/>
        <v>0.12</v>
      </c>
      <c r="M28" s="24"/>
      <c r="N28" s="24">
        <v>1</v>
      </c>
      <c r="O28" s="36">
        <f t="shared" si="10"/>
        <v>0</v>
      </c>
      <c r="P28" s="36">
        <f t="shared" si="11"/>
        <v>0.9585425101214574</v>
      </c>
      <c r="Q28" s="26">
        <v>2</v>
      </c>
      <c r="R28" s="81">
        <f>IF(AND(O28&gt;0,Q28&gt;0),SUMIF('Исх.данные'!$C$14:$H$14,Q28,'Исх.данные'!$C$18:$H$18),IF(O28=0,0,IF(Q28=0,"РОТ")))</f>
        <v>0</v>
      </c>
      <c r="S28" s="26">
        <v>2</v>
      </c>
      <c r="T28" s="81">
        <f>IF(AND(N28&gt;0,P28&gt;0),SUMIF('Исх.данные'!$C$14:$J$30,S28,'Исх.данные'!$C$34:$J$45),IF(N28=0,0,IF(S28=0,"РОТ")))</f>
        <v>105.700598073999</v>
      </c>
      <c r="U28" s="144">
        <f>O28*R28*'Исх.данные'!$C$43%</f>
        <v>0</v>
      </c>
      <c r="V28" s="144">
        <f>P28*T28*'Исх.данные'!$C$44%</f>
        <v>0</v>
      </c>
      <c r="W28" s="144">
        <f t="shared" si="12"/>
        <v>0</v>
      </c>
      <c r="X28" s="145">
        <f t="shared" si="13"/>
        <v>0</v>
      </c>
      <c r="Y28" s="144">
        <f t="shared" si="14"/>
        <v>0</v>
      </c>
      <c r="Z28" s="145">
        <f t="shared" si="15"/>
        <v>5.0659258299595145</v>
      </c>
      <c r="AA28" s="144">
        <f t="shared" si="16"/>
        <v>0</v>
      </c>
      <c r="AB28" s="145">
        <f t="shared" si="17"/>
        <v>0</v>
      </c>
      <c r="AC28" s="143">
        <v>2.5</v>
      </c>
      <c r="AD28" s="144">
        <f t="shared" si="18"/>
        <v>0</v>
      </c>
      <c r="AE28" s="144">
        <f t="shared" si="19"/>
        <v>265.9611060728745</v>
      </c>
      <c r="AF28" s="36">
        <f t="shared" si="20"/>
        <v>0</v>
      </c>
      <c r="AG28" s="74">
        <f t="shared" si="21"/>
        <v>39.40164534412955</v>
      </c>
      <c r="AH28" s="36">
        <f t="shared" si="22"/>
        <v>0</v>
      </c>
      <c r="AI28" s="36">
        <f t="shared" si="23"/>
        <v>305.362751417004</v>
      </c>
      <c r="AJ28" s="36">
        <f t="shared" si="24"/>
        <v>0</v>
      </c>
      <c r="AK28" s="74">
        <f t="shared" si="25"/>
        <v>93.74636468502023</v>
      </c>
      <c r="AL28" s="36">
        <f t="shared" si="26"/>
        <v>0</v>
      </c>
      <c r="AM28" s="74">
        <f t="shared" si="27"/>
        <v>399.10911610202425</v>
      </c>
      <c r="AN28" s="33"/>
      <c r="AO28" s="34">
        <f t="shared" si="28"/>
        <v>0.84</v>
      </c>
      <c r="AP28" s="44"/>
      <c r="AQ28" s="27"/>
      <c r="AR28" s="27"/>
      <c r="AS28" s="44"/>
      <c r="AT28" s="24"/>
      <c r="AU28" s="44"/>
      <c r="AV28" s="44"/>
      <c r="AW28" s="44"/>
      <c r="AX28" s="44"/>
      <c r="AY28" s="207"/>
      <c r="AZ28" s="44"/>
      <c r="BA28" s="44"/>
      <c r="BB28" s="44"/>
      <c r="BC28" s="44"/>
      <c r="BD28" s="44"/>
      <c r="BE28" s="44"/>
      <c r="BF28" s="37"/>
      <c r="BG28" s="37">
        <f t="shared" si="4"/>
        <v>0</v>
      </c>
      <c r="BH28" s="37"/>
      <c r="BI28" s="37">
        <f t="shared" si="5"/>
        <v>0</v>
      </c>
      <c r="BJ28" s="39"/>
      <c r="BK28" s="37"/>
      <c r="BL28" s="39"/>
      <c r="BM28" s="37"/>
      <c r="BN28" s="39"/>
      <c r="BO28" s="37"/>
      <c r="BP28" s="37"/>
      <c r="BQ28" s="37">
        <f t="shared" si="32"/>
        <v>399.10911610202425</v>
      </c>
      <c r="BR28" s="37">
        <f t="shared" si="33"/>
        <v>399.10911610202425</v>
      </c>
      <c r="BS28" s="39">
        <f t="shared" si="34"/>
        <v>0.9585425101214574</v>
      </c>
      <c r="BT28" s="39"/>
      <c r="BU28" s="40"/>
    </row>
    <row r="29" spans="1:73" s="7" customFormat="1" ht="22.5">
      <c r="A29" s="19">
        <f>A28+1</f>
        <v>6</v>
      </c>
      <c r="B29" s="28" t="s">
        <v>97</v>
      </c>
      <c r="C29" s="30"/>
      <c r="D29" s="31" t="s">
        <v>133</v>
      </c>
      <c r="E29" s="32" t="s">
        <v>179</v>
      </c>
      <c r="F29" s="29" t="s">
        <v>479</v>
      </c>
      <c r="G29" s="39">
        <f>G28</f>
        <v>0.6</v>
      </c>
      <c r="H29" s="29" t="s">
        <v>482</v>
      </c>
      <c r="I29" s="29" t="s">
        <v>485</v>
      </c>
      <c r="J29" s="81">
        <f t="shared" si="8"/>
        <v>0.01764705882352941</v>
      </c>
      <c r="K29" s="33">
        <v>34</v>
      </c>
      <c r="L29" s="34">
        <f t="shared" si="9"/>
        <v>0.01764705882352941</v>
      </c>
      <c r="M29" s="24">
        <v>1</v>
      </c>
      <c r="N29" s="24">
        <v>1</v>
      </c>
      <c r="O29" s="36">
        <f t="shared" si="10"/>
        <v>0.1409621338413908</v>
      </c>
      <c r="P29" s="36">
        <f t="shared" si="11"/>
        <v>0.1409621338413908</v>
      </c>
      <c r="Q29" s="26">
        <v>4</v>
      </c>
      <c r="R29" s="81">
        <f>IF(AND(O29&gt;0,Q29&gt;0),SUMIF('Исх.данные'!$C$14:$H$14,Q29,'Исх.данные'!$C$18:$H$18),IF(O29=0,0,IF(Q29=0,"РОТ")))</f>
        <v>156.08125696908263</v>
      </c>
      <c r="S29" s="26">
        <v>2</v>
      </c>
      <c r="T29" s="81">
        <f>IF(AND(N29&gt;0,P29&gt;0),SUMIF('Исх.данные'!$C$14:$J$30,S29,'Исх.данные'!$C$34:$J$45),IF(N29=0,0,IF(S29=0,"РОТ")))</f>
        <v>105.700598073999</v>
      </c>
      <c r="U29" s="144">
        <f>O29*R29*'Исх.данные'!$C$43%</f>
        <v>0</v>
      </c>
      <c r="V29" s="144">
        <f>P29*T29*'Исх.данные'!$C$44%</f>
        <v>0</v>
      </c>
      <c r="W29" s="144">
        <f t="shared" si="12"/>
        <v>0</v>
      </c>
      <c r="X29" s="145">
        <f t="shared" si="13"/>
        <v>0</v>
      </c>
      <c r="Y29" s="144">
        <f t="shared" si="14"/>
        <v>2.2001547035008335</v>
      </c>
      <c r="Z29" s="145">
        <f t="shared" si="15"/>
        <v>0.7449890926411052</v>
      </c>
      <c r="AA29" s="144">
        <f t="shared" si="16"/>
        <v>0</v>
      </c>
      <c r="AB29" s="145">
        <f t="shared" si="17"/>
        <v>0</v>
      </c>
      <c r="AC29" s="143">
        <v>2.5</v>
      </c>
      <c r="AD29" s="144">
        <f t="shared" si="18"/>
        <v>60.50425434627292</v>
      </c>
      <c r="AE29" s="144">
        <f t="shared" si="19"/>
        <v>39.111927363658026</v>
      </c>
      <c r="AF29" s="36">
        <f t="shared" si="20"/>
        <v>8.963593236484877</v>
      </c>
      <c r="AG29" s="74">
        <f t="shared" si="21"/>
        <v>5.794359609430819</v>
      </c>
      <c r="AH29" s="36">
        <f t="shared" si="22"/>
        <v>69.4678475827578</v>
      </c>
      <c r="AI29" s="36">
        <f t="shared" si="23"/>
        <v>44.90628697308885</v>
      </c>
      <c r="AJ29" s="36">
        <f t="shared" si="24"/>
        <v>21.326629207906645</v>
      </c>
      <c r="AK29" s="74">
        <f t="shared" si="25"/>
        <v>13.786230100738276</v>
      </c>
      <c r="AL29" s="36">
        <f t="shared" si="26"/>
        <v>90.79447679066445</v>
      </c>
      <c r="AM29" s="74">
        <f t="shared" si="27"/>
        <v>58.69251707382712</v>
      </c>
      <c r="AN29" s="33">
        <v>2.02</v>
      </c>
      <c r="AO29" s="34">
        <f t="shared" si="28"/>
        <v>0.84</v>
      </c>
      <c r="AP29" s="79">
        <f>(G29*AN29)*AO29/100</f>
        <v>0.010180799999999999</v>
      </c>
      <c r="AQ29" s="125" t="s">
        <v>186</v>
      </c>
      <c r="AR29" s="81">
        <f>'Исх.данные'!$G$85</f>
        <v>9559.371428571429</v>
      </c>
      <c r="AS29" s="37">
        <f>AP29*AR29</f>
        <v>97.32204863999999</v>
      </c>
      <c r="AT29" s="24"/>
      <c r="AU29" s="44"/>
      <c r="AV29" s="44"/>
      <c r="AW29" s="44"/>
      <c r="AX29" s="37">
        <f>Нормы!B18</f>
        <v>6</v>
      </c>
      <c r="AY29" s="39">
        <f>AX29*D7/10</f>
        <v>0.6</v>
      </c>
      <c r="AZ29" s="117">
        <f>Нормы!D17</f>
        <v>33.7</v>
      </c>
      <c r="BA29" s="37">
        <f>AY29*AZ29*1000</f>
        <v>20220.000000000004</v>
      </c>
      <c r="BB29" s="44"/>
      <c r="BC29" s="44"/>
      <c r="BD29" s="44"/>
      <c r="BE29" s="44"/>
      <c r="BF29" s="37">
        <f>аморт!$H$10</f>
        <v>69.6969696969697</v>
      </c>
      <c r="BG29" s="37">
        <f t="shared" si="4"/>
        <v>9.824633570763602</v>
      </c>
      <c r="BH29" s="37">
        <f>аморт!$H$83</f>
        <v>214.94602272727272</v>
      </c>
      <c r="BI29" s="37">
        <f t="shared" si="5"/>
        <v>30.299250024356446</v>
      </c>
      <c r="BJ29" s="39">
        <f>'Исх.данные'!$E$89</f>
        <v>98.91196513535999</v>
      </c>
      <c r="BK29" s="37">
        <f t="shared" si="29"/>
        <v>8.9020768621824</v>
      </c>
      <c r="BL29" s="39">
        <f>'Исх.данные'!$E$94</f>
        <v>16.685392176959997</v>
      </c>
      <c r="BM29" s="37">
        <f t="shared" si="30"/>
        <v>1.5016852959263998</v>
      </c>
      <c r="BN29" s="39">
        <f>'Исх.данные'!$E$99</f>
        <v>5.761862046719998</v>
      </c>
      <c r="BO29" s="37">
        <f t="shared" si="31"/>
        <v>0.5185675842047999</v>
      </c>
      <c r="BP29" s="37">
        <f>аморт!$D$83*10%/аморт!$G$83*L29*$O$12</f>
        <v>24.23940001948516</v>
      </c>
      <c r="BQ29" s="37">
        <f t="shared" si="32"/>
        <v>20542.094655861412</v>
      </c>
      <c r="BR29" s="37">
        <f t="shared" si="33"/>
        <v>20542.094655861412</v>
      </c>
      <c r="BS29" s="39">
        <f t="shared" si="34"/>
        <v>0.2819242676827816</v>
      </c>
      <c r="BT29" s="39">
        <f>'Исх.данные'!$B$109</f>
        <v>5.1</v>
      </c>
      <c r="BU29" s="40">
        <f>BT29*L29</f>
        <v>0.09</v>
      </c>
    </row>
    <row r="30" spans="1:73" s="56" customFormat="1" ht="11.25">
      <c r="A30" s="54"/>
      <c r="B30" s="55" t="s">
        <v>22</v>
      </c>
      <c r="C30" s="55"/>
      <c r="D30" s="55"/>
      <c r="E30" s="55"/>
      <c r="F30" s="57"/>
      <c r="G30" s="58"/>
      <c r="H30" s="58"/>
      <c r="I30" s="58"/>
      <c r="J30" s="66">
        <f>SUM(J24:J29)</f>
        <v>4.760723981900453</v>
      </c>
      <c r="K30" s="66"/>
      <c r="L30" s="66">
        <f aca="true" t="shared" si="35" ref="L30:BM30">SUM(L24:L29)</f>
        <v>4.760723981900453</v>
      </c>
      <c r="M30" s="66">
        <f t="shared" si="35"/>
        <v>5</v>
      </c>
      <c r="N30" s="66">
        <f t="shared" si="35"/>
        <v>3</v>
      </c>
      <c r="O30" s="66">
        <f t="shared" si="35"/>
        <v>37.06942678659754</v>
      </c>
      <c r="P30" s="66">
        <f t="shared" si="35"/>
        <v>16.460762818986204</v>
      </c>
      <c r="Q30" s="66"/>
      <c r="R30" s="66"/>
      <c r="S30" s="66"/>
      <c r="T30" s="66"/>
      <c r="U30" s="66">
        <f t="shared" si="35"/>
        <v>0</v>
      </c>
      <c r="V30" s="66">
        <f t="shared" si="35"/>
        <v>0</v>
      </c>
      <c r="W30" s="66">
        <f t="shared" si="35"/>
        <v>0</v>
      </c>
      <c r="X30" s="66">
        <f t="shared" si="35"/>
        <v>0</v>
      </c>
      <c r="Y30" s="66">
        <f t="shared" si="35"/>
        <v>603.0094891164565</v>
      </c>
      <c r="Z30" s="66">
        <f t="shared" si="35"/>
        <v>5.810914922600619</v>
      </c>
      <c r="AA30" s="66">
        <f t="shared" si="35"/>
        <v>0</v>
      </c>
      <c r="AB30" s="66">
        <f t="shared" si="35"/>
        <v>0</v>
      </c>
      <c r="AC30" s="66"/>
      <c r="AD30" s="66">
        <f t="shared" si="35"/>
        <v>16582.76095070255</v>
      </c>
      <c r="AE30" s="66">
        <f t="shared" si="35"/>
        <v>305.0730334365325</v>
      </c>
      <c r="AF30" s="66">
        <f t="shared" si="35"/>
        <v>2456.7053260300077</v>
      </c>
      <c r="AG30" s="66">
        <f t="shared" si="35"/>
        <v>45.19600495356037</v>
      </c>
      <c r="AH30" s="66">
        <f t="shared" si="35"/>
        <v>19039.466276732557</v>
      </c>
      <c r="AI30" s="66">
        <f t="shared" si="35"/>
        <v>350.2690383900929</v>
      </c>
      <c r="AJ30" s="66">
        <f t="shared" si="35"/>
        <v>5845.116146956895</v>
      </c>
      <c r="AK30" s="66">
        <f t="shared" si="35"/>
        <v>107.5325947857585</v>
      </c>
      <c r="AL30" s="66">
        <f t="shared" si="35"/>
        <v>24884.58242368945</v>
      </c>
      <c r="AM30" s="66">
        <f t="shared" si="35"/>
        <v>457.80163317585135</v>
      </c>
      <c r="AN30" s="25"/>
      <c r="AO30" s="66"/>
      <c r="AP30" s="66">
        <f t="shared" si="35"/>
        <v>2.7670608</v>
      </c>
      <c r="AQ30" s="66"/>
      <c r="AR30" s="66"/>
      <c r="AS30" s="66">
        <f t="shared" si="35"/>
        <v>26462.51043264</v>
      </c>
      <c r="AT30" s="66"/>
      <c r="AU30" s="66">
        <f t="shared" si="35"/>
        <v>0</v>
      </c>
      <c r="AV30" s="66"/>
      <c r="AW30" s="66">
        <f t="shared" si="35"/>
        <v>0</v>
      </c>
      <c r="AX30" s="66"/>
      <c r="AY30" s="66">
        <f t="shared" si="35"/>
        <v>60.6</v>
      </c>
      <c r="AZ30" s="66"/>
      <c r="BA30" s="66">
        <f t="shared" si="35"/>
        <v>80220</v>
      </c>
      <c r="BB30" s="66"/>
      <c r="BC30" s="66">
        <f t="shared" si="35"/>
        <v>0</v>
      </c>
      <c r="BD30" s="66"/>
      <c r="BE30" s="66">
        <f t="shared" si="35"/>
        <v>0</v>
      </c>
      <c r="BF30" s="66"/>
      <c r="BG30" s="66">
        <f t="shared" si="35"/>
        <v>2539.3700208125465</v>
      </c>
      <c r="BH30" s="66"/>
      <c r="BI30" s="66">
        <f t="shared" si="35"/>
        <v>2659.0696989890766</v>
      </c>
      <c r="BJ30" s="66"/>
      <c r="BK30" s="66">
        <f t="shared" si="35"/>
        <v>2811.5364126597497</v>
      </c>
      <c r="BL30" s="66"/>
      <c r="BM30" s="66">
        <f t="shared" si="35"/>
        <v>426.9610876519775</v>
      </c>
      <c r="BN30" s="66"/>
      <c r="BO30" s="66">
        <f aca="true" t="shared" si="36" ref="BO30:BU30">SUM(BO24:BO29)</f>
        <v>181.10603528221432</v>
      </c>
      <c r="BP30" s="66">
        <f t="shared" si="36"/>
        <v>1657.1632329285333</v>
      </c>
      <c r="BQ30" s="66">
        <f t="shared" si="36"/>
        <v>142300.10097782942</v>
      </c>
      <c r="BR30" s="66"/>
      <c r="BS30" s="66"/>
      <c r="BT30" s="66"/>
      <c r="BU30" s="66">
        <f t="shared" si="36"/>
        <v>28.217692307692307</v>
      </c>
    </row>
    <row r="31" spans="1:73" s="7" customFormat="1" ht="11.25">
      <c r="A31" s="21"/>
      <c r="B31" s="399" t="s">
        <v>105</v>
      </c>
      <c r="C31" s="399"/>
      <c r="D31" s="399"/>
      <c r="E31" s="399"/>
      <c r="F31" s="23"/>
      <c r="G31" s="24"/>
      <c r="H31" s="24"/>
      <c r="I31" s="24"/>
      <c r="J31" s="24"/>
      <c r="K31" s="24"/>
      <c r="L31" s="41"/>
      <c r="M31" s="24"/>
      <c r="N31" s="24"/>
      <c r="O31" s="42"/>
      <c r="P31" s="42"/>
      <c r="Q31" s="26"/>
      <c r="R31" s="24"/>
      <c r="S31" s="26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3"/>
      <c r="AH31" s="42"/>
      <c r="AI31" s="42"/>
      <c r="AJ31" s="42"/>
      <c r="AK31" s="42"/>
      <c r="AL31" s="42"/>
      <c r="AM31" s="42"/>
      <c r="AN31" s="24"/>
      <c r="AO31" s="24"/>
      <c r="AP31" s="44"/>
      <c r="AQ31" s="27"/>
      <c r="AR31" s="27"/>
      <c r="AS31" s="44"/>
      <c r="AT31" s="2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37">
        <f t="shared" si="4"/>
        <v>0</v>
      </c>
      <c r="BH31" s="44"/>
      <c r="BI31" s="37">
        <f t="shared" si="5"/>
        <v>0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</row>
    <row r="32" spans="1:73" s="7" customFormat="1" ht="11.25">
      <c r="A32" s="19">
        <v>1</v>
      </c>
      <c r="B32" s="28" t="s">
        <v>99</v>
      </c>
      <c r="C32" s="30"/>
      <c r="D32" s="418" t="s">
        <v>143</v>
      </c>
      <c r="E32" s="419"/>
      <c r="F32" s="29" t="s">
        <v>181</v>
      </c>
      <c r="G32" s="37">
        <f>AU36</f>
        <v>30</v>
      </c>
      <c r="H32" s="29" t="s">
        <v>490</v>
      </c>
      <c r="I32" s="29" t="s">
        <v>491</v>
      </c>
      <c r="J32" s="81">
        <f>L32/N32</f>
        <v>4.285714285714286</v>
      </c>
      <c r="K32" s="33">
        <v>7</v>
      </c>
      <c r="L32" s="34">
        <f aca="true" t="shared" si="37" ref="L32:L37">IF((M32+N32)&gt;0,G32/K32,0)</f>
        <v>4.285714285714286</v>
      </c>
      <c r="M32" s="24"/>
      <c r="N32" s="24">
        <v>1</v>
      </c>
      <c r="O32" s="36">
        <f aca="true" t="shared" si="38" ref="O32:O37">IF(M32=0,0,L32*$O$12)</f>
        <v>0</v>
      </c>
      <c r="P32" s="36">
        <f aca="true" t="shared" si="39" ref="P32:P37">IF(N32=0,0,L32*$O$12)</f>
        <v>34.233661075766335</v>
      </c>
      <c r="Q32" s="26"/>
      <c r="R32" s="24"/>
      <c r="S32" s="26">
        <v>2</v>
      </c>
      <c r="T32" s="81">
        <f>IF(AND(N32&gt;0,P32&gt;0),SUMIF('Исх.данные'!$C$14:$J$30,S32,'Исх.данные'!$C$34:$J$45),IF(N32=0,0,IF(S32=0,"РОТ")))</f>
        <v>105.700598073999</v>
      </c>
      <c r="U32" s="144">
        <f>O32*R32*'Исх.данные'!$C$43%</f>
        <v>0</v>
      </c>
      <c r="V32" s="144">
        <f>P32*T32*'Исх.данные'!$C$44%</f>
        <v>0</v>
      </c>
      <c r="W32" s="144">
        <f aca="true" t="shared" si="40" ref="W32:W37">O32*R32*$W$12</f>
        <v>0</v>
      </c>
      <c r="X32" s="145">
        <f aca="true" t="shared" si="41" ref="X32:X37">P32*T32*$W$12</f>
        <v>0</v>
      </c>
      <c r="Y32" s="144">
        <f aca="true" t="shared" si="42" ref="Y32:Y37">(O32*R32+U32+W32)*$Y$12</f>
        <v>0</v>
      </c>
      <c r="Z32" s="145">
        <f aca="true" t="shared" si="43" ref="Z32:Z37">(P32*T32+V32+X32)*$Z$12</f>
        <v>180.9259224985541</v>
      </c>
      <c r="AA32" s="144">
        <f aca="true" t="shared" si="44" ref="AA32:AA37">(O32*R32+U32)*$AA$12</f>
        <v>0</v>
      </c>
      <c r="AB32" s="145">
        <f aca="true" t="shared" si="45" ref="AB32:AB37">(P32*T32+V32)*$AA$12</f>
        <v>0</v>
      </c>
      <c r="AC32" s="143">
        <v>2.5</v>
      </c>
      <c r="AD32" s="144">
        <f aca="true" t="shared" si="46" ref="AD32:AD37">(O32*R32+U32+W32+Y32+AA32)*AC32</f>
        <v>0</v>
      </c>
      <c r="AE32" s="144">
        <f aca="true" t="shared" si="47" ref="AE32:AE37">(P32*T32+V32+X32+Z32+AB32)*AC32</f>
        <v>9498.61093117409</v>
      </c>
      <c r="AF32" s="36">
        <f aca="true" t="shared" si="48" ref="AF32:AG37">AD32*$AF$12</f>
        <v>0</v>
      </c>
      <c r="AG32" s="74">
        <f t="shared" si="48"/>
        <v>1407.2016194331984</v>
      </c>
      <c r="AH32" s="36">
        <f aca="true" t="shared" si="49" ref="AH32:AI37">AD32+AF32</f>
        <v>0</v>
      </c>
      <c r="AI32" s="36">
        <f t="shared" si="49"/>
        <v>10905.812550607288</v>
      </c>
      <c r="AJ32" s="36">
        <f aca="true" t="shared" si="50" ref="AJ32:AK37">AH32*$AJ$12</f>
        <v>0</v>
      </c>
      <c r="AK32" s="74">
        <f t="shared" si="50"/>
        <v>3348.0844530364375</v>
      </c>
      <c r="AL32" s="36">
        <f aca="true" t="shared" si="51" ref="AL32:AL37">AH32+AJ32</f>
        <v>0</v>
      </c>
      <c r="AM32" s="74">
        <f aca="true" t="shared" si="52" ref="AM32:AM37">AK32+AI32</f>
        <v>14253.897003643726</v>
      </c>
      <c r="AN32" s="24"/>
      <c r="AO32" s="24"/>
      <c r="AP32" s="44"/>
      <c r="AQ32" s="27"/>
      <c r="AR32" s="27"/>
      <c r="AS32" s="44"/>
      <c r="AT32" s="2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37">
        <f t="shared" si="4"/>
        <v>0</v>
      </c>
      <c r="BH32" s="37"/>
      <c r="BI32" s="37">
        <f t="shared" si="5"/>
        <v>0</v>
      </c>
      <c r="BJ32" s="44"/>
      <c r="BK32" s="44"/>
      <c r="BL32" s="44"/>
      <c r="BM32" s="44"/>
      <c r="BN32" s="44"/>
      <c r="BO32" s="44"/>
      <c r="BP32" s="44"/>
      <c r="BQ32" s="37">
        <f aca="true" t="shared" si="53" ref="BQ32:BQ37">BP32+BO32+BM32+BK32+BI32+BG32+BE32+BA32+AW32+AS32+AM32+AL32</f>
        <v>14253.897003643726</v>
      </c>
      <c r="BR32" s="37">
        <f aca="true" t="shared" si="54" ref="BR32:BR37">BQ32/$D$7</f>
        <v>14253.897003643726</v>
      </c>
      <c r="BS32" s="39">
        <f aca="true" t="shared" si="55" ref="BS32:BS37">(O32+P32)/$D$7</f>
        <v>34.233661075766335</v>
      </c>
      <c r="BT32" s="44"/>
      <c r="BU32" s="44"/>
    </row>
    <row r="33" spans="1:73" s="7" customFormat="1" ht="11.25">
      <c r="A33" s="19">
        <v>2</v>
      </c>
      <c r="B33" s="28" t="s">
        <v>100</v>
      </c>
      <c r="C33" s="30"/>
      <c r="D33" s="31" t="s">
        <v>133</v>
      </c>
      <c r="E33" s="32" t="s">
        <v>140</v>
      </c>
      <c r="F33" s="29" t="s">
        <v>181</v>
      </c>
      <c r="G33" s="37">
        <f>G32</f>
        <v>30</v>
      </c>
      <c r="H33" s="29" t="s">
        <v>490</v>
      </c>
      <c r="I33" s="29" t="s">
        <v>491</v>
      </c>
      <c r="J33" s="81">
        <f>L33/M33</f>
        <v>3.75</v>
      </c>
      <c r="K33" s="33">
        <v>8</v>
      </c>
      <c r="L33" s="34">
        <f t="shared" si="37"/>
        <v>3.75</v>
      </c>
      <c r="M33" s="24">
        <v>1</v>
      </c>
      <c r="N33" s="24">
        <v>1</v>
      </c>
      <c r="O33" s="36">
        <f t="shared" si="38"/>
        <v>29.954453441295545</v>
      </c>
      <c r="P33" s="36">
        <f t="shared" si="39"/>
        <v>29.954453441295545</v>
      </c>
      <c r="Q33" s="26">
        <v>2</v>
      </c>
      <c r="R33" s="81">
        <f>IF(AND(O33&gt;0,Q33&gt;0),SUMIF('Исх.данные'!$C$14:$H$14,Q33,'Исх.данные'!$C$18:$H$18),IF(O33=0,0,IF(Q33=0,"РОТ")))</f>
        <v>126.44557526609226</v>
      </c>
      <c r="S33" s="26">
        <v>2</v>
      </c>
      <c r="T33" s="81">
        <f>IF(AND(N33&gt;0,P33&gt;0),SUMIF('Исх.данные'!$C$14:$J$30,S33,'Исх.данные'!$C$34:$J$45),IF(N33=0,0,IF(S33=0,"РОТ")))</f>
        <v>105.700598073999</v>
      </c>
      <c r="U33" s="144">
        <f>O33*R33*'Исх.данные'!$C$43%</f>
        <v>0</v>
      </c>
      <c r="V33" s="144">
        <f>P33*T33*'Исх.данные'!$C$44%</f>
        <v>0</v>
      </c>
      <c r="W33" s="144">
        <f t="shared" si="40"/>
        <v>0</v>
      </c>
      <c r="X33" s="145">
        <f t="shared" si="41"/>
        <v>0</v>
      </c>
      <c r="Y33" s="144">
        <f t="shared" si="42"/>
        <v>378.7608097165992</v>
      </c>
      <c r="Z33" s="145">
        <f t="shared" si="43"/>
        <v>158.31018218623484</v>
      </c>
      <c r="AA33" s="144">
        <f t="shared" si="44"/>
        <v>0</v>
      </c>
      <c r="AB33" s="145">
        <f t="shared" si="45"/>
        <v>0</v>
      </c>
      <c r="AC33" s="143">
        <v>2.5</v>
      </c>
      <c r="AD33" s="144">
        <f t="shared" si="46"/>
        <v>10415.922267206479</v>
      </c>
      <c r="AE33" s="144">
        <f t="shared" si="47"/>
        <v>8311.284564777328</v>
      </c>
      <c r="AF33" s="36">
        <f t="shared" si="48"/>
        <v>1543.0995951417005</v>
      </c>
      <c r="AG33" s="74">
        <f t="shared" si="48"/>
        <v>1231.3014170040485</v>
      </c>
      <c r="AH33" s="36">
        <f t="shared" si="49"/>
        <v>11959.02186234818</v>
      </c>
      <c r="AI33" s="36">
        <f t="shared" si="49"/>
        <v>9542.585981781376</v>
      </c>
      <c r="AJ33" s="36">
        <f t="shared" si="50"/>
        <v>3671.419711740891</v>
      </c>
      <c r="AK33" s="74">
        <f t="shared" si="50"/>
        <v>2929.5738964068823</v>
      </c>
      <c r="AL33" s="36">
        <f t="shared" si="51"/>
        <v>15630.44157408907</v>
      </c>
      <c r="AM33" s="74">
        <f t="shared" si="52"/>
        <v>12472.159878188259</v>
      </c>
      <c r="AN33" s="24"/>
      <c r="AO33" s="24"/>
      <c r="AP33" s="44"/>
      <c r="AQ33" s="27"/>
      <c r="AR33" s="27"/>
      <c r="AS33" s="44"/>
      <c r="AT33" s="2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37">
        <f>аморт!$H$10</f>
        <v>69.6969696969697</v>
      </c>
      <c r="BG33" s="37">
        <f t="shared" si="4"/>
        <v>2087.7346337872655</v>
      </c>
      <c r="BH33" s="88">
        <f>аморт!$H$25</f>
        <v>12.519247457627118</v>
      </c>
      <c r="BI33" s="37">
        <f t="shared" si="5"/>
        <v>375.00721508954916</v>
      </c>
      <c r="BJ33" s="39">
        <f>'Исх.данные'!$E$89</f>
        <v>98.91196513535999</v>
      </c>
      <c r="BK33" s="37">
        <f>BJ33*BU33</f>
        <v>1891.69133321376</v>
      </c>
      <c r="BL33" s="39">
        <f>'Исх.данные'!$E$94</f>
        <v>16.685392176959997</v>
      </c>
      <c r="BM33" s="37">
        <f>BL33*BU33</f>
        <v>319.10812538435994</v>
      </c>
      <c r="BN33" s="39">
        <f>'Исх.данные'!$E$99</f>
        <v>5.761862046719998</v>
      </c>
      <c r="BO33" s="37">
        <f>BN33*BU33</f>
        <v>110.19561164351997</v>
      </c>
      <c r="BP33" s="37">
        <f>аморт!$D$25*10%/аморт!$G$25*L33*$O$12</f>
        <v>375.00721508954916</v>
      </c>
      <c r="BQ33" s="37">
        <f t="shared" si="53"/>
        <v>33261.34558648533</v>
      </c>
      <c r="BR33" s="37">
        <f t="shared" si="54"/>
        <v>33261.34558648533</v>
      </c>
      <c r="BS33" s="39">
        <f t="shared" si="55"/>
        <v>59.90890688259109</v>
      </c>
      <c r="BT33" s="39">
        <f>'Исх.данные'!$B$109</f>
        <v>5.1</v>
      </c>
      <c r="BU33" s="40">
        <f>BT33*L33</f>
        <v>19.125</v>
      </c>
    </row>
    <row r="34" spans="1:73" s="7" customFormat="1" ht="11.25">
      <c r="A34" s="19">
        <v>3</v>
      </c>
      <c r="B34" s="28" t="s">
        <v>101</v>
      </c>
      <c r="C34" s="30"/>
      <c r="D34" s="31" t="s">
        <v>133</v>
      </c>
      <c r="E34" s="32" t="s">
        <v>140</v>
      </c>
      <c r="F34" s="29" t="s">
        <v>181</v>
      </c>
      <c r="G34" s="37">
        <f>G33</f>
        <v>30</v>
      </c>
      <c r="H34" s="29" t="s">
        <v>490</v>
      </c>
      <c r="I34" s="29" t="s">
        <v>491</v>
      </c>
      <c r="J34" s="81">
        <f>L34/M34</f>
        <v>1</v>
      </c>
      <c r="K34" s="33">
        <v>30</v>
      </c>
      <c r="L34" s="34">
        <f t="shared" si="37"/>
        <v>1</v>
      </c>
      <c r="M34" s="24">
        <v>1</v>
      </c>
      <c r="N34" s="24">
        <v>1</v>
      </c>
      <c r="O34" s="36">
        <f t="shared" si="38"/>
        <v>7.987854251012146</v>
      </c>
      <c r="P34" s="36">
        <f t="shared" si="39"/>
        <v>7.987854251012146</v>
      </c>
      <c r="Q34" s="26">
        <v>2</v>
      </c>
      <c r="R34" s="81">
        <f>IF(AND(O34&gt;0,Q34&gt;0),SUMIF('Исх.данные'!$C$14:$H$14,Q34,'Исх.данные'!$C$18:$H$18),IF(O34=0,0,IF(Q34=0,"РОТ")))</f>
        <v>126.44557526609226</v>
      </c>
      <c r="S34" s="26">
        <v>2</v>
      </c>
      <c r="T34" s="81">
        <f>IF(AND(N34&gt;0,P34&gt;0),SUMIF('Исх.данные'!$C$14:$J$30,S34,'Исх.данные'!$C$34:$J$45),IF(N34=0,0,IF(S34=0,"РОТ")))</f>
        <v>105.700598073999</v>
      </c>
      <c r="U34" s="144">
        <f>O34*R34*'Исх.данные'!$C$43%</f>
        <v>0</v>
      </c>
      <c r="V34" s="144">
        <f>P34*T34*'Исх.данные'!$C$44%</f>
        <v>0</v>
      </c>
      <c r="W34" s="144">
        <f t="shared" si="40"/>
        <v>0</v>
      </c>
      <c r="X34" s="145">
        <f t="shared" si="41"/>
        <v>0</v>
      </c>
      <c r="Y34" s="144">
        <f t="shared" si="42"/>
        <v>101.00288259109314</v>
      </c>
      <c r="Z34" s="145">
        <f t="shared" si="43"/>
        <v>42.21604858299596</v>
      </c>
      <c r="AA34" s="144">
        <f t="shared" si="44"/>
        <v>0</v>
      </c>
      <c r="AB34" s="145">
        <f t="shared" si="45"/>
        <v>0</v>
      </c>
      <c r="AC34" s="143">
        <v>2.5</v>
      </c>
      <c r="AD34" s="144">
        <f t="shared" si="46"/>
        <v>2777.579271255061</v>
      </c>
      <c r="AE34" s="144">
        <f t="shared" si="47"/>
        <v>2216.3425506072876</v>
      </c>
      <c r="AF34" s="36">
        <f t="shared" si="48"/>
        <v>411.4932253711201</v>
      </c>
      <c r="AG34" s="74">
        <f t="shared" si="48"/>
        <v>328.347044534413</v>
      </c>
      <c r="AH34" s="36">
        <f t="shared" si="49"/>
        <v>3189.072496626181</v>
      </c>
      <c r="AI34" s="36">
        <f t="shared" si="49"/>
        <v>2544.6895951417005</v>
      </c>
      <c r="AJ34" s="36">
        <f t="shared" si="50"/>
        <v>979.0452564642376</v>
      </c>
      <c r="AK34" s="74">
        <f t="shared" si="50"/>
        <v>781.219705708502</v>
      </c>
      <c r="AL34" s="36">
        <f t="shared" si="51"/>
        <v>4168.117753090419</v>
      </c>
      <c r="AM34" s="74">
        <f t="shared" si="52"/>
        <v>3325.9093008502023</v>
      </c>
      <c r="AN34" s="33">
        <v>4.5</v>
      </c>
      <c r="AO34" s="34">
        <f>$AO$17</f>
        <v>0.84</v>
      </c>
      <c r="AP34" s="79">
        <f>(G34*AN34)*AO34/100</f>
        <v>1.134</v>
      </c>
      <c r="AQ34" s="125" t="s">
        <v>186</v>
      </c>
      <c r="AR34" s="81">
        <f>'Исх.данные'!$G$85</f>
        <v>9559.371428571429</v>
      </c>
      <c r="AS34" s="37">
        <f>AP34*AR34</f>
        <v>10840.3272</v>
      </c>
      <c r="AT34" s="2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37">
        <f>аморт!$H$10</f>
        <v>69.6969696969697</v>
      </c>
      <c r="BG34" s="37">
        <f t="shared" si="4"/>
        <v>556.7292356766042</v>
      </c>
      <c r="BH34" s="88">
        <f>аморт!$H$25</f>
        <v>12.519247457627118</v>
      </c>
      <c r="BI34" s="37">
        <f t="shared" si="5"/>
        <v>100.00192402387978</v>
      </c>
      <c r="BJ34" s="39">
        <f>'Исх.данные'!$E$89</f>
        <v>98.91196513535999</v>
      </c>
      <c r="BK34" s="37">
        <f>BJ34*BU34</f>
        <v>504.45102219033595</v>
      </c>
      <c r="BL34" s="39">
        <f>'Исх.данные'!$E$94</f>
        <v>16.685392176959997</v>
      </c>
      <c r="BM34" s="37">
        <f>BL34*BU34</f>
        <v>85.09550010249598</v>
      </c>
      <c r="BN34" s="39">
        <f>'Исх.данные'!$E$99</f>
        <v>5.761862046719998</v>
      </c>
      <c r="BO34" s="37">
        <f>BN34*BU34</f>
        <v>29.38549643827199</v>
      </c>
      <c r="BP34" s="37">
        <f>аморт!$D$25*10%/аморт!$G$25*L34*$O$12</f>
        <v>100.00192402387978</v>
      </c>
      <c r="BQ34" s="37">
        <f t="shared" si="53"/>
        <v>19710.019356396086</v>
      </c>
      <c r="BR34" s="37">
        <f t="shared" si="54"/>
        <v>19710.019356396086</v>
      </c>
      <c r="BS34" s="39">
        <f t="shared" si="55"/>
        <v>15.975708502024291</v>
      </c>
      <c r="BT34" s="39">
        <f>'Исх.данные'!$B$109</f>
        <v>5.1</v>
      </c>
      <c r="BU34" s="40">
        <f>BT34*L34</f>
        <v>5.1</v>
      </c>
    </row>
    <row r="35" spans="1:73" s="7" customFormat="1" ht="11.25">
      <c r="A35" s="19">
        <v>4</v>
      </c>
      <c r="B35" s="28" t="s">
        <v>102</v>
      </c>
      <c r="C35" s="30"/>
      <c r="D35" s="418" t="s">
        <v>143</v>
      </c>
      <c r="E35" s="419"/>
      <c r="F35" s="29" t="s">
        <v>181</v>
      </c>
      <c r="G35" s="37">
        <f>G34</f>
        <v>30</v>
      </c>
      <c r="H35" s="29" t="s">
        <v>490</v>
      </c>
      <c r="I35" s="29" t="s">
        <v>491</v>
      </c>
      <c r="J35" s="81">
        <f>L35/N35</f>
        <v>1</v>
      </c>
      <c r="K35" s="33">
        <v>30</v>
      </c>
      <c r="L35" s="34">
        <f t="shared" si="37"/>
        <v>1</v>
      </c>
      <c r="M35" s="24"/>
      <c r="N35" s="24">
        <v>1</v>
      </c>
      <c r="O35" s="36">
        <f t="shared" si="38"/>
        <v>0</v>
      </c>
      <c r="P35" s="36">
        <f t="shared" si="39"/>
        <v>7.987854251012146</v>
      </c>
      <c r="Q35" s="26">
        <v>2</v>
      </c>
      <c r="R35" s="81">
        <f>IF(AND(O35&gt;0,Q35&gt;0),SUMIF('Исх.данные'!$C$14:$H$14,Q35,'Исх.данные'!$C$18:$H$18),IF(O35=0,0,IF(Q35=0,"РОТ")))</f>
        <v>0</v>
      </c>
      <c r="S35" s="26">
        <v>2</v>
      </c>
      <c r="T35" s="81">
        <f>IF(AND(N35&gt;0,P35&gt;0),SUMIF('Исх.данные'!$C$14:$J$30,S35,'Исх.данные'!$C$34:$J$45),IF(N35=0,0,IF(S35=0,"РОТ")))</f>
        <v>105.700598073999</v>
      </c>
      <c r="U35" s="144">
        <f>O35*R35*'Исх.данные'!$C$43%</f>
        <v>0</v>
      </c>
      <c r="V35" s="144">
        <f>P35*T35*'Исх.данные'!$C$44%</f>
        <v>0</v>
      </c>
      <c r="W35" s="144">
        <f t="shared" si="40"/>
        <v>0</v>
      </c>
      <c r="X35" s="145">
        <f t="shared" si="41"/>
        <v>0</v>
      </c>
      <c r="Y35" s="144">
        <f t="shared" si="42"/>
        <v>0</v>
      </c>
      <c r="Z35" s="145">
        <f t="shared" si="43"/>
        <v>42.21604858299596</v>
      </c>
      <c r="AA35" s="144">
        <f t="shared" si="44"/>
        <v>0</v>
      </c>
      <c r="AB35" s="145">
        <f t="shared" si="45"/>
        <v>0</v>
      </c>
      <c r="AC35" s="143">
        <v>2.5</v>
      </c>
      <c r="AD35" s="144">
        <f t="shared" si="46"/>
        <v>0</v>
      </c>
      <c r="AE35" s="144">
        <f t="shared" si="47"/>
        <v>2216.3425506072876</v>
      </c>
      <c r="AF35" s="36">
        <f t="shared" si="48"/>
        <v>0</v>
      </c>
      <c r="AG35" s="74">
        <f t="shared" si="48"/>
        <v>328.347044534413</v>
      </c>
      <c r="AH35" s="36">
        <f t="shared" si="49"/>
        <v>0</v>
      </c>
      <c r="AI35" s="36">
        <f t="shared" si="49"/>
        <v>2544.6895951417005</v>
      </c>
      <c r="AJ35" s="36">
        <f t="shared" si="50"/>
        <v>0</v>
      </c>
      <c r="AK35" s="74">
        <f t="shared" si="50"/>
        <v>781.219705708502</v>
      </c>
      <c r="AL35" s="36">
        <f t="shared" si="51"/>
        <v>0</v>
      </c>
      <c r="AM35" s="74">
        <f t="shared" si="52"/>
        <v>3325.9093008502023</v>
      </c>
      <c r="AN35" s="33"/>
      <c r="AO35" s="34">
        <f>$AO$17</f>
        <v>0.84</v>
      </c>
      <c r="AP35" s="44"/>
      <c r="AQ35" s="27"/>
      <c r="AR35" s="27"/>
      <c r="AS35" s="44"/>
      <c r="AT35" s="2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37"/>
      <c r="BG35" s="37">
        <f t="shared" si="4"/>
        <v>0</v>
      </c>
      <c r="BH35" s="88"/>
      <c r="BI35" s="37">
        <f t="shared" si="5"/>
        <v>0</v>
      </c>
      <c r="BJ35" s="39"/>
      <c r="BK35" s="37"/>
      <c r="BL35" s="39"/>
      <c r="BM35" s="37"/>
      <c r="BN35" s="39"/>
      <c r="BO35" s="37"/>
      <c r="BP35" s="37"/>
      <c r="BQ35" s="37">
        <f t="shared" si="53"/>
        <v>3325.9093008502023</v>
      </c>
      <c r="BR35" s="37">
        <f t="shared" si="54"/>
        <v>3325.9093008502023</v>
      </c>
      <c r="BS35" s="39">
        <f t="shared" si="55"/>
        <v>7.987854251012146</v>
      </c>
      <c r="BT35" s="39"/>
      <c r="BU35" s="40"/>
    </row>
    <row r="36" spans="1:73" s="7" customFormat="1" ht="11.25">
      <c r="A36" s="19">
        <v>5</v>
      </c>
      <c r="B36" s="28" t="s">
        <v>128</v>
      </c>
      <c r="C36" s="30"/>
      <c r="D36" s="31" t="s">
        <v>133</v>
      </c>
      <c r="E36" s="32" t="s">
        <v>180</v>
      </c>
      <c r="F36" s="29" t="s">
        <v>134</v>
      </c>
      <c r="G36" s="30">
        <f>D7</f>
        <v>1</v>
      </c>
      <c r="H36" s="29" t="s">
        <v>490</v>
      </c>
      <c r="I36" s="29" t="s">
        <v>491</v>
      </c>
      <c r="J36" s="81">
        <f>L36/M36</f>
        <v>1</v>
      </c>
      <c r="K36" s="33">
        <v>1</v>
      </c>
      <c r="L36" s="34">
        <f t="shared" si="37"/>
        <v>1</v>
      </c>
      <c r="M36" s="24">
        <v>1</v>
      </c>
      <c r="N36" s="24">
        <v>1</v>
      </c>
      <c r="O36" s="36">
        <f t="shared" si="38"/>
        <v>7.987854251012146</v>
      </c>
      <c r="P36" s="36">
        <f t="shared" si="39"/>
        <v>7.987854251012146</v>
      </c>
      <c r="Q36" s="26">
        <v>2</v>
      </c>
      <c r="R36" s="81">
        <f>IF(AND(O36&gt;0,Q36&gt;0),SUMIF('Исх.данные'!$C$14:$H$14,Q36,'Исх.данные'!$C$18:$H$18),IF(O36=0,0,IF(Q36=0,"РОТ")))</f>
        <v>126.44557526609226</v>
      </c>
      <c r="S36" s="26">
        <v>3</v>
      </c>
      <c r="T36" s="81">
        <f>IF(AND(N36&gt;0,P36&gt;0),SUMIF('Исх.данные'!$C$14:$J$30,S36,'Исх.данные'!$C$34:$J$45),IF(N36=0,0,IF(S36=0,"РОТ")))</f>
        <v>113.60344652812975</v>
      </c>
      <c r="U36" s="144">
        <f>O36*R36*'Исх.данные'!$C$43%</f>
        <v>0</v>
      </c>
      <c r="V36" s="144">
        <f>P36*T36*'Исх.данные'!$C$44%</f>
        <v>0</v>
      </c>
      <c r="W36" s="144">
        <f t="shared" si="40"/>
        <v>0</v>
      </c>
      <c r="X36" s="145">
        <f t="shared" si="41"/>
        <v>0</v>
      </c>
      <c r="Y36" s="144">
        <f t="shared" si="42"/>
        <v>101.00288259109314</v>
      </c>
      <c r="Z36" s="145">
        <f t="shared" si="43"/>
        <v>45.37238866396761</v>
      </c>
      <c r="AA36" s="144">
        <f t="shared" si="44"/>
        <v>0</v>
      </c>
      <c r="AB36" s="145">
        <f t="shared" si="45"/>
        <v>0</v>
      </c>
      <c r="AC36" s="143">
        <v>2.5</v>
      </c>
      <c r="AD36" s="144">
        <f t="shared" si="46"/>
        <v>2777.579271255061</v>
      </c>
      <c r="AE36" s="144">
        <f t="shared" si="47"/>
        <v>2382.0504048582998</v>
      </c>
      <c r="AF36" s="36">
        <f t="shared" si="48"/>
        <v>411.4932253711201</v>
      </c>
      <c r="AG36" s="74">
        <f t="shared" si="48"/>
        <v>352.8963562753037</v>
      </c>
      <c r="AH36" s="36">
        <f t="shared" si="49"/>
        <v>3189.072496626181</v>
      </c>
      <c r="AI36" s="36">
        <f t="shared" si="49"/>
        <v>2734.9467611336036</v>
      </c>
      <c r="AJ36" s="36">
        <f t="shared" si="50"/>
        <v>979.0452564642376</v>
      </c>
      <c r="AK36" s="74">
        <f t="shared" si="50"/>
        <v>839.6286556680163</v>
      </c>
      <c r="AL36" s="36">
        <f t="shared" si="51"/>
        <v>4168.117753090419</v>
      </c>
      <c r="AM36" s="74">
        <f t="shared" si="52"/>
        <v>3574.57541680162</v>
      </c>
      <c r="AN36" s="33">
        <v>5.4</v>
      </c>
      <c r="AO36" s="34">
        <f>$AO$17</f>
        <v>0.84</v>
      </c>
      <c r="AP36" s="79">
        <f>(G36*AN36)*AO36/100</f>
        <v>0.045360000000000004</v>
      </c>
      <c r="AQ36" s="125" t="s">
        <v>186</v>
      </c>
      <c r="AR36" s="81">
        <f>'Исх.данные'!$G$85</f>
        <v>9559.371428571429</v>
      </c>
      <c r="AS36" s="37">
        <f>AP36*AR36</f>
        <v>433.61308800000006</v>
      </c>
      <c r="AT36" s="31">
        <f>Нормы!B26</f>
        <v>30</v>
      </c>
      <c r="AU36" s="37">
        <f>AT36*G36</f>
        <v>30</v>
      </c>
      <c r="AV36" s="37">
        <f>'О-РРсеб'!B30</f>
        <v>10476.839644157537</v>
      </c>
      <c r="AW36" s="37">
        <f>AU36*AV36</f>
        <v>314305.1893247261</v>
      </c>
      <c r="AX36" s="44"/>
      <c r="AY36" s="44"/>
      <c r="AZ36" s="44"/>
      <c r="BA36" s="44"/>
      <c r="BB36" s="44"/>
      <c r="BC36" s="44"/>
      <c r="BD36" s="44"/>
      <c r="BE36" s="44"/>
      <c r="BF36" s="37">
        <f>аморт!$H$10</f>
        <v>69.6969696969697</v>
      </c>
      <c r="BG36" s="37">
        <f t="shared" si="4"/>
        <v>556.7292356766042</v>
      </c>
      <c r="BH36" s="37">
        <f>аморт!$H$88</f>
        <v>114.406775</v>
      </c>
      <c r="BI36" s="37">
        <f t="shared" si="5"/>
        <v>913.8646440283401</v>
      </c>
      <c r="BJ36" s="39">
        <f>'Исх.данные'!$E$89</f>
        <v>98.91196513535999</v>
      </c>
      <c r="BK36" s="37">
        <f>BJ36*BU36</f>
        <v>504.45102219033595</v>
      </c>
      <c r="BL36" s="39">
        <f>'Исх.данные'!$E$94</f>
        <v>16.685392176959997</v>
      </c>
      <c r="BM36" s="37">
        <f>BL36*BU36</f>
        <v>85.09550010249598</v>
      </c>
      <c r="BN36" s="39">
        <f>'Исх.данные'!$E$99</f>
        <v>5.761862046719998</v>
      </c>
      <c r="BO36" s="37">
        <f>BN36*BU36</f>
        <v>29.38549643827199</v>
      </c>
      <c r="BP36" s="69"/>
      <c r="BQ36" s="37">
        <f t="shared" si="53"/>
        <v>324571.02148105414</v>
      </c>
      <c r="BR36" s="37">
        <f t="shared" si="54"/>
        <v>324571.02148105414</v>
      </c>
      <c r="BS36" s="39">
        <f t="shared" si="55"/>
        <v>15.975708502024291</v>
      </c>
      <c r="BT36" s="39">
        <f>'Исх.данные'!$B$109</f>
        <v>5.1</v>
      </c>
      <c r="BU36" s="40">
        <f>BT36*L36</f>
        <v>5.1</v>
      </c>
    </row>
    <row r="37" spans="1:73" s="7" customFormat="1" ht="11.25">
      <c r="A37" s="19">
        <v>6</v>
      </c>
      <c r="B37" s="28" t="s">
        <v>104</v>
      </c>
      <c r="C37" s="30"/>
      <c r="D37" s="418" t="s">
        <v>143</v>
      </c>
      <c r="E37" s="419"/>
      <c r="F37" s="29" t="s">
        <v>134</v>
      </c>
      <c r="G37" s="30">
        <f>G36</f>
        <v>1</v>
      </c>
      <c r="H37" s="29" t="s">
        <v>490</v>
      </c>
      <c r="I37" s="29" t="s">
        <v>491</v>
      </c>
      <c r="J37" s="81">
        <f>L37/N37</f>
        <v>2.857142857142857</v>
      </c>
      <c r="K37" s="33">
        <v>0.35</v>
      </c>
      <c r="L37" s="34">
        <f t="shared" si="37"/>
        <v>2.857142857142857</v>
      </c>
      <c r="M37" s="24"/>
      <c r="N37" s="24">
        <v>1</v>
      </c>
      <c r="O37" s="36">
        <f t="shared" si="38"/>
        <v>0</v>
      </c>
      <c r="P37" s="36">
        <f t="shared" si="39"/>
        <v>22.82244071717756</v>
      </c>
      <c r="Q37" s="26"/>
      <c r="R37" s="24"/>
      <c r="S37" s="26">
        <v>3</v>
      </c>
      <c r="T37" s="81">
        <f>IF(AND(N37&gt;0,P37&gt;0),SUMIF('Исх.данные'!$C$14:J41,S37,'Исх.данные'!$C$34:J56),IF(N37=0,0,IF(S37=0,"РОТ")))</f>
        <v>113.60344652812975</v>
      </c>
      <c r="U37" s="144">
        <f>O37*R37*'Исх.данные'!$C$43%</f>
        <v>0</v>
      </c>
      <c r="V37" s="144">
        <f>P37*T37*'Исх.данные'!$C$44%</f>
        <v>0</v>
      </c>
      <c r="W37" s="144">
        <f t="shared" si="40"/>
        <v>0</v>
      </c>
      <c r="X37" s="145">
        <f t="shared" si="41"/>
        <v>0</v>
      </c>
      <c r="Y37" s="144">
        <f t="shared" si="42"/>
        <v>0</v>
      </c>
      <c r="Z37" s="145">
        <f t="shared" si="43"/>
        <v>129.63539618276462</v>
      </c>
      <c r="AA37" s="144">
        <f t="shared" si="44"/>
        <v>0</v>
      </c>
      <c r="AB37" s="145">
        <f t="shared" si="45"/>
        <v>0</v>
      </c>
      <c r="AC37" s="143">
        <v>2.5</v>
      </c>
      <c r="AD37" s="144">
        <f t="shared" si="46"/>
        <v>0</v>
      </c>
      <c r="AE37" s="144">
        <f t="shared" si="47"/>
        <v>6805.858299595142</v>
      </c>
      <c r="AF37" s="36">
        <f t="shared" si="48"/>
        <v>0</v>
      </c>
      <c r="AG37" s="74">
        <f t="shared" si="48"/>
        <v>1008.2753036437247</v>
      </c>
      <c r="AH37" s="36">
        <f t="shared" si="49"/>
        <v>0</v>
      </c>
      <c r="AI37" s="36">
        <f t="shared" si="49"/>
        <v>7814.133603238866</v>
      </c>
      <c r="AJ37" s="36">
        <f t="shared" si="50"/>
        <v>0</v>
      </c>
      <c r="AK37" s="74">
        <f t="shared" si="50"/>
        <v>2398.939016194332</v>
      </c>
      <c r="AL37" s="36">
        <f t="shared" si="51"/>
        <v>0</v>
      </c>
      <c r="AM37" s="74">
        <f t="shared" si="52"/>
        <v>10213.072619433198</v>
      </c>
      <c r="AN37" s="24"/>
      <c r="AO37" s="24"/>
      <c r="AP37" s="44"/>
      <c r="AQ37" s="27"/>
      <c r="AR37" s="27"/>
      <c r="AS37" s="44"/>
      <c r="AT37" s="2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37">
        <f t="shared" si="4"/>
        <v>0</v>
      </c>
      <c r="BH37" s="37"/>
      <c r="BI37" s="37">
        <f t="shared" si="5"/>
        <v>0</v>
      </c>
      <c r="BJ37" s="44"/>
      <c r="BK37" s="44"/>
      <c r="BL37" s="44"/>
      <c r="BM37" s="44"/>
      <c r="BN37" s="44"/>
      <c r="BO37" s="44"/>
      <c r="BP37" s="44"/>
      <c r="BQ37" s="37">
        <f t="shared" si="53"/>
        <v>10213.072619433198</v>
      </c>
      <c r="BR37" s="37">
        <f t="shared" si="54"/>
        <v>10213.072619433198</v>
      </c>
      <c r="BS37" s="39">
        <f t="shared" si="55"/>
        <v>22.82244071717756</v>
      </c>
      <c r="BT37" s="44"/>
      <c r="BU37" s="44"/>
    </row>
    <row r="38" spans="1:73" s="56" customFormat="1" ht="11.25">
      <c r="A38" s="54"/>
      <c r="B38" s="55" t="s">
        <v>22</v>
      </c>
      <c r="C38" s="55"/>
      <c r="D38" s="55"/>
      <c r="E38" s="55"/>
      <c r="F38" s="57"/>
      <c r="G38" s="58"/>
      <c r="H38" s="58"/>
      <c r="I38" s="58"/>
      <c r="J38" s="66">
        <f>SUM(J32:J37)</f>
        <v>13.892857142857142</v>
      </c>
      <c r="K38" s="66"/>
      <c r="L38" s="66">
        <f aca="true" t="shared" si="56" ref="L38:BM38">SUM(L32:L37)</f>
        <v>13.892857142857142</v>
      </c>
      <c r="M38" s="66">
        <f t="shared" si="56"/>
        <v>3</v>
      </c>
      <c r="N38" s="66">
        <f t="shared" si="56"/>
        <v>6</v>
      </c>
      <c r="O38" s="66">
        <f t="shared" si="56"/>
        <v>45.93016194331984</v>
      </c>
      <c r="P38" s="66">
        <f t="shared" si="56"/>
        <v>110.97411798727589</v>
      </c>
      <c r="Q38" s="66"/>
      <c r="R38" s="66"/>
      <c r="S38" s="66"/>
      <c r="T38" s="66"/>
      <c r="U38" s="66">
        <f t="shared" si="56"/>
        <v>0</v>
      </c>
      <c r="V38" s="66">
        <f t="shared" si="56"/>
        <v>0</v>
      </c>
      <c r="W38" s="66">
        <f t="shared" si="56"/>
        <v>0</v>
      </c>
      <c r="X38" s="66">
        <f t="shared" si="56"/>
        <v>0</v>
      </c>
      <c r="Y38" s="66">
        <f t="shared" si="56"/>
        <v>580.7665748987855</v>
      </c>
      <c r="Z38" s="66">
        <f t="shared" si="56"/>
        <v>598.675986697513</v>
      </c>
      <c r="AA38" s="66">
        <f t="shared" si="56"/>
        <v>0</v>
      </c>
      <c r="AB38" s="66">
        <f t="shared" si="56"/>
        <v>0</v>
      </c>
      <c r="AC38" s="66"/>
      <c r="AD38" s="66">
        <f t="shared" si="56"/>
        <v>15971.080809716601</v>
      </c>
      <c r="AE38" s="66">
        <f t="shared" si="56"/>
        <v>31430.489301619433</v>
      </c>
      <c r="AF38" s="66">
        <f t="shared" si="56"/>
        <v>2366.0860458839406</v>
      </c>
      <c r="AG38" s="66">
        <f t="shared" si="56"/>
        <v>4656.368785425101</v>
      </c>
      <c r="AH38" s="66">
        <f t="shared" si="56"/>
        <v>18337.166855600542</v>
      </c>
      <c r="AI38" s="66">
        <f t="shared" si="56"/>
        <v>36086.85808704454</v>
      </c>
      <c r="AJ38" s="66">
        <f t="shared" si="56"/>
        <v>5629.510224669366</v>
      </c>
      <c r="AK38" s="66">
        <f t="shared" si="56"/>
        <v>11078.665432722673</v>
      </c>
      <c r="AL38" s="66">
        <f t="shared" si="56"/>
        <v>23966.67708026991</v>
      </c>
      <c r="AM38" s="66">
        <f t="shared" si="56"/>
        <v>47165.523519767215</v>
      </c>
      <c r="AN38" s="25"/>
      <c r="AO38" s="66"/>
      <c r="AP38" s="66">
        <f t="shared" si="56"/>
        <v>1.17936</v>
      </c>
      <c r="AQ38" s="66"/>
      <c r="AR38" s="66"/>
      <c r="AS38" s="66">
        <f t="shared" si="56"/>
        <v>11273.940288</v>
      </c>
      <c r="AT38" s="66"/>
      <c r="AU38" s="66">
        <f t="shared" si="56"/>
        <v>30</v>
      </c>
      <c r="AV38" s="66"/>
      <c r="AW38" s="66">
        <f t="shared" si="56"/>
        <v>314305.1893247261</v>
      </c>
      <c r="AX38" s="66"/>
      <c r="AY38" s="66">
        <f t="shared" si="56"/>
        <v>0</v>
      </c>
      <c r="AZ38" s="66"/>
      <c r="BA38" s="66">
        <f t="shared" si="56"/>
        <v>0</v>
      </c>
      <c r="BB38" s="66"/>
      <c r="BC38" s="66">
        <f t="shared" si="56"/>
        <v>0</v>
      </c>
      <c r="BD38" s="66"/>
      <c r="BE38" s="66">
        <f t="shared" si="56"/>
        <v>0</v>
      </c>
      <c r="BF38" s="66"/>
      <c r="BG38" s="66">
        <f t="shared" si="56"/>
        <v>3201.193105140474</v>
      </c>
      <c r="BH38" s="66"/>
      <c r="BI38" s="66">
        <f t="shared" si="56"/>
        <v>1388.873783141769</v>
      </c>
      <c r="BJ38" s="66"/>
      <c r="BK38" s="66">
        <f t="shared" si="56"/>
        <v>2900.593377594432</v>
      </c>
      <c r="BL38" s="66"/>
      <c r="BM38" s="66">
        <f t="shared" si="56"/>
        <v>489.2991255893519</v>
      </c>
      <c r="BN38" s="66"/>
      <c r="BO38" s="66">
        <f aca="true" t="shared" si="57" ref="BO38:BU38">SUM(BO32:BO37)</f>
        <v>168.96660452006395</v>
      </c>
      <c r="BP38" s="66">
        <f t="shared" si="57"/>
        <v>475.00913911342894</v>
      </c>
      <c r="BQ38" s="66">
        <f t="shared" si="57"/>
        <v>405335.2653478627</v>
      </c>
      <c r="BR38" s="66"/>
      <c r="BS38" s="66"/>
      <c r="BT38" s="66"/>
      <c r="BU38" s="66">
        <f t="shared" si="57"/>
        <v>29.325000000000003</v>
      </c>
    </row>
    <row r="39" spans="1:73" s="7" customFormat="1" ht="11.25">
      <c r="A39" s="21"/>
      <c r="B39" s="399" t="s">
        <v>109</v>
      </c>
      <c r="C39" s="399"/>
      <c r="D39" s="399"/>
      <c r="E39" s="399"/>
      <c r="F39" s="23"/>
      <c r="G39" s="24"/>
      <c r="H39" s="24"/>
      <c r="I39" s="24"/>
      <c r="J39" s="24"/>
      <c r="K39" s="24"/>
      <c r="L39" s="41"/>
      <c r="M39" s="24"/>
      <c r="N39" s="24"/>
      <c r="O39" s="42"/>
      <c r="P39" s="42"/>
      <c r="Q39" s="26"/>
      <c r="R39" s="24"/>
      <c r="S39" s="26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3"/>
      <c r="AH39" s="42"/>
      <c r="AI39" s="42"/>
      <c r="AJ39" s="42"/>
      <c r="AK39" s="42"/>
      <c r="AL39" s="42"/>
      <c r="AM39" s="42"/>
      <c r="AN39" s="24"/>
      <c r="AO39" s="24"/>
      <c r="AP39" s="44"/>
      <c r="AQ39" s="27"/>
      <c r="AR39" s="27"/>
      <c r="AS39" s="44"/>
      <c r="AT39" s="2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37">
        <f t="shared" si="4"/>
        <v>0</v>
      </c>
      <c r="BH39" s="44"/>
      <c r="BI39" s="37">
        <f t="shared" si="5"/>
        <v>0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</row>
    <row r="40" spans="1:73" s="7" customFormat="1" ht="11.25">
      <c r="A40" s="19">
        <v>1</v>
      </c>
      <c r="B40" s="28" t="s">
        <v>53</v>
      </c>
      <c r="C40" s="22"/>
      <c r="D40" s="434" t="s">
        <v>220</v>
      </c>
      <c r="E40" s="435"/>
      <c r="F40" s="29" t="s">
        <v>167</v>
      </c>
      <c r="G40" s="30">
        <f>SUM(G41:G44)</f>
        <v>2100</v>
      </c>
      <c r="H40" s="29" t="s">
        <v>490</v>
      </c>
      <c r="I40" s="29" t="s">
        <v>491</v>
      </c>
      <c r="J40" s="81">
        <f>L40/N40</f>
        <v>2.7777777777777777</v>
      </c>
      <c r="K40" s="33">
        <v>756</v>
      </c>
      <c r="L40" s="34">
        <f>IF((M40+N40)&gt;0,G40/K40,0)</f>
        <v>2.7777777777777777</v>
      </c>
      <c r="M40" s="24"/>
      <c r="N40" s="24">
        <v>1</v>
      </c>
      <c r="O40" s="36">
        <f>IF(M40=0,0,L40*$O$12)</f>
        <v>0</v>
      </c>
      <c r="P40" s="36">
        <f>IF(N40=0,0,L40*$O$12)</f>
        <v>22.188484030589294</v>
      </c>
      <c r="Q40" s="26">
        <v>5</v>
      </c>
      <c r="R40" s="81">
        <f>IF(AND(O40&gt;0,Q40&gt;0),SUMIF('Исх.данные'!$C$14:$H$14,Q40,'Исх.данные'!$C$26:$H$26),IF(O40=0,0,IF(Q40=0,"РОТ")))</f>
        <v>0</v>
      </c>
      <c r="S40" s="26">
        <v>5</v>
      </c>
      <c r="T40" s="81">
        <f>IF(AND(N40&gt;0,P40&gt;0),SUMIF('Исх.данные'!$C$14:$J$30,S40,'Исх.данные'!$C$34:$J$45),IF(N40=0,0,IF(S40=0,"РОТ")))</f>
        <v>136.3241358337557</v>
      </c>
      <c r="U40" s="144">
        <f>O40*R40*'Исх.данные'!$C$43%</f>
        <v>0</v>
      </c>
      <c r="V40" s="144">
        <f>P40*T40*'Исх.данные'!$C$44%</f>
        <v>0</v>
      </c>
      <c r="W40" s="144">
        <f>O40*R40*$W$12</f>
        <v>0</v>
      </c>
      <c r="X40" s="145">
        <f>P40*T40*$W$12</f>
        <v>0</v>
      </c>
      <c r="Y40" s="144">
        <f>(O40*R40+U40+W40)*$Y$12</f>
        <v>0</v>
      </c>
      <c r="Z40" s="145">
        <f>(P40*T40+V40+X40)*$Z$12</f>
        <v>151.2412955465587</v>
      </c>
      <c r="AA40" s="144">
        <f>(O40*R40+U40)*$AA$12</f>
        <v>0</v>
      </c>
      <c r="AB40" s="145">
        <f>(P40*T40+V40)*$AA$12</f>
        <v>0</v>
      </c>
      <c r="AC40" s="143">
        <v>2.5</v>
      </c>
      <c r="AD40" s="144">
        <f>(O40*R40+U40+W40+Y40+AA40)*AC40</f>
        <v>0</v>
      </c>
      <c r="AE40" s="144">
        <f>(P40*T40+V40+X40+Z40+AB40)*AC40</f>
        <v>7940.168016194331</v>
      </c>
      <c r="AF40" s="36">
        <f aca="true" t="shared" si="58" ref="AF40:AG44">AD40*$AF$12</f>
        <v>0</v>
      </c>
      <c r="AG40" s="74">
        <f t="shared" si="58"/>
        <v>1176.3211875843454</v>
      </c>
      <c r="AH40" s="36">
        <f aca="true" t="shared" si="59" ref="AH40:AI44">AD40+AF40</f>
        <v>0</v>
      </c>
      <c r="AI40" s="36">
        <f t="shared" si="59"/>
        <v>9116.489203778678</v>
      </c>
      <c r="AJ40" s="36">
        <f aca="true" t="shared" si="60" ref="AJ40:AK44">AH40*$AJ$12</f>
        <v>0</v>
      </c>
      <c r="AK40" s="74">
        <f t="shared" si="60"/>
        <v>2798.762185560054</v>
      </c>
      <c r="AL40" s="36">
        <f>AH40+AJ40</f>
        <v>0</v>
      </c>
      <c r="AM40" s="74">
        <f>AK40+AI40</f>
        <v>11915.251389338731</v>
      </c>
      <c r="AN40" s="33">
        <v>0.185</v>
      </c>
      <c r="AO40" s="34">
        <f>$AO$17</f>
        <v>0.84</v>
      </c>
      <c r="AP40" s="79">
        <f>(G40*AN40)*AO40/100</f>
        <v>3.2634</v>
      </c>
      <c r="AQ40" s="125" t="s">
        <v>186</v>
      </c>
      <c r="AR40" s="81">
        <f>'Исх.данные'!$F$85</f>
        <v>9573.371428571429</v>
      </c>
      <c r="AS40" s="37">
        <f>AP40*AR40</f>
        <v>31241.740319999997</v>
      </c>
      <c r="AT40" s="2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37">
        <f t="shared" si="4"/>
        <v>0</v>
      </c>
      <c r="BH40" s="37">
        <f>аморт!$H$90</f>
        <v>29.328248977777776</v>
      </c>
      <c r="BI40" s="37">
        <f t="shared" si="5"/>
        <v>650.7493840885688</v>
      </c>
      <c r="BJ40" s="44"/>
      <c r="BK40" s="44"/>
      <c r="BL40" s="44"/>
      <c r="BM40" s="44"/>
      <c r="BN40" s="44"/>
      <c r="BO40" s="44"/>
      <c r="BP40" s="37">
        <f>аморт!$D$90*10%/аморт!$G$90*L40*$O$12</f>
        <v>586.2607063860981</v>
      </c>
      <c r="BQ40" s="37">
        <f>BP40+BO40+BM40+BK40+BI40+BG40+BE40+BA40+AW40+AS40+AM40+AL40</f>
        <v>44394.00179981339</v>
      </c>
      <c r="BR40" s="37">
        <f>BQ40/$D$7</f>
        <v>44394.00179981339</v>
      </c>
      <c r="BS40" s="39">
        <f>(O40+P40)/$D$7</f>
        <v>22.188484030589294</v>
      </c>
      <c r="BT40" s="44"/>
      <c r="BU40" s="44"/>
    </row>
    <row r="41" spans="1:73" s="7" customFormat="1" ht="11.25">
      <c r="A41" s="19">
        <v>2</v>
      </c>
      <c r="B41" s="28" t="s">
        <v>106</v>
      </c>
      <c r="C41" s="22"/>
      <c r="D41" s="31" t="s">
        <v>508</v>
      </c>
      <c r="E41" s="32" t="s">
        <v>157</v>
      </c>
      <c r="F41" s="29" t="s">
        <v>167</v>
      </c>
      <c r="G41" s="30">
        <f>D7*Нормы!C8*Нормы!B8</f>
        <v>150</v>
      </c>
      <c r="H41" s="29" t="s">
        <v>490</v>
      </c>
      <c r="I41" s="29" t="s">
        <v>491</v>
      </c>
      <c r="J41" s="81">
        <f>L41/M41</f>
        <v>0.13227513227513227</v>
      </c>
      <c r="K41" s="33">
        <v>1134</v>
      </c>
      <c r="L41" s="34">
        <f>IF((M41+N41)&gt;0,G41/K41,0)</f>
        <v>0.13227513227513227</v>
      </c>
      <c r="M41" s="24">
        <v>1</v>
      </c>
      <c r="N41" s="24">
        <v>1</v>
      </c>
      <c r="O41" s="36">
        <f>IF(M41=0,0,L41*$O$12)</f>
        <v>1.0565944776471092</v>
      </c>
      <c r="P41" s="36">
        <f>IF(N41=0,0,L41*$O$12)</f>
        <v>1.0565944776471092</v>
      </c>
      <c r="Q41" s="26">
        <v>5</v>
      </c>
      <c r="R41" s="81">
        <f>IF(AND(O41&gt;0,Q41&gt;0),SUMIF('Исх.данные'!$C$14:$H$14,Q41,'Исх.данные'!$C$26:$H$26),IF(O41=0,0,IF(Q41=0,"РОТ")))</f>
        <v>219.30404460212878</v>
      </c>
      <c r="S41" s="26">
        <v>5</v>
      </c>
      <c r="T41" s="81">
        <f>IF(AND(N41&gt;0,P41&gt;0),SUMIF('Исх.данные'!$C$14:$J$30,S41,'Исх.данные'!$C$34:$J$45),IF(N41=0,0,IF(S41=0,"РОТ")))</f>
        <v>136.3241358337557</v>
      </c>
      <c r="U41" s="144">
        <f>O41*R41*'Исх.данные'!$C$43%</f>
        <v>0</v>
      </c>
      <c r="V41" s="144">
        <f>P41*T41*'Исх.данные'!$C$44%</f>
        <v>0</v>
      </c>
      <c r="W41" s="144">
        <f>O41*R41*$W$12</f>
        <v>0</v>
      </c>
      <c r="X41" s="145">
        <f>P41*T41*$W$12</f>
        <v>0</v>
      </c>
      <c r="Y41" s="144">
        <f>(O41*R41+U41+W41)*$Y$12</f>
        <v>23.17154424522846</v>
      </c>
      <c r="Z41" s="145">
        <f>(P41*T41+V41+X41)*$Z$12</f>
        <v>7.2019664545980335</v>
      </c>
      <c r="AA41" s="144">
        <f>(O41*R41+U41)*$AA$12</f>
        <v>0</v>
      </c>
      <c r="AB41" s="145">
        <f>(P41*T41+V41)*$AA$12</f>
        <v>0</v>
      </c>
      <c r="AC41" s="143">
        <v>2.5</v>
      </c>
      <c r="AD41" s="144">
        <f>(O41*R41+U41+W41+Y41+AA41)*AC41</f>
        <v>637.2174667437827</v>
      </c>
      <c r="AE41" s="144">
        <f>(P41*T41+V41+X41+Z41+AB41)*AC41</f>
        <v>378.10323886639674</v>
      </c>
      <c r="AF41" s="36">
        <f t="shared" si="58"/>
        <v>94.40258766574557</v>
      </c>
      <c r="AG41" s="74">
        <f t="shared" si="58"/>
        <v>56.015294646873585</v>
      </c>
      <c r="AH41" s="36">
        <f t="shared" si="59"/>
        <v>731.6200544095283</v>
      </c>
      <c r="AI41" s="36">
        <f t="shared" si="59"/>
        <v>434.11853351327034</v>
      </c>
      <c r="AJ41" s="36">
        <f t="shared" si="60"/>
        <v>224.60735670372517</v>
      </c>
      <c r="AK41" s="74">
        <f t="shared" si="60"/>
        <v>133.27438978857398</v>
      </c>
      <c r="AL41" s="36">
        <f>AH41+AJ41</f>
        <v>956.2274111132534</v>
      </c>
      <c r="AM41" s="74">
        <f>AK41+AI41</f>
        <v>567.3929233018443</v>
      </c>
      <c r="AN41" s="34">
        <v>0.1161904761904762</v>
      </c>
      <c r="AO41" s="34">
        <f>$AO$17</f>
        <v>0.84</v>
      </c>
      <c r="AP41" s="79">
        <f>(G41*AN41)*AO41/100</f>
        <v>0.1464</v>
      </c>
      <c r="AQ41" s="125" t="s">
        <v>186</v>
      </c>
      <c r="AR41" s="81">
        <f>'Исх.данные'!$F$85</f>
        <v>9573.371428571429</v>
      </c>
      <c r="AS41" s="37">
        <f>AP41*AR41</f>
        <v>1401.5415771428572</v>
      </c>
      <c r="AT41" s="2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37">
        <f>аморт!$H$12</f>
        <v>61.781971818181816</v>
      </c>
      <c r="BG41" s="37">
        <f t="shared" si="4"/>
        <v>65.27849024124023</v>
      </c>
      <c r="BH41" s="37">
        <f>аморт!$H$44</f>
        <v>14.767357037037037</v>
      </c>
      <c r="BI41" s="37">
        <f t="shared" si="5"/>
        <v>15.60310789477651</v>
      </c>
      <c r="BJ41" s="39">
        <f>'Исх.данные'!$C$89</f>
        <v>101.43277978079999</v>
      </c>
      <c r="BK41" s="37">
        <f>BJ41*BU41</f>
        <v>155.63759860546028</v>
      </c>
      <c r="BL41" s="39">
        <f>'Исх.данные'!$C$94</f>
        <v>11.283646508159999</v>
      </c>
      <c r="BM41" s="37">
        <f>BL41*BU41</f>
        <v>17.313531679187296</v>
      </c>
      <c r="BN41" s="37">
        <f>'Исх.данные'!$C$99</f>
        <v>8.04259910688</v>
      </c>
      <c r="BO41" s="37">
        <f>BN41*BU41</f>
        <v>12.340495984101585</v>
      </c>
      <c r="BP41" s="37">
        <f>аморт!$D$44*10%/аморт!$G$44*L41*$O$12</f>
        <v>15.60310789477651</v>
      </c>
      <c r="BQ41" s="37">
        <f>BP41+BO41+BM41+BK41+BI41+BG41+BE41+BA41+AW41+AS41+AM41+AL41</f>
        <v>3206.938243857497</v>
      </c>
      <c r="BR41" s="37">
        <f>BQ41/$D$7</f>
        <v>3206.938243857497</v>
      </c>
      <c r="BS41" s="39">
        <f>(O41+P41)/$D$7</f>
        <v>2.1131889552942185</v>
      </c>
      <c r="BT41" s="39">
        <f>'Исх.данные'!$B$113</f>
        <v>11.6</v>
      </c>
      <c r="BU41" s="40">
        <f>BT41*L41</f>
        <v>1.5343915343915342</v>
      </c>
    </row>
    <row r="42" spans="1:73" s="7" customFormat="1" ht="11.25">
      <c r="A42" s="19">
        <v>3</v>
      </c>
      <c r="B42" s="28" t="s">
        <v>107</v>
      </c>
      <c r="C42" s="22"/>
      <c r="D42" s="31" t="s">
        <v>508</v>
      </c>
      <c r="E42" s="32" t="s">
        <v>157</v>
      </c>
      <c r="F42" s="29" t="s">
        <v>167</v>
      </c>
      <c r="G42" s="30">
        <f>D7*Нормы!B9*Нормы!C9</f>
        <v>150</v>
      </c>
      <c r="H42" s="29" t="s">
        <v>490</v>
      </c>
      <c r="I42" s="29" t="s">
        <v>491</v>
      </c>
      <c r="J42" s="81">
        <f>L42/M42</f>
        <v>0.13227513227513227</v>
      </c>
      <c r="K42" s="33">
        <v>1134</v>
      </c>
      <c r="L42" s="34">
        <f>IF((M42+N42)&gt;0,G42/K42,0)</f>
        <v>0.13227513227513227</v>
      </c>
      <c r="M42" s="24">
        <v>1</v>
      </c>
      <c r="N42" s="24">
        <v>1</v>
      </c>
      <c r="O42" s="36">
        <f>IF(M42=0,0,L42*$O$12)</f>
        <v>1.0565944776471092</v>
      </c>
      <c r="P42" s="36">
        <f>IF(N42=0,0,L42*$O$12)</f>
        <v>1.0565944776471092</v>
      </c>
      <c r="Q42" s="26">
        <v>5</v>
      </c>
      <c r="R42" s="81">
        <f>IF(AND(O42&gt;0,Q42&gt;0),SUMIF('Исх.данные'!$C$14:$H$14,Q42,'Исх.данные'!$C$26:$H$26),IF(O42=0,0,IF(Q42=0,"РОТ")))</f>
        <v>219.30404460212878</v>
      </c>
      <c r="S42" s="26">
        <v>5</v>
      </c>
      <c r="T42" s="81">
        <f>IF(AND(N42&gt;0,P42&gt;0),SUMIF('Исх.данные'!$C$14:$J$30,S42,'Исх.данные'!$C$34:$J$45),IF(N42=0,0,IF(S42=0,"РОТ")))</f>
        <v>136.3241358337557</v>
      </c>
      <c r="U42" s="144">
        <f>O42*R42*'Исх.данные'!$C$43%</f>
        <v>0</v>
      </c>
      <c r="V42" s="144">
        <f>P42*T42*'Исх.данные'!$C$44%</f>
        <v>0</v>
      </c>
      <c r="W42" s="144">
        <f>O42*R42*$W$12</f>
        <v>0</v>
      </c>
      <c r="X42" s="145">
        <f>P42*T42*$W$12</f>
        <v>0</v>
      </c>
      <c r="Y42" s="144">
        <f>(O42*R42+U42+W42)*$Y$12</f>
        <v>23.17154424522846</v>
      </c>
      <c r="Z42" s="145">
        <f>(P42*T42+V42+X42)*$Z$12</f>
        <v>7.2019664545980335</v>
      </c>
      <c r="AA42" s="144">
        <f>(O42*R42+U42)*$AA$12</f>
        <v>0</v>
      </c>
      <c r="AB42" s="145">
        <f>(P42*T42+V42)*$AA$12</f>
        <v>0</v>
      </c>
      <c r="AC42" s="143">
        <v>2.5</v>
      </c>
      <c r="AD42" s="144">
        <f>(O42*R42+U42+W42+Y42+AA42)*AC42</f>
        <v>637.2174667437827</v>
      </c>
      <c r="AE42" s="144">
        <f>(P42*T42+V42+X42+Z42+AB42)*AC42</f>
        <v>378.10323886639674</v>
      </c>
      <c r="AF42" s="36">
        <f t="shared" si="58"/>
        <v>94.40258766574557</v>
      </c>
      <c r="AG42" s="74">
        <f t="shared" si="58"/>
        <v>56.015294646873585</v>
      </c>
      <c r="AH42" s="36">
        <f t="shared" si="59"/>
        <v>731.6200544095283</v>
      </c>
      <c r="AI42" s="36">
        <f t="shared" si="59"/>
        <v>434.11853351327034</v>
      </c>
      <c r="AJ42" s="36">
        <f t="shared" si="60"/>
        <v>224.60735670372517</v>
      </c>
      <c r="AK42" s="74">
        <f t="shared" si="60"/>
        <v>133.27438978857398</v>
      </c>
      <c r="AL42" s="36">
        <f>AH42+AJ42</f>
        <v>956.2274111132534</v>
      </c>
      <c r="AM42" s="74">
        <f>AK42+AI42</f>
        <v>567.3929233018443</v>
      </c>
      <c r="AN42" s="34">
        <v>0.1161904761904762</v>
      </c>
      <c r="AO42" s="34">
        <f>$AO$17</f>
        <v>0.84</v>
      </c>
      <c r="AP42" s="79">
        <f>(G42*AN42)*AO42/100</f>
        <v>0.1464</v>
      </c>
      <c r="AQ42" s="125" t="s">
        <v>186</v>
      </c>
      <c r="AR42" s="81">
        <f>'Исх.данные'!$F$85</f>
        <v>9573.371428571429</v>
      </c>
      <c r="AS42" s="37">
        <f>AP42*AR42</f>
        <v>1401.5415771428572</v>
      </c>
      <c r="AT42" s="2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37">
        <f>аморт!$H$12</f>
        <v>61.781971818181816</v>
      </c>
      <c r="BG42" s="37">
        <f t="shared" si="4"/>
        <v>65.27849024124023</v>
      </c>
      <c r="BH42" s="37">
        <f>аморт!$H$44</f>
        <v>14.767357037037037</v>
      </c>
      <c r="BI42" s="37">
        <f t="shared" si="5"/>
        <v>15.60310789477651</v>
      </c>
      <c r="BJ42" s="39">
        <f>'Исх.данные'!$C$89</f>
        <v>101.43277978079999</v>
      </c>
      <c r="BK42" s="37">
        <f>BJ42*BU42</f>
        <v>155.63759860546028</v>
      </c>
      <c r="BL42" s="39">
        <f>'Исх.данные'!$C$94</f>
        <v>11.283646508159999</v>
      </c>
      <c r="BM42" s="37">
        <f>BL42*BU42</f>
        <v>17.313531679187296</v>
      </c>
      <c r="BN42" s="37">
        <f>'Исх.данные'!$C$99</f>
        <v>8.04259910688</v>
      </c>
      <c r="BO42" s="37">
        <f>BN42*BU42</f>
        <v>12.340495984101585</v>
      </c>
      <c r="BP42" s="37">
        <f>аморт!$D$44*10%/аморт!$G$44*L42*$O$12</f>
        <v>15.60310789477651</v>
      </c>
      <c r="BQ42" s="37">
        <f>BP42+BO42+BM42+BK42+BI42+BG42+BE42+BA42+AW42+AS42+AM42+AL42</f>
        <v>3206.938243857497</v>
      </c>
      <c r="BR42" s="37">
        <f>BQ42/$D$7</f>
        <v>3206.938243857497</v>
      </c>
      <c r="BS42" s="39">
        <f>(O42+P42)/$D$7</f>
        <v>2.1131889552942185</v>
      </c>
      <c r="BT42" s="39">
        <f>'Исх.данные'!$B$113</f>
        <v>11.6</v>
      </c>
      <c r="BU42" s="40">
        <f>BT42*L42</f>
        <v>1.5343915343915342</v>
      </c>
    </row>
    <row r="43" spans="1:73" s="7" customFormat="1" ht="11.25">
      <c r="A43" s="19">
        <v>4</v>
      </c>
      <c r="B43" s="28" t="s">
        <v>54</v>
      </c>
      <c r="C43" s="22"/>
      <c r="D43" s="31" t="s">
        <v>508</v>
      </c>
      <c r="E43" s="32" t="s">
        <v>157</v>
      </c>
      <c r="F43" s="29" t="s">
        <v>167</v>
      </c>
      <c r="G43" s="30">
        <f>D7*Нормы!B10*Нормы!C10</f>
        <v>1200</v>
      </c>
      <c r="H43" s="29" t="s">
        <v>492</v>
      </c>
      <c r="I43" s="29" t="s">
        <v>493</v>
      </c>
      <c r="J43" s="81">
        <f>L43/M43</f>
        <v>1.0582010582010581</v>
      </c>
      <c r="K43" s="33">
        <v>1134</v>
      </c>
      <c r="L43" s="34">
        <f>IF((M43+N43)&gt;0,G43/K43,0)</f>
        <v>1.0582010582010581</v>
      </c>
      <c r="M43" s="24">
        <v>1</v>
      </c>
      <c r="N43" s="24">
        <v>1</v>
      </c>
      <c r="O43" s="36">
        <f>IF(M43=0,0,L43*$O$12)</f>
        <v>8.452755821176874</v>
      </c>
      <c r="P43" s="36">
        <f>IF(N43=0,0,L43*$O$12)</f>
        <v>8.452755821176874</v>
      </c>
      <c r="Q43" s="26">
        <v>5</v>
      </c>
      <c r="R43" s="81">
        <f>IF(AND(O43&gt;0,Q43&gt;0),SUMIF('Исх.данные'!$C$14:$H$14,Q43,'Исх.данные'!$C$26:$H$26),IF(O43=0,0,IF(Q43=0,"РОТ")))</f>
        <v>219.30404460212878</v>
      </c>
      <c r="S43" s="26">
        <v>5</v>
      </c>
      <c r="T43" s="81">
        <f>IF(AND(N43&gt;0,P43&gt;0),SUMIF('Исх.данные'!$C$14:$J$30,S43,'Исх.данные'!$C$34:$J$45),IF(N43=0,0,IF(S43=0,"РОТ")))</f>
        <v>136.3241358337557</v>
      </c>
      <c r="U43" s="144">
        <f>O43*R43*'Исх.данные'!$C$43%</f>
        <v>0</v>
      </c>
      <c r="V43" s="144">
        <f>P43*T43*'Исх.данные'!$C$44%</f>
        <v>0</v>
      </c>
      <c r="W43" s="144">
        <f>O43*R43*$W$12</f>
        <v>0</v>
      </c>
      <c r="X43" s="145">
        <f>P43*T43*$W$12</f>
        <v>0</v>
      </c>
      <c r="Y43" s="144">
        <f>(O43*R43+U43+W43)*$Y$12</f>
        <v>185.37235396182768</v>
      </c>
      <c r="Z43" s="145">
        <f>(P43*T43+V43+X43)*$Z$12</f>
        <v>57.61573163678427</v>
      </c>
      <c r="AA43" s="144">
        <f>(O43*R43+U43)*$AA$12</f>
        <v>0</v>
      </c>
      <c r="AB43" s="145">
        <f>(P43*T43+V43)*$AA$12</f>
        <v>0</v>
      </c>
      <c r="AC43" s="143">
        <v>2.5</v>
      </c>
      <c r="AD43" s="144">
        <f>(O43*R43+U43+W43+Y43+AA43)*AC43</f>
        <v>5097.739733950261</v>
      </c>
      <c r="AE43" s="144">
        <f>(P43*T43+V43+X43+Z43+AB43)*AC43</f>
        <v>3024.825910931174</v>
      </c>
      <c r="AF43" s="36">
        <f t="shared" si="58"/>
        <v>755.2207013259646</v>
      </c>
      <c r="AG43" s="74">
        <f t="shared" si="58"/>
        <v>448.1223571749887</v>
      </c>
      <c r="AH43" s="36">
        <f t="shared" si="59"/>
        <v>5852.960435276226</v>
      </c>
      <c r="AI43" s="36">
        <f t="shared" si="59"/>
        <v>3472.9482681061627</v>
      </c>
      <c r="AJ43" s="36">
        <f t="shared" si="60"/>
        <v>1796.8588536298014</v>
      </c>
      <c r="AK43" s="74">
        <f t="shared" si="60"/>
        <v>1066.1951183085919</v>
      </c>
      <c r="AL43" s="36">
        <f>AH43+AJ43</f>
        <v>7649.819288906027</v>
      </c>
      <c r="AM43" s="74">
        <f>AK43+AI43</f>
        <v>4539.143386414755</v>
      </c>
      <c r="AN43" s="34">
        <v>0.11619047619047619</v>
      </c>
      <c r="AO43" s="34">
        <f>$AO$17</f>
        <v>0.84</v>
      </c>
      <c r="AP43" s="79">
        <f>(G43*AN43)*AO43/100</f>
        <v>1.1711999999999998</v>
      </c>
      <c r="AQ43" s="125" t="s">
        <v>186</v>
      </c>
      <c r="AR43" s="81">
        <f>'Исх.данные'!$F$85</f>
        <v>9573.371428571429</v>
      </c>
      <c r="AS43" s="37">
        <f>AP43*AR43</f>
        <v>11212.332617142854</v>
      </c>
      <c r="AT43" s="2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37">
        <f>аморт!$H$12</f>
        <v>61.781971818181816</v>
      </c>
      <c r="BG43" s="37">
        <f t="shared" si="4"/>
        <v>522.2279219299219</v>
      </c>
      <c r="BH43" s="37">
        <f>аморт!$H$44</f>
        <v>14.767357037037037</v>
      </c>
      <c r="BI43" s="37">
        <f t="shared" si="5"/>
        <v>124.82486315821208</v>
      </c>
      <c r="BJ43" s="39">
        <f>'Исх.данные'!$C$89</f>
        <v>101.43277978079999</v>
      </c>
      <c r="BK43" s="37">
        <f>BJ43*BU43</f>
        <v>1245.1007888436823</v>
      </c>
      <c r="BL43" s="39">
        <f>'Исх.данные'!$C$94</f>
        <v>11.283646508159999</v>
      </c>
      <c r="BM43" s="37">
        <f>BL43*BU43</f>
        <v>138.50825343349837</v>
      </c>
      <c r="BN43" s="37">
        <f>'Исх.данные'!$C$99</f>
        <v>8.04259910688</v>
      </c>
      <c r="BO43" s="37">
        <f>BN43*BU43</f>
        <v>98.72396787281268</v>
      </c>
      <c r="BP43" s="37">
        <f>аморт!$D$44*10%/аморт!$G$44*L43*$O$12</f>
        <v>124.82486315821208</v>
      </c>
      <c r="BQ43" s="37">
        <f>BP43+BO43+BM43+BK43+BI43+BG43+BE43+BA43+AW43+AS43+AM43+AL43</f>
        <v>25655.505950859977</v>
      </c>
      <c r="BR43" s="37">
        <f>BQ43/$D$7</f>
        <v>25655.505950859977</v>
      </c>
      <c r="BS43" s="39">
        <f>(O43+P43)/$D$7</f>
        <v>16.905511642353748</v>
      </c>
      <c r="BT43" s="39">
        <f>'Исх.данные'!$B$113</f>
        <v>11.6</v>
      </c>
      <c r="BU43" s="40">
        <f>BT43*L43</f>
        <v>12.275132275132274</v>
      </c>
    </row>
    <row r="44" spans="1:73" s="7" customFormat="1" ht="11.25">
      <c r="A44" s="19">
        <v>5</v>
      </c>
      <c r="B44" s="28" t="s">
        <v>108</v>
      </c>
      <c r="C44" s="22"/>
      <c r="D44" s="31" t="s">
        <v>508</v>
      </c>
      <c r="E44" s="32" t="s">
        <v>157</v>
      </c>
      <c r="F44" s="29" t="s">
        <v>167</v>
      </c>
      <c r="G44" s="30">
        <f>D7*Нормы!B11*Нормы!C11</f>
        <v>600</v>
      </c>
      <c r="H44" s="29" t="s">
        <v>492</v>
      </c>
      <c r="I44" s="29"/>
      <c r="J44" s="81">
        <f>L44/M44</f>
        <v>0.5291005291005291</v>
      </c>
      <c r="K44" s="33">
        <v>1134</v>
      </c>
      <c r="L44" s="34">
        <f>IF((M44+N44)&gt;0,G44/K44,0)</f>
        <v>0.5291005291005291</v>
      </c>
      <c r="M44" s="24">
        <v>1</v>
      </c>
      <c r="N44" s="24">
        <v>1</v>
      </c>
      <c r="O44" s="36">
        <f>IF(M44=0,0,L44*$O$12)</f>
        <v>4.226377910588437</v>
      </c>
      <c r="P44" s="36">
        <f>IF(N44=0,0,L44*$O$12)</f>
        <v>4.226377910588437</v>
      </c>
      <c r="Q44" s="26">
        <v>5</v>
      </c>
      <c r="R44" s="81">
        <f>IF(AND(O44&gt;0,Q44&gt;0),SUMIF('Исх.данные'!$C$14:$H$14,Q44,'Исх.данные'!$C$26:$H$26),IF(O44=0,0,IF(Q44=0,"РОТ")))</f>
        <v>219.30404460212878</v>
      </c>
      <c r="S44" s="26">
        <v>5</v>
      </c>
      <c r="T44" s="81">
        <f>IF(AND(N44&gt;0,P44&gt;0),SUMIF('Исх.данные'!$C$14:$J$30,S44,'Исх.данные'!$C$34:$J$45),IF(N44=0,0,IF(S44=0,"РОТ")))</f>
        <v>136.3241358337557</v>
      </c>
      <c r="U44" s="144">
        <f>O44*R44*'Исх.данные'!$C$43%</f>
        <v>0</v>
      </c>
      <c r="V44" s="144">
        <f>P44*T44*'Исх.данные'!$C$44%</f>
        <v>0</v>
      </c>
      <c r="W44" s="144">
        <f>O44*R44*$W$12</f>
        <v>0</v>
      </c>
      <c r="X44" s="145">
        <f>P44*T44*$W$12</f>
        <v>0</v>
      </c>
      <c r="Y44" s="144">
        <f>(O44*R44+U44+W44)*$Y$12</f>
        <v>92.68617698091384</v>
      </c>
      <c r="Z44" s="145">
        <f>(P44*T44+V44+X44)*$Z$12</f>
        <v>28.807865818392134</v>
      </c>
      <c r="AA44" s="144">
        <f>(O44*R44+U44)*$AA$12</f>
        <v>0</v>
      </c>
      <c r="AB44" s="145">
        <f>(P44*T44+V44)*$AA$12</f>
        <v>0</v>
      </c>
      <c r="AC44" s="143">
        <v>2.5</v>
      </c>
      <c r="AD44" s="144">
        <f>(O44*R44+U44+W44+Y44+AA44)*AC44</f>
        <v>2548.8698669751307</v>
      </c>
      <c r="AE44" s="144">
        <f>(P44*T44+V44+X44+Z44+AB44)*AC44</f>
        <v>1512.412955465587</v>
      </c>
      <c r="AF44" s="36">
        <f t="shared" si="58"/>
        <v>377.6103506629823</v>
      </c>
      <c r="AG44" s="74">
        <f t="shared" si="58"/>
        <v>224.06117858749434</v>
      </c>
      <c r="AH44" s="36">
        <f t="shared" si="59"/>
        <v>2926.480217638113</v>
      </c>
      <c r="AI44" s="36">
        <f t="shared" si="59"/>
        <v>1736.4741340530813</v>
      </c>
      <c r="AJ44" s="36">
        <f t="shared" si="60"/>
        <v>898.4294268149007</v>
      </c>
      <c r="AK44" s="74">
        <f t="shared" si="60"/>
        <v>533.0975591542959</v>
      </c>
      <c r="AL44" s="36">
        <f>AH44+AJ44</f>
        <v>3824.9096444530137</v>
      </c>
      <c r="AM44" s="74">
        <f>AK44+AI44</f>
        <v>2269.5716932073774</v>
      </c>
      <c r="AN44" s="34">
        <v>0.1161904761904762</v>
      </c>
      <c r="AO44" s="34">
        <f>$AO$17</f>
        <v>0.84</v>
      </c>
      <c r="AP44" s="79">
        <f>(G44*AN44)*AO44/100</f>
        <v>0.5856</v>
      </c>
      <c r="AQ44" s="125" t="s">
        <v>186</v>
      </c>
      <c r="AR44" s="81">
        <f>'Исх.данные'!$F$85</f>
        <v>9573.371428571429</v>
      </c>
      <c r="AS44" s="37">
        <f>AP44*AR44</f>
        <v>5606.166308571429</v>
      </c>
      <c r="AT44" s="2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37">
        <f>аморт!$H$12</f>
        <v>61.781971818181816</v>
      </c>
      <c r="BG44" s="37">
        <f t="shared" si="4"/>
        <v>261.11396096496094</v>
      </c>
      <c r="BH44" s="37">
        <f>аморт!$H$44</f>
        <v>14.767357037037037</v>
      </c>
      <c r="BI44" s="37">
        <f t="shared" si="5"/>
        <v>62.41243157910604</v>
      </c>
      <c r="BJ44" s="39">
        <f>'Исх.данные'!$C$89</f>
        <v>101.43277978079999</v>
      </c>
      <c r="BK44" s="37">
        <f>BJ44*BU44</f>
        <v>622.5503944218411</v>
      </c>
      <c r="BL44" s="39">
        <f>'Исх.данные'!$C$94</f>
        <v>11.283646508159999</v>
      </c>
      <c r="BM44" s="37">
        <f>BL44*BU44</f>
        <v>69.25412671674918</v>
      </c>
      <c r="BN44" s="37">
        <f>'Исх.данные'!$C$99</f>
        <v>8.04259910688</v>
      </c>
      <c r="BO44" s="37">
        <f>BN44*BU44</f>
        <v>49.36198393640634</v>
      </c>
      <c r="BP44" s="37">
        <f>аморт!$D$44*10%/аморт!$G$44*L44*$O$12</f>
        <v>62.41243157910604</v>
      </c>
      <c r="BQ44" s="37">
        <f>BP44+BO44+BM44+BK44+BI44+BG44+BE44+BA44+AW44+AS44+AM44+AL44</f>
        <v>12827.752975429989</v>
      </c>
      <c r="BR44" s="37">
        <f>BQ44/$D$7</f>
        <v>12827.752975429989</v>
      </c>
      <c r="BS44" s="39">
        <f>(O44+P44)/$D$7</f>
        <v>8.452755821176874</v>
      </c>
      <c r="BT44" s="39">
        <f>'Исх.данные'!$B$113</f>
        <v>11.6</v>
      </c>
      <c r="BU44" s="40">
        <f>BT44*L44</f>
        <v>6.137566137566137</v>
      </c>
    </row>
    <row r="45" spans="1:73" s="56" customFormat="1" ht="11.25">
      <c r="A45" s="54"/>
      <c r="B45" s="55" t="s">
        <v>22</v>
      </c>
      <c r="C45" s="55"/>
      <c r="D45" s="55"/>
      <c r="E45" s="55"/>
      <c r="F45" s="57"/>
      <c r="G45" s="58"/>
      <c r="H45" s="58"/>
      <c r="I45" s="58"/>
      <c r="J45" s="66">
        <f>SUM(J40:J44)</f>
        <v>4.629629629629629</v>
      </c>
      <c r="K45" s="66"/>
      <c r="L45" s="66">
        <f aca="true" t="shared" si="61" ref="L45:BM45">SUM(L40:L44)</f>
        <v>4.629629629629629</v>
      </c>
      <c r="M45" s="66">
        <f t="shared" si="61"/>
        <v>4</v>
      </c>
      <c r="N45" s="66">
        <f t="shared" si="61"/>
        <v>5</v>
      </c>
      <c r="O45" s="66">
        <f t="shared" si="61"/>
        <v>14.792322687059528</v>
      </c>
      <c r="P45" s="66">
        <f t="shared" si="61"/>
        <v>36.980806717648825</v>
      </c>
      <c r="Q45" s="66"/>
      <c r="R45" s="66"/>
      <c r="S45" s="66"/>
      <c r="T45" s="66"/>
      <c r="U45" s="66">
        <f t="shared" si="61"/>
        <v>0</v>
      </c>
      <c r="V45" s="66">
        <f t="shared" si="61"/>
        <v>0</v>
      </c>
      <c r="W45" s="66">
        <f t="shared" si="61"/>
        <v>0</v>
      </c>
      <c r="X45" s="66">
        <f t="shared" si="61"/>
        <v>0</v>
      </c>
      <c r="Y45" s="66">
        <f t="shared" si="61"/>
        <v>324.40161943319845</v>
      </c>
      <c r="Z45" s="66">
        <f t="shared" si="61"/>
        <v>252.06882591093114</v>
      </c>
      <c r="AA45" s="66">
        <f t="shared" si="61"/>
        <v>0</v>
      </c>
      <c r="AB45" s="66">
        <f t="shared" si="61"/>
        <v>0</v>
      </c>
      <c r="AC45" s="66"/>
      <c r="AD45" s="66">
        <f t="shared" si="61"/>
        <v>8921.044534412957</v>
      </c>
      <c r="AE45" s="66">
        <f t="shared" si="61"/>
        <v>13233.613360323887</v>
      </c>
      <c r="AF45" s="66">
        <f t="shared" si="61"/>
        <v>1321.636227320438</v>
      </c>
      <c r="AG45" s="66">
        <f t="shared" si="61"/>
        <v>1960.5353126405757</v>
      </c>
      <c r="AH45" s="66">
        <f t="shared" si="61"/>
        <v>10242.680761733396</v>
      </c>
      <c r="AI45" s="66">
        <f t="shared" si="61"/>
        <v>15194.148672964464</v>
      </c>
      <c r="AJ45" s="66">
        <f t="shared" si="61"/>
        <v>3144.5029938521525</v>
      </c>
      <c r="AK45" s="66">
        <f t="shared" si="61"/>
        <v>4664.603642600089</v>
      </c>
      <c r="AL45" s="66">
        <f t="shared" si="61"/>
        <v>13387.183755585547</v>
      </c>
      <c r="AM45" s="66">
        <f t="shared" si="61"/>
        <v>19858.752315564554</v>
      </c>
      <c r="AN45" s="25"/>
      <c r="AO45" s="66"/>
      <c r="AP45" s="66">
        <f t="shared" si="61"/>
        <v>5.313</v>
      </c>
      <c r="AQ45" s="66"/>
      <c r="AR45" s="66"/>
      <c r="AS45" s="66">
        <f t="shared" si="61"/>
        <v>50863.3224</v>
      </c>
      <c r="AT45" s="66"/>
      <c r="AU45" s="66">
        <f t="shared" si="61"/>
        <v>0</v>
      </c>
      <c r="AV45" s="66"/>
      <c r="AW45" s="66">
        <f t="shared" si="61"/>
        <v>0</v>
      </c>
      <c r="AX45" s="66"/>
      <c r="AY45" s="66">
        <f t="shared" si="61"/>
        <v>0</v>
      </c>
      <c r="AZ45" s="66"/>
      <c r="BA45" s="66">
        <f t="shared" si="61"/>
        <v>0</v>
      </c>
      <c r="BB45" s="66"/>
      <c r="BC45" s="66">
        <f t="shared" si="61"/>
        <v>0</v>
      </c>
      <c r="BD45" s="66"/>
      <c r="BE45" s="66">
        <f t="shared" si="61"/>
        <v>0</v>
      </c>
      <c r="BF45" s="66"/>
      <c r="BG45" s="66">
        <f t="shared" si="61"/>
        <v>913.8988633773632</v>
      </c>
      <c r="BH45" s="66"/>
      <c r="BI45" s="66">
        <f t="shared" si="61"/>
        <v>869.19289461544</v>
      </c>
      <c r="BJ45" s="66"/>
      <c r="BK45" s="66">
        <f t="shared" si="61"/>
        <v>2178.926380476444</v>
      </c>
      <c r="BL45" s="66"/>
      <c r="BM45" s="66">
        <f t="shared" si="61"/>
        <v>242.38944350862215</v>
      </c>
      <c r="BN45" s="66"/>
      <c r="BO45" s="66">
        <f aca="true" t="shared" si="62" ref="BO45:BU45">SUM(BO40:BO44)</f>
        <v>172.7669437774222</v>
      </c>
      <c r="BP45" s="66">
        <f t="shared" si="62"/>
        <v>804.7042169129693</v>
      </c>
      <c r="BQ45" s="66">
        <f t="shared" si="62"/>
        <v>89291.13721381835</v>
      </c>
      <c r="BR45" s="66"/>
      <c r="BS45" s="66"/>
      <c r="BT45" s="66"/>
      <c r="BU45" s="66">
        <f t="shared" si="62"/>
        <v>21.481481481481477</v>
      </c>
    </row>
    <row r="46" spans="1:73" s="7" customFormat="1" ht="11.25">
      <c r="A46" s="21"/>
      <c r="B46" s="399" t="s">
        <v>56</v>
      </c>
      <c r="C46" s="399"/>
      <c r="D46" s="399"/>
      <c r="E46" s="399"/>
      <c r="F46" s="23"/>
      <c r="G46" s="24"/>
      <c r="H46" s="24"/>
      <c r="I46" s="24"/>
      <c r="J46" s="24"/>
      <c r="K46" s="24"/>
      <c r="L46" s="41"/>
      <c r="M46" s="24"/>
      <c r="N46" s="24"/>
      <c r="O46" s="42"/>
      <c r="P46" s="42"/>
      <c r="Q46" s="26"/>
      <c r="R46" s="24"/>
      <c r="S46" s="26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3"/>
      <c r="AH46" s="42"/>
      <c r="AI46" s="42"/>
      <c r="AJ46" s="42"/>
      <c r="AK46" s="42"/>
      <c r="AL46" s="42"/>
      <c r="AM46" s="42"/>
      <c r="AN46" s="24"/>
      <c r="AO46" s="24"/>
      <c r="AP46" s="44"/>
      <c r="AQ46" s="27"/>
      <c r="AR46" s="27"/>
      <c r="AS46" s="44"/>
      <c r="AT46" s="2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37">
        <f t="shared" si="4"/>
        <v>0</v>
      </c>
      <c r="BH46" s="44"/>
      <c r="BI46" s="37">
        <f t="shared" si="5"/>
        <v>0</v>
      </c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</row>
    <row r="47" spans="1:73" s="7" customFormat="1" ht="11.25">
      <c r="A47" s="19">
        <v>1</v>
      </c>
      <c r="B47" s="28" t="s">
        <v>455</v>
      </c>
      <c r="C47" s="22"/>
      <c r="D47" s="31" t="s">
        <v>133</v>
      </c>
      <c r="E47" s="32" t="s">
        <v>137</v>
      </c>
      <c r="F47" s="29" t="s">
        <v>134</v>
      </c>
      <c r="G47" s="30">
        <f>D7</f>
        <v>1</v>
      </c>
      <c r="H47" s="29" t="s">
        <v>494</v>
      </c>
      <c r="I47" s="29" t="s">
        <v>486</v>
      </c>
      <c r="J47" s="34">
        <f>L47/N47</f>
        <v>0.02857142857142857</v>
      </c>
      <c r="K47" s="33">
        <v>35</v>
      </c>
      <c r="L47" s="34">
        <f>IF((M47+N47)&gt;0,G47/K47,0)</f>
        <v>0.02857142857142857</v>
      </c>
      <c r="M47" s="24">
        <v>1</v>
      </c>
      <c r="N47" s="24">
        <v>1</v>
      </c>
      <c r="O47" s="36">
        <f>IF(M47=0,0,L47*$O$12)</f>
        <v>0.22822440717177558</v>
      </c>
      <c r="P47" s="36">
        <f>IF(N47=0,0,L47*$O$12)</f>
        <v>0.22822440717177558</v>
      </c>
      <c r="Q47" s="26">
        <v>5</v>
      </c>
      <c r="R47" s="81">
        <f>IF(AND(O47&gt;0,Q47&gt;0),SUMIF('Исх.данные'!$C$14:$H$14,Q47,'Исх.данные'!$C$18:$H$18),IF(O47=0,0,IF(Q47=0,"РОТ")))</f>
        <v>179.78980233147493</v>
      </c>
      <c r="S47" s="26">
        <v>5</v>
      </c>
      <c r="T47" s="81">
        <f>IF(AND(N47&gt;0,P47&gt;0),SUMIF('Исх.данные'!$C$14:$J$30,S47,'Исх.данные'!$C$34:$J$45),IF(N47=0,0,IF(S47=0,"РОТ")))</f>
        <v>136.3241358337557</v>
      </c>
      <c r="U47" s="144">
        <f>O47*R47*'Исх.данные'!$C$43%</f>
        <v>0</v>
      </c>
      <c r="V47" s="144">
        <f>P47*T47*'Исх.данные'!$C$44%</f>
        <v>0</v>
      </c>
      <c r="W47" s="144">
        <f>O47*R47*$W$12</f>
        <v>0</v>
      </c>
      <c r="X47" s="145">
        <f>P47*T47*$W$12</f>
        <v>0</v>
      </c>
      <c r="Y47" s="144">
        <f>(O47*R47+U47+W47)*$Y$12</f>
        <v>4.103242105263159</v>
      </c>
      <c r="Z47" s="145">
        <f>(P47*T47+V47+X47)*$Z$12</f>
        <v>1.5556247541931751</v>
      </c>
      <c r="AA47" s="144">
        <f>(O47*R47+U47)*$AA$12</f>
        <v>0</v>
      </c>
      <c r="AB47" s="145">
        <f>(P47*T47+V47)*$AA$12</f>
        <v>0</v>
      </c>
      <c r="AC47" s="143">
        <v>2.5</v>
      </c>
      <c r="AD47" s="144">
        <f>(O47*R47+U47+W47+Y47+AA47)*AC47</f>
        <v>112.83915789473684</v>
      </c>
      <c r="AE47" s="144">
        <f>(P47*T47+V47+X47+Z47+AB47)*AC47</f>
        <v>81.67029959514169</v>
      </c>
      <c r="AF47" s="36">
        <f aca="true" t="shared" si="63" ref="AF47:AG50">AD47*$AF$12</f>
        <v>16.716912280701752</v>
      </c>
      <c r="AG47" s="74">
        <f t="shared" si="63"/>
        <v>12.099303643724694</v>
      </c>
      <c r="AH47" s="36">
        <f aca="true" t="shared" si="64" ref="AH47:AI50">AD47+AF47</f>
        <v>129.5560701754386</v>
      </c>
      <c r="AI47" s="36">
        <f t="shared" si="64"/>
        <v>93.76960323886638</v>
      </c>
      <c r="AJ47" s="36">
        <f aca="true" t="shared" si="65" ref="AJ47:AK50">AH47*$AJ$12</f>
        <v>39.77371354385965</v>
      </c>
      <c r="AK47" s="74">
        <f t="shared" si="65"/>
        <v>28.78726819433198</v>
      </c>
      <c r="AL47" s="36">
        <f>AH47+AJ47</f>
        <v>169.32978371929826</v>
      </c>
      <c r="AM47" s="74">
        <f>AK47+AI47</f>
        <v>122.55687143319835</v>
      </c>
      <c r="AN47" s="33">
        <v>1.3</v>
      </c>
      <c r="AO47" s="34">
        <f>$AO$17</f>
        <v>0.84</v>
      </c>
      <c r="AP47" s="79">
        <f>(G47*AN47)*AO47/100</f>
        <v>0.010920000000000001</v>
      </c>
      <c r="AQ47" s="125" t="s">
        <v>186</v>
      </c>
      <c r="AR47" s="81">
        <f>'Исх.данные'!$G$85</f>
        <v>9559.371428571429</v>
      </c>
      <c r="AS47" s="37">
        <f>AP47*AR47</f>
        <v>104.38833600000001</v>
      </c>
      <c r="AT47" s="24"/>
      <c r="AU47" s="44"/>
      <c r="AV47" s="44"/>
      <c r="AW47" s="44"/>
      <c r="AX47" s="44"/>
      <c r="AY47" s="44"/>
      <c r="AZ47" s="44"/>
      <c r="BA47" s="44"/>
      <c r="BB47" s="183">
        <v>0.5</v>
      </c>
      <c r="BC47" s="183">
        <f>BB47*G47</f>
        <v>0.5</v>
      </c>
      <c r="BD47" s="208">
        <f>356*1.045*1.054</f>
        <v>392.10908</v>
      </c>
      <c r="BE47" s="120">
        <f>BC47*BD47</f>
        <v>196.05454</v>
      </c>
      <c r="BF47" s="37">
        <f>аморт!$H$10</f>
        <v>69.6969696969697</v>
      </c>
      <c r="BG47" s="37">
        <f t="shared" si="4"/>
        <v>15.906549590760118</v>
      </c>
      <c r="BH47" s="37">
        <f>аморт!$H$66</f>
        <v>196.73123809523813</v>
      </c>
      <c r="BI47" s="37">
        <f t="shared" si="5"/>
        <v>44.89887018645515</v>
      </c>
      <c r="BJ47" s="39">
        <f>'Исх.данные'!$E$89</f>
        <v>98.91196513535999</v>
      </c>
      <c r="BK47" s="37">
        <f>BJ47*BU47</f>
        <v>14.412886348295313</v>
      </c>
      <c r="BL47" s="39">
        <f>'Исх.данные'!$E$94</f>
        <v>16.685392176959997</v>
      </c>
      <c r="BM47" s="37">
        <f>BL47*BU47</f>
        <v>2.431300002928457</v>
      </c>
      <c r="BN47" s="39">
        <f>'Исх.данные'!$E$99</f>
        <v>5.761862046719998</v>
      </c>
      <c r="BO47" s="37">
        <f>BN47*BU47</f>
        <v>0.8395856125220569</v>
      </c>
      <c r="BP47" s="37">
        <f>аморт!$D$66*10%/аморт!$G$66*L47*$O$12</f>
        <v>26.939322111873086</v>
      </c>
      <c r="BQ47" s="37">
        <f>BP47+BO47+BM47+BK47+BI47+BG47+BE47+BA47+AW47+AS47+AM47+AL47</f>
        <v>697.7580450053308</v>
      </c>
      <c r="BR47" s="37">
        <f>BQ47/$D$7</f>
        <v>697.7580450053308</v>
      </c>
      <c r="BS47" s="39">
        <f>(O47+P47)/$D$7</f>
        <v>0.45644881434355117</v>
      </c>
      <c r="BT47" s="39">
        <f>'Исх.данные'!$B$109</f>
        <v>5.1</v>
      </c>
      <c r="BU47" s="40">
        <f>BT47*L47</f>
        <v>0.1457142857142857</v>
      </c>
    </row>
    <row r="48" spans="1:73" s="7" customFormat="1" ht="22.5">
      <c r="A48" s="19">
        <v>2</v>
      </c>
      <c r="B48" s="28" t="s">
        <v>110</v>
      </c>
      <c r="C48" s="22"/>
      <c r="D48" s="31" t="s">
        <v>133</v>
      </c>
      <c r="E48" s="32" t="s">
        <v>137</v>
      </c>
      <c r="F48" s="29" t="s">
        <v>479</v>
      </c>
      <c r="G48" s="30">
        <f>600*D7/1000</f>
        <v>0.6</v>
      </c>
      <c r="H48" s="29" t="s">
        <v>495</v>
      </c>
      <c r="I48" s="29" t="s">
        <v>496</v>
      </c>
      <c r="J48" s="34">
        <f>L48/N48</f>
        <v>0.012499999999999999</v>
      </c>
      <c r="K48" s="33">
        <v>48</v>
      </c>
      <c r="L48" s="34">
        <f>IF((M48+N48)&gt;0,G48/K48,0)</f>
        <v>0.012499999999999999</v>
      </c>
      <c r="M48" s="24">
        <v>1</v>
      </c>
      <c r="N48" s="24">
        <v>1</v>
      </c>
      <c r="O48" s="36">
        <f>IF(M48=0,0,L48*$O$12)</f>
        <v>0.09984817813765182</v>
      </c>
      <c r="P48" s="36">
        <f>IF(N48=0,0,L48*$O$12)</f>
        <v>0.09984817813765182</v>
      </c>
      <c r="Q48" s="26">
        <v>5</v>
      </c>
      <c r="R48" s="81">
        <f>IF(AND(O48&gt;0,Q48&gt;0),SUMIF('Исх.данные'!$C$14:$H$14,Q48,'Исх.данные'!$C$18:$H$18),IF(O48=0,0,IF(Q48=0,"РОТ")))</f>
        <v>179.78980233147493</v>
      </c>
      <c r="S48" s="26">
        <v>4</v>
      </c>
      <c r="T48" s="81">
        <f>IF(AND(N48&gt;0,P48&gt;0),SUMIF('Исх.данные'!$C$14:$J$30,S48,'Исх.данные'!$C$34:$J$45),IF(N48=0,0,IF(S48=0,"РОТ")))</f>
        <v>123.48200709579322</v>
      </c>
      <c r="U48" s="144">
        <f>O48*R48*'Исх.данные'!$C$43%</f>
        <v>0</v>
      </c>
      <c r="V48" s="144">
        <f>P48*T48*'Исх.данные'!$C$44%</f>
        <v>0</v>
      </c>
      <c r="W48" s="144">
        <f>O48*R48*$W$12</f>
        <v>0</v>
      </c>
      <c r="X48" s="145">
        <f>P48*T48*$W$12</f>
        <v>0</v>
      </c>
      <c r="Y48" s="144">
        <f>(O48*R48+U48+W48)*$Y$12</f>
        <v>1.7951684210526317</v>
      </c>
      <c r="Z48" s="145">
        <f>(P48*T48+V48+X48)*$Z$12</f>
        <v>0.6164726720647774</v>
      </c>
      <c r="AA48" s="144">
        <f>(O48*R48+U48)*$AA$12</f>
        <v>0</v>
      </c>
      <c r="AB48" s="145">
        <f>(P48*T48+V48)*$AA$12</f>
        <v>0</v>
      </c>
      <c r="AC48" s="143">
        <v>2.5</v>
      </c>
      <c r="AD48" s="144">
        <f>(O48*R48+U48+W48+Y48+AA48)*AC48</f>
        <v>49.36713157894737</v>
      </c>
      <c r="AE48" s="144">
        <f>(P48*T48+V48+X48+Z48+AB48)*AC48</f>
        <v>32.36481528340081</v>
      </c>
      <c r="AF48" s="36">
        <f t="shared" si="63"/>
        <v>7.313649122807018</v>
      </c>
      <c r="AG48" s="74">
        <f t="shared" si="63"/>
        <v>4.794787449392712</v>
      </c>
      <c r="AH48" s="36">
        <f t="shared" si="64"/>
        <v>56.68078070175439</v>
      </c>
      <c r="AI48" s="36">
        <f t="shared" si="64"/>
        <v>37.15960273279352</v>
      </c>
      <c r="AJ48" s="36">
        <f t="shared" si="65"/>
        <v>17.400999675438598</v>
      </c>
      <c r="AK48" s="74">
        <f t="shared" si="65"/>
        <v>11.407998038967612</v>
      </c>
      <c r="AL48" s="36">
        <f>AH48+AJ48</f>
        <v>74.08178037719298</v>
      </c>
      <c r="AM48" s="74">
        <f>AK48+AI48</f>
        <v>48.567600771761136</v>
      </c>
      <c r="AN48" s="33">
        <v>1.3</v>
      </c>
      <c r="AO48" s="34">
        <f>$AO$17</f>
        <v>0.84</v>
      </c>
      <c r="AP48" s="79">
        <f>(G48*AN48)*AO48/100</f>
        <v>0.006552</v>
      </c>
      <c r="AQ48" s="125" t="s">
        <v>186</v>
      </c>
      <c r="AR48" s="81">
        <f>'Исх.данные'!$G$85</f>
        <v>9559.371428571429</v>
      </c>
      <c r="AS48" s="37">
        <f>AP48*AR48</f>
        <v>62.6330016</v>
      </c>
      <c r="AT48" s="2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37">
        <f>аморт!$H$10</f>
        <v>69.6969696969697</v>
      </c>
      <c r="BG48" s="37">
        <f t="shared" si="4"/>
        <v>6.9591154459575515</v>
      </c>
      <c r="BH48" s="37">
        <f>аморт!$H$32</f>
        <v>119.49152083333334</v>
      </c>
      <c r="BI48" s="37">
        <f t="shared" si="5"/>
        <v>11.9310106581056</v>
      </c>
      <c r="BJ48" s="39">
        <f>'Исх.данные'!$E$89</f>
        <v>98.91196513535999</v>
      </c>
      <c r="BK48" s="37">
        <f>BJ48*BU48</f>
        <v>6.305637777379198</v>
      </c>
      <c r="BL48" s="39">
        <f>'Исх.данные'!$E$94</f>
        <v>16.685392176959997</v>
      </c>
      <c r="BM48" s="37">
        <f>BL48*BU48</f>
        <v>1.0636937512811997</v>
      </c>
      <c r="BN48" s="39">
        <f>'Исх.данные'!$E$99</f>
        <v>5.761862046719998</v>
      </c>
      <c r="BO48" s="37">
        <f>BN48*BU48</f>
        <v>0.36731870547839984</v>
      </c>
      <c r="BP48" s="37">
        <f>аморт!$D$32*10%/аморт!$G$32*L48*$O$12</f>
        <v>9.54480852648448</v>
      </c>
      <c r="BQ48" s="37">
        <f>BP48+BO48+BM48+BK48+BI48+BG48+BE48+BA48+AW48+AS48+AM48+AL48</f>
        <v>221.45396761364054</v>
      </c>
      <c r="BR48" s="37">
        <f>BQ48/$D$7</f>
        <v>221.45396761364054</v>
      </c>
      <c r="BS48" s="39">
        <f>(O48+P48)/$D$7</f>
        <v>0.19969635627530363</v>
      </c>
      <c r="BT48" s="39">
        <f>'Исх.данные'!$B$109</f>
        <v>5.1</v>
      </c>
      <c r="BU48" s="40">
        <f>BT48*L48</f>
        <v>0.06374999999999999</v>
      </c>
    </row>
    <row r="49" spans="1:73" s="7" customFormat="1" ht="22.5">
      <c r="A49" s="19">
        <v>3</v>
      </c>
      <c r="B49" s="28" t="s">
        <v>456</v>
      </c>
      <c r="C49" s="22"/>
      <c r="D49" s="31" t="s">
        <v>133</v>
      </c>
      <c r="E49" s="32" t="s">
        <v>137</v>
      </c>
      <c r="F49" s="29" t="s">
        <v>134</v>
      </c>
      <c r="G49" s="30">
        <f>D7*2</f>
        <v>2</v>
      </c>
      <c r="H49" s="29" t="s">
        <v>497</v>
      </c>
      <c r="I49" s="29" t="s">
        <v>498</v>
      </c>
      <c r="J49" s="34">
        <f>L49/M49</f>
        <v>0.05714285714285714</v>
      </c>
      <c r="K49" s="33">
        <v>35</v>
      </c>
      <c r="L49" s="34">
        <f>IF((M49+N49)&gt;0,G49/K49,0)</f>
        <v>0.05714285714285714</v>
      </c>
      <c r="M49" s="24">
        <v>1</v>
      </c>
      <c r="N49" s="24">
        <v>0</v>
      </c>
      <c r="O49" s="36">
        <f>IF(M49=0,0,L49*$O$12)</f>
        <v>0.45644881434355117</v>
      </c>
      <c r="P49" s="36">
        <f>IF(N49=0,0,L49*$O$12)</f>
        <v>0</v>
      </c>
      <c r="Q49" s="26">
        <v>5</v>
      </c>
      <c r="R49" s="81">
        <f>IF(AND(O49&gt;0,Q49&gt;0),SUMIF('Исх.данные'!$C$14:$H$14,Q49,'Исх.данные'!$C$18:$H$18),IF(O49=0,0,IF(Q49=0,"РОТ")))</f>
        <v>179.78980233147493</v>
      </c>
      <c r="S49" s="26">
        <v>5</v>
      </c>
      <c r="T49" s="81">
        <f>IF(AND(N49&gt;0,P49&gt;0),SUMIF('Исх.данные'!$C$14:$J$30,S49,'Исх.данные'!$C$34:$J$45),IF(N49=0,0,IF(S49=0,"РОТ")))</f>
        <v>0</v>
      </c>
      <c r="U49" s="144">
        <f>O49*R49*'Исх.данные'!$C$43%</f>
        <v>0</v>
      </c>
      <c r="V49" s="144">
        <f>P49*T49*'Исх.данные'!$C$44%</f>
        <v>0</v>
      </c>
      <c r="W49" s="144">
        <f>O49*R49*$W$12</f>
        <v>0</v>
      </c>
      <c r="X49" s="145">
        <f>P49*T49*$W$12</f>
        <v>0</v>
      </c>
      <c r="Y49" s="144">
        <f>(O49*R49+U49+W49)*$Y$12</f>
        <v>8.206484210526318</v>
      </c>
      <c r="Z49" s="145">
        <f>(P49*T49+V49+X49)*$Z$12</f>
        <v>0</v>
      </c>
      <c r="AA49" s="144">
        <f>(O49*R49+U49)*$AA$12</f>
        <v>0</v>
      </c>
      <c r="AB49" s="145">
        <f>(P49*T49+V49)*$AA$12</f>
        <v>0</v>
      </c>
      <c r="AC49" s="143">
        <v>2.5</v>
      </c>
      <c r="AD49" s="144">
        <f>(O49*R49+U49+W49+Y49+AA49)*AC49</f>
        <v>225.6783157894737</v>
      </c>
      <c r="AE49" s="144">
        <f>(P49*T49+V49+X49+Z49+AB49)*AC49</f>
        <v>0</v>
      </c>
      <c r="AF49" s="36">
        <f t="shared" si="63"/>
        <v>33.433824561403505</v>
      </c>
      <c r="AG49" s="74">
        <f t="shared" si="63"/>
        <v>0</v>
      </c>
      <c r="AH49" s="36">
        <f t="shared" si="64"/>
        <v>259.1121403508772</v>
      </c>
      <c r="AI49" s="36">
        <f t="shared" si="64"/>
        <v>0</v>
      </c>
      <c r="AJ49" s="36">
        <f t="shared" si="65"/>
        <v>79.5474270877193</v>
      </c>
      <c r="AK49" s="74">
        <f t="shared" si="65"/>
        <v>0</v>
      </c>
      <c r="AL49" s="36">
        <f>AH49+AJ49</f>
        <v>338.6595674385965</v>
      </c>
      <c r="AM49" s="74">
        <f>AK49+AI49</f>
        <v>0</v>
      </c>
      <c r="AN49" s="33">
        <v>1.3</v>
      </c>
      <c r="AO49" s="34">
        <f>$AO$17</f>
        <v>0.84</v>
      </c>
      <c r="AP49" s="79">
        <f>(G49*AN49)*AO49/100</f>
        <v>0.021840000000000002</v>
      </c>
      <c r="AQ49" s="125" t="s">
        <v>186</v>
      </c>
      <c r="AR49" s="81">
        <f>'Исх.данные'!$G$85</f>
        <v>9559.371428571429</v>
      </c>
      <c r="AS49" s="37">
        <f>AP49*AR49</f>
        <v>208.77667200000002</v>
      </c>
      <c r="AT49" s="24"/>
      <c r="AU49" s="44"/>
      <c r="AV49" s="44"/>
      <c r="AW49" s="44"/>
      <c r="AX49" s="44"/>
      <c r="AY49" s="44"/>
      <c r="AZ49" s="44"/>
      <c r="BA49" s="44"/>
      <c r="BB49" s="183">
        <f>Нормы!B29</f>
        <v>1.2</v>
      </c>
      <c r="BC49" s="183">
        <f>BB49*G49</f>
        <v>2.4</v>
      </c>
      <c r="BD49" s="217">
        <f>Нормы!D29</f>
        <v>297</v>
      </c>
      <c r="BE49" s="120">
        <f>BC49*BD49</f>
        <v>712.8</v>
      </c>
      <c r="BF49" s="37">
        <f>аморт!$H$10</f>
        <v>69.6969696969697</v>
      </c>
      <c r="BG49" s="37">
        <f t="shared" si="4"/>
        <v>31.813099181520236</v>
      </c>
      <c r="BH49" s="37">
        <f>аморт!$H$66</f>
        <v>196.73123809523813</v>
      </c>
      <c r="BI49" s="37">
        <f t="shared" si="5"/>
        <v>89.7977403729103</v>
      </c>
      <c r="BJ49" s="39">
        <f>'Исх.данные'!$E$89</f>
        <v>98.91196513535999</v>
      </c>
      <c r="BK49" s="37">
        <f>BJ49*BU49</f>
        <v>28.825772696590626</v>
      </c>
      <c r="BL49" s="39">
        <f>'Исх.данные'!$E$94</f>
        <v>16.685392176959997</v>
      </c>
      <c r="BM49" s="37">
        <f>BL49*BU49</f>
        <v>4.862600005856914</v>
      </c>
      <c r="BN49" s="39">
        <f>'Исх.данные'!$E$99</f>
        <v>5.761862046719998</v>
      </c>
      <c r="BO49" s="37">
        <f>BN49*BU49</f>
        <v>1.6791712250441138</v>
      </c>
      <c r="BP49" s="37">
        <f>аморт!$D$66*10%/аморт!$G$66*L49*$O$12</f>
        <v>53.87864422374617</v>
      </c>
      <c r="BQ49" s="37">
        <f>BP49+BO49+BM49+BK49+BI49+BG49+BE49+BA49+AW49+AS49+AM49+AL49</f>
        <v>1471.0932671442647</v>
      </c>
      <c r="BR49" s="37">
        <f>BQ49/$D$7</f>
        <v>1471.0932671442647</v>
      </c>
      <c r="BS49" s="39">
        <f>(O49+P49)/$D$7</f>
        <v>0.45644881434355117</v>
      </c>
      <c r="BT49" s="39">
        <f>'Исх.данные'!$B$109</f>
        <v>5.1</v>
      </c>
      <c r="BU49" s="40">
        <f>BT49*L49</f>
        <v>0.2914285714285714</v>
      </c>
    </row>
    <row r="50" spans="1:73" s="7" customFormat="1" ht="22.5">
      <c r="A50" s="19">
        <v>4</v>
      </c>
      <c r="B50" s="28" t="s">
        <v>512</v>
      </c>
      <c r="C50" s="22"/>
      <c r="D50" s="31" t="s">
        <v>133</v>
      </c>
      <c r="E50" s="32" t="s">
        <v>137</v>
      </c>
      <c r="F50" s="29" t="s">
        <v>134</v>
      </c>
      <c r="G50" s="30">
        <f>D7</f>
        <v>1</v>
      </c>
      <c r="H50" s="29" t="s">
        <v>492</v>
      </c>
      <c r="I50" s="29" t="s">
        <v>493</v>
      </c>
      <c r="J50" s="34">
        <f>L50/M50</f>
        <v>0.02857142857142857</v>
      </c>
      <c r="K50" s="33">
        <v>35</v>
      </c>
      <c r="L50" s="34">
        <f>IF((M50+N50)&gt;0,G50/K50,0)</f>
        <v>0.02857142857142857</v>
      </c>
      <c r="M50" s="24">
        <v>1</v>
      </c>
      <c r="N50" s="24">
        <v>0</v>
      </c>
      <c r="O50" s="36">
        <f>IF(M50=0,0,L50*$O$12)</f>
        <v>0.22822440717177558</v>
      </c>
      <c r="P50" s="36">
        <f>IF(N50=0,0,L50*$O$12)</f>
        <v>0</v>
      </c>
      <c r="Q50" s="26">
        <v>5</v>
      </c>
      <c r="R50" s="81">
        <f>IF(AND(O50&gt;0,Q50&gt;0),SUMIF('Исх.данные'!$C$14:$H$14,Q50,'Исх.данные'!$C$18:$H$18),IF(O50=0,0,IF(Q50=0,"РОТ")))</f>
        <v>179.78980233147493</v>
      </c>
      <c r="S50" s="26">
        <v>5</v>
      </c>
      <c r="T50" s="81">
        <f>IF(AND(N50&gt;0,P50&gt;0),SUMIF('Исх.данные'!$C$14:$J$30,S50,'Исх.данные'!$C$34:$J$45),IF(N50=0,0,IF(S50=0,"РОТ")))</f>
        <v>0</v>
      </c>
      <c r="U50" s="144">
        <f>O50*R50*'Исх.данные'!$C$43%</f>
        <v>0</v>
      </c>
      <c r="V50" s="144">
        <f>P50*T50*'Исх.данные'!$C$44%</f>
        <v>0</v>
      </c>
      <c r="W50" s="144">
        <f>O50*R50*$W$12</f>
        <v>0</v>
      </c>
      <c r="X50" s="145">
        <f>P50*T50*$W$12</f>
        <v>0</v>
      </c>
      <c r="Y50" s="144">
        <f>(O50*R50+U50+W50)*$Y$12</f>
        <v>4.103242105263159</v>
      </c>
      <c r="Z50" s="145">
        <f>(P50*T50+V50+X50)*$Z$12</f>
        <v>0</v>
      </c>
      <c r="AA50" s="144">
        <f>(O50*R50+U50)*$AA$12</f>
        <v>0</v>
      </c>
      <c r="AB50" s="145">
        <f>(P50*T50+V50)*$AA$12</f>
        <v>0</v>
      </c>
      <c r="AC50" s="143">
        <v>2.5</v>
      </c>
      <c r="AD50" s="144">
        <f>(O50*R50+U50+W50+Y50+AA50)*AC50</f>
        <v>112.83915789473684</v>
      </c>
      <c r="AE50" s="144">
        <f>(P50*T50+V50+X50+Z50+AB50)*AC50</f>
        <v>0</v>
      </c>
      <c r="AF50" s="36">
        <f t="shared" si="63"/>
        <v>16.716912280701752</v>
      </c>
      <c r="AG50" s="74">
        <f t="shared" si="63"/>
        <v>0</v>
      </c>
      <c r="AH50" s="36">
        <f t="shared" si="64"/>
        <v>129.5560701754386</v>
      </c>
      <c r="AI50" s="36">
        <f t="shared" si="64"/>
        <v>0</v>
      </c>
      <c r="AJ50" s="36">
        <f t="shared" si="65"/>
        <v>39.77371354385965</v>
      </c>
      <c r="AK50" s="74">
        <f t="shared" si="65"/>
        <v>0</v>
      </c>
      <c r="AL50" s="36">
        <f>AH50+AJ50</f>
        <v>169.32978371929826</v>
      </c>
      <c r="AM50" s="74">
        <f>AK50+AI50</f>
        <v>0</v>
      </c>
      <c r="AN50" s="33">
        <v>1.3</v>
      </c>
      <c r="AO50" s="34">
        <f>$AO$17</f>
        <v>0.84</v>
      </c>
      <c r="AP50" s="79">
        <f>(G50*AN50)*AO50/100</f>
        <v>0.010920000000000001</v>
      </c>
      <c r="AQ50" s="125" t="s">
        <v>186</v>
      </c>
      <c r="AR50" s="81">
        <f>'Исх.данные'!$G$85</f>
        <v>9559.371428571429</v>
      </c>
      <c r="AS50" s="37">
        <f>AP50*AR50</f>
        <v>104.38833600000001</v>
      </c>
      <c r="AT50" s="24"/>
      <c r="AU50" s="44"/>
      <c r="AV50" s="44"/>
      <c r="AW50" s="44"/>
      <c r="AX50" s="44"/>
      <c r="AY50" s="44"/>
      <c r="AZ50" s="44"/>
      <c r="BA50" s="44"/>
      <c r="BB50" s="184">
        <v>0.03</v>
      </c>
      <c r="BC50" s="184">
        <f>BB50*G50</f>
        <v>0.03</v>
      </c>
      <c r="BD50" s="218">
        <f>2048*1.045*1.054</f>
        <v>2255.72864</v>
      </c>
      <c r="BE50" s="120">
        <f>BC50*BD50</f>
        <v>67.67185919999999</v>
      </c>
      <c r="BF50" s="37">
        <f>аморт!$H$10</f>
        <v>69.6969696969697</v>
      </c>
      <c r="BG50" s="37">
        <f t="shared" si="4"/>
        <v>15.906549590760118</v>
      </c>
      <c r="BH50" s="37">
        <f>аморт!$H$66</f>
        <v>196.73123809523813</v>
      </c>
      <c r="BI50" s="37">
        <f t="shared" si="5"/>
        <v>44.89887018645515</v>
      </c>
      <c r="BJ50" s="39">
        <f>'Исх.данные'!$E$89</f>
        <v>98.91196513535999</v>
      </c>
      <c r="BK50" s="37">
        <f>BJ50*BU50</f>
        <v>14.412886348295313</v>
      </c>
      <c r="BL50" s="39">
        <f>'Исх.данные'!$E$94</f>
        <v>16.685392176959997</v>
      </c>
      <c r="BM50" s="37">
        <f>BL50*BU50</f>
        <v>2.431300002928457</v>
      </c>
      <c r="BN50" s="39">
        <f>'Исх.данные'!$E$99</f>
        <v>5.761862046719998</v>
      </c>
      <c r="BO50" s="37">
        <f>BN50*BU50</f>
        <v>0.8395856125220569</v>
      </c>
      <c r="BP50" s="37">
        <f>аморт!$D$66*10%/аморт!$G$66*L50*$O$12</f>
        <v>26.939322111873086</v>
      </c>
      <c r="BQ50" s="37">
        <f>BP50+BO50+BM50+BK50+BI50+BG50+BE50+BA50+AW50+AS50+AM50+AL50</f>
        <v>446.81849277213246</v>
      </c>
      <c r="BR50" s="37">
        <f>BQ50/$D$7</f>
        <v>446.81849277213246</v>
      </c>
      <c r="BS50" s="39">
        <f>(O50+P50)/$D$7</f>
        <v>0.22822440717177558</v>
      </c>
      <c r="BT50" s="39">
        <f>'Исх.данные'!$B$109</f>
        <v>5.1</v>
      </c>
      <c r="BU50" s="40">
        <f>BT50*L50</f>
        <v>0.1457142857142857</v>
      </c>
    </row>
    <row r="51" spans="1:73" s="56" customFormat="1" ht="11.25">
      <c r="A51" s="54"/>
      <c r="B51" s="55" t="s">
        <v>22</v>
      </c>
      <c r="C51" s="55"/>
      <c r="D51" s="55"/>
      <c r="E51" s="55"/>
      <c r="F51" s="57"/>
      <c r="G51" s="58"/>
      <c r="H51" s="58"/>
      <c r="I51" s="58"/>
      <c r="J51" s="66">
        <f>SUM(J47:J50)</f>
        <v>0.12678571428571428</v>
      </c>
      <c r="K51" s="66"/>
      <c r="L51" s="66">
        <f aca="true" t="shared" si="66" ref="L51:BM51">SUM(L47:L50)</f>
        <v>0.12678571428571428</v>
      </c>
      <c r="M51" s="66">
        <f t="shared" si="66"/>
        <v>4</v>
      </c>
      <c r="N51" s="66">
        <f t="shared" si="66"/>
        <v>2</v>
      </c>
      <c r="O51" s="66">
        <f t="shared" si="66"/>
        <v>1.0127458068247541</v>
      </c>
      <c r="P51" s="66">
        <f t="shared" si="66"/>
        <v>0.3280725853094274</v>
      </c>
      <c r="Q51" s="66"/>
      <c r="R51" s="66"/>
      <c r="S51" s="66"/>
      <c r="T51" s="66"/>
      <c r="U51" s="66">
        <f t="shared" si="66"/>
        <v>0</v>
      </c>
      <c r="V51" s="66">
        <f t="shared" si="66"/>
        <v>0</v>
      </c>
      <c r="W51" s="66">
        <f t="shared" si="66"/>
        <v>0</v>
      </c>
      <c r="X51" s="66">
        <f t="shared" si="66"/>
        <v>0</v>
      </c>
      <c r="Y51" s="66">
        <f t="shared" si="66"/>
        <v>18.20813684210527</v>
      </c>
      <c r="Z51" s="66">
        <f t="shared" si="66"/>
        <v>2.1720974262579524</v>
      </c>
      <c r="AA51" s="66">
        <f t="shared" si="66"/>
        <v>0</v>
      </c>
      <c r="AB51" s="66">
        <f t="shared" si="66"/>
        <v>0</v>
      </c>
      <c r="AC51" s="66"/>
      <c r="AD51" s="66">
        <f t="shared" si="66"/>
        <v>500.7237631578948</v>
      </c>
      <c r="AE51" s="66">
        <f t="shared" si="66"/>
        <v>114.03511487854249</v>
      </c>
      <c r="AF51" s="66">
        <f t="shared" si="66"/>
        <v>74.18129824561403</v>
      </c>
      <c r="AG51" s="66">
        <f t="shared" si="66"/>
        <v>16.894091093117407</v>
      </c>
      <c r="AH51" s="66">
        <f t="shared" si="66"/>
        <v>574.9050614035089</v>
      </c>
      <c r="AI51" s="66">
        <f t="shared" si="66"/>
        <v>130.9292059716599</v>
      </c>
      <c r="AJ51" s="66">
        <f t="shared" si="66"/>
        <v>176.4958538508772</v>
      </c>
      <c r="AK51" s="66">
        <f t="shared" si="66"/>
        <v>40.19526623329959</v>
      </c>
      <c r="AL51" s="66">
        <f t="shared" si="66"/>
        <v>751.400915254386</v>
      </c>
      <c r="AM51" s="66">
        <f t="shared" si="66"/>
        <v>171.1244722049595</v>
      </c>
      <c r="AN51" s="25"/>
      <c r="AO51" s="66"/>
      <c r="AP51" s="66">
        <f t="shared" si="66"/>
        <v>0.050232</v>
      </c>
      <c r="AQ51" s="66"/>
      <c r="AR51" s="66"/>
      <c r="AS51" s="66">
        <f t="shared" si="66"/>
        <v>480.1863456</v>
      </c>
      <c r="AT51" s="66"/>
      <c r="AU51" s="66">
        <f t="shared" si="66"/>
        <v>0</v>
      </c>
      <c r="AV51" s="66"/>
      <c r="AW51" s="66">
        <f t="shared" si="66"/>
        <v>0</v>
      </c>
      <c r="AX51" s="66"/>
      <c r="AY51" s="66">
        <f t="shared" si="66"/>
        <v>0</v>
      </c>
      <c r="AZ51" s="66"/>
      <c r="BA51" s="66">
        <f t="shared" si="66"/>
        <v>0</v>
      </c>
      <c r="BB51" s="66"/>
      <c r="BC51" s="66">
        <f t="shared" si="66"/>
        <v>2.9299999999999997</v>
      </c>
      <c r="BD51" s="66"/>
      <c r="BE51" s="66">
        <f t="shared" si="66"/>
        <v>976.5263991999999</v>
      </c>
      <c r="BF51" s="66"/>
      <c r="BG51" s="66">
        <f t="shared" si="66"/>
        <v>70.58531380899802</v>
      </c>
      <c r="BH51" s="66"/>
      <c r="BI51" s="66">
        <f t="shared" si="66"/>
        <v>191.5264914039262</v>
      </c>
      <c r="BJ51" s="66"/>
      <c r="BK51" s="66">
        <f t="shared" si="66"/>
        <v>63.957183170560455</v>
      </c>
      <c r="BL51" s="66"/>
      <c r="BM51" s="66">
        <f t="shared" si="66"/>
        <v>10.788893762995027</v>
      </c>
      <c r="BN51" s="66"/>
      <c r="BO51" s="66">
        <f aca="true" t="shared" si="67" ref="BO51:BU51">SUM(BO47:BO50)</f>
        <v>3.7256611555666277</v>
      </c>
      <c r="BP51" s="66">
        <f t="shared" si="67"/>
        <v>117.30209697397683</v>
      </c>
      <c r="BQ51" s="66">
        <f t="shared" si="67"/>
        <v>2837.1237725353685</v>
      </c>
      <c r="BR51" s="66"/>
      <c r="BS51" s="66"/>
      <c r="BT51" s="66"/>
      <c r="BU51" s="66">
        <f t="shared" si="67"/>
        <v>0.6466071428571428</v>
      </c>
    </row>
    <row r="52" spans="1:73" s="7" customFormat="1" ht="11.25">
      <c r="A52" s="21"/>
      <c r="B52" s="399" t="s">
        <v>116</v>
      </c>
      <c r="C52" s="399"/>
      <c r="D52" s="399"/>
      <c r="E52" s="399"/>
      <c r="F52" s="23"/>
      <c r="G52" s="24"/>
      <c r="H52" s="24"/>
      <c r="I52" s="24"/>
      <c r="J52" s="24"/>
      <c r="K52" s="24"/>
      <c r="L52" s="41"/>
      <c r="M52" s="24"/>
      <c r="N52" s="24"/>
      <c r="O52" s="42"/>
      <c r="P52" s="42"/>
      <c r="Q52" s="26"/>
      <c r="R52" s="24"/>
      <c r="S52" s="26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3"/>
      <c r="AH52" s="42"/>
      <c r="AI52" s="42"/>
      <c r="AJ52" s="42"/>
      <c r="AK52" s="42"/>
      <c r="AL52" s="42"/>
      <c r="AM52" s="42"/>
      <c r="AN52" s="24"/>
      <c r="AO52" s="24"/>
      <c r="AP52" s="44"/>
      <c r="AQ52" s="27"/>
      <c r="AR52" s="27"/>
      <c r="AS52" s="44"/>
      <c r="AT52" s="2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37">
        <f t="shared" si="4"/>
        <v>0</v>
      </c>
      <c r="BH52" s="44"/>
      <c r="BI52" s="37">
        <f t="shared" si="5"/>
        <v>0</v>
      </c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</row>
    <row r="53" spans="1:73" s="7" customFormat="1" ht="11.25">
      <c r="A53" s="19">
        <v>1</v>
      </c>
      <c r="B53" s="28" t="s">
        <v>111</v>
      </c>
      <c r="C53" s="22"/>
      <c r="D53" s="31" t="s">
        <v>133</v>
      </c>
      <c r="E53" s="32" t="s">
        <v>155</v>
      </c>
      <c r="F53" s="29" t="s">
        <v>134</v>
      </c>
      <c r="G53" s="30">
        <f>D7</f>
        <v>1</v>
      </c>
      <c r="H53" s="29" t="s">
        <v>499</v>
      </c>
      <c r="I53" s="29" t="s">
        <v>500</v>
      </c>
      <c r="J53" s="81">
        <f>L53/M53</f>
        <v>0.14084507042253522</v>
      </c>
      <c r="K53" s="33">
        <v>7.1</v>
      </c>
      <c r="L53" s="34">
        <f>IF((M53+N53)&gt;0,G53/K53,0)</f>
        <v>0.14084507042253522</v>
      </c>
      <c r="M53" s="24">
        <v>1</v>
      </c>
      <c r="N53" s="24"/>
      <c r="O53" s="36">
        <f>IF(M53=0,0,L53*$O$12)</f>
        <v>1.125049894508753</v>
      </c>
      <c r="P53" s="36">
        <f>IF(N53=0,0,L53*$O$12)</f>
        <v>0</v>
      </c>
      <c r="Q53" s="26">
        <v>4</v>
      </c>
      <c r="R53" s="81">
        <f>IF(AND(O53&gt;0,Q53&gt;0),SUMIF('Исх.данные'!$C$14:$H$14,Q53,'Исх.данные'!$C$18:$H$18),IF(O53=0,0,IF(Q53=0,"РОТ")))</f>
        <v>156.08125696908263</v>
      </c>
      <c r="S53" s="26"/>
      <c r="T53" s="24"/>
      <c r="U53" s="144">
        <f>O53*R53*'Исх.данные'!$C$43%</f>
        <v>0</v>
      </c>
      <c r="V53" s="144">
        <f>P53*T53*'Исх.данные'!$C$44%</f>
        <v>0</v>
      </c>
      <c r="W53" s="144">
        <f>O53*R53*$W$12</f>
        <v>0</v>
      </c>
      <c r="X53" s="145">
        <f>P53*T53*$W$12</f>
        <v>0</v>
      </c>
      <c r="Y53" s="144">
        <f>(O53*R53+U53+W53)*$Y$12</f>
        <v>17.559920168786</v>
      </c>
      <c r="Z53" s="145">
        <f>(P53*T53+V53+X53)*$Z$12</f>
        <v>0</v>
      </c>
      <c r="AA53" s="144">
        <f>(O53*R53+U53)*$AA$12</f>
        <v>0</v>
      </c>
      <c r="AB53" s="145">
        <f>(P53*T53+V53)*$AA$12</f>
        <v>0</v>
      </c>
      <c r="AC53" s="143">
        <v>2.5</v>
      </c>
      <c r="AD53" s="144">
        <f>(O53*R53+U53+W53+Y53+AA53)*AC53</f>
        <v>482.8978046416149</v>
      </c>
      <c r="AE53" s="144">
        <f>(P53*T53+V53+X53+Z53+AB53)*AC53</f>
        <v>0</v>
      </c>
      <c r="AF53" s="36">
        <f aca="true" t="shared" si="68" ref="AF53:AG57">AD53*$AF$12</f>
        <v>71.54041550246147</v>
      </c>
      <c r="AG53" s="74">
        <f t="shared" si="68"/>
        <v>0</v>
      </c>
      <c r="AH53" s="36">
        <f aca="true" t="shared" si="69" ref="AH53:AI57">AD53+AF53</f>
        <v>554.4382201440764</v>
      </c>
      <c r="AI53" s="36">
        <f t="shared" si="69"/>
        <v>0</v>
      </c>
      <c r="AJ53" s="36">
        <f aca="true" t="shared" si="70" ref="AJ53:AK57">AH53*$AJ$12</f>
        <v>170.21253358423144</v>
      </c>
      <c r="AK53" s="74">
        <f t="shared" si="70"/>
        <v>0</v>
      </c>
      <c r="AL53" s="36">
        <f>AH53+AJ53</f>
        <v>724.6507537283078</v>
      </c>
      <c r="AM53" s="74">
        <f>AK53+AI53</f>
        <v>0</v>
      </c>
      <c r="AN53" s="33">
        <v>8.2</v>
      </c>
      <c r="AO53" s="34">
        <f>$AO$17</f>
        <v>0.84</v>
      </c>
      <c r="AP53" s="79">
        <f>(G53*AN53)*AO53/100</f>
        <v>0.06888</v>
      </c>
      <c r="AQ53" s="125" t="s">
        <v>186</v>
      </c>
      <c r="AR53" s="81">
        <f>'Исх.данные'!$G$85</f>
        <v>9559.371428571429</v>
      </c>
      <c r="AS53" s="37">
        <f>AP53*AR53</f>
        <v>658.4495039999999</v>
      </c>
      <c r="AT53" s="2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37">
        <f>аморт!$H$10</f>
        <v>69.6969696969697</v>
      </c>
      <c r="BG53" s="37">
        <f t="shared" si="4"/>
        <v>78.41256840515551</v>
      </c>
      <c r="BH53" s="37">
        <f>аморт!$H$56</f>
        <v>33.46371794871795</v>
      </c>
      <c r="BI53" s="37">
        <f t="shared" si="5"/>
        <v>37.64835234807579</v>
      </c>
      <c r="BJ53" s="39">
        <f>'Исх.данные'!$E$89</f>
        <v>98.91196513535999</v>
      </c>
      <c r="BK53" s="37">
        <f>BJ53*BU53</f>
        <v>71.04943974511774</v>
      </c>
      <c r="BL53" s="39">
        <f>'Исх.данные'!$E$94</f>
        <v>16.685392176959997</v>
      </c>
      <c r="BM53" s="37">
        <f>BL53*BU53</f>
        <v>11.985281704576899</v>
      </c>
      <c r="BN53" s="39">
        <f>'Исх.данные'!$E$99</f>
        <v>5.761862046719998</v>
      </c>
      <c r="BO53" s="37">
        <f>BN53*BU53</f>
        <v>4.138802315249576</v>
      </c>
      <c r="BP53" s="37">
        <f>аморт!$D$56*10%/аморт!$G$56*L53*$O$12</f>
        <v>30.118681878460634</v>
      </c>
      <c r="BQ53" s="37">
        <f>BP53+BO53+BM53+BK53+BI53+BG53+BE53+BA53+AW53+AS53+AM53+AL53</f>
        <v>1616.453384124944</v>
      </c>
      <c r="BR53" s="37">
        <f>BQ53/$D$7</f>
        <v>1616.453384124944</v>
      </c>
      <c r="BS53" s="39">
        <f>(O53+P53)/$D$7</f>
        <v>1.125049894508753</v>
      </c>
      <c r="BT53" s="39">
        <f>'Исх.данные'!$B$109</f>
        <v>5.1</v>
      </c>
      <c r="BU53" s="40">
        <f>BT53*L53</f>
        <v>0.7183098591549295</v>
      </c>
    </row>
    <row r="54" spans="1:73" s="7" customFormat="1" ht="11.25">
      <c r="A54" s="19">
        <v>2</v>
      </c>
      <c r="B54" s="28" t="s">
        <v>112</v>
      </c>
      <c r="C54" s="22"/>
      <c r="D54" s="31" t="s">
        <v>133</v>
      </c>
      <c r="E54" s="32" t="s">
        <v>155</v>
      </c>
      <c r="F54" s="29" t="s">
        <v>134</v>
      </c>
      <c r="G54" s="30">
        <f>G53</f>
        <v>1</v>
      </c>
      <c r="H54" s="29" t="s">
        <v>501</v>
      </c>
      <c r="I54" s="29" t="s">
        <v>500</v>
      </c>
      <c r="J54" s="81">
        <f>L54/M54</f>
        <v>0.14084507042253522</v>
      </c>
      <c r="K54" s="33">
        <v>7.1</v>
      </c>
      <c r="L54" s="34">
        <f>IF((M54+N54)&gt;0,G54/K54,0)</f>
        <v>0.14084507042253522</v>
      </c>
      <c r="M54" s="24">
        <v>1</v>
      </c>
      <c r="N54" s="24"/>
      <c r="O54" s="36">
        <f>IF(M54=0,0,L54*$O$12)</f>
        <v>1.125049894508753</v>
      </c>
      <c r="P54" s="36">
        <f>IF(N54=0,0,L54*$O$12)</f>
        <v>0</v>
      </c>
      <c r="Q54" s="26">
        <v>4</v>
      </c>
      <c r="R54" s="81">
        <f>IF(AND(O54&gt;0,Q54&gt;0),SUMIF('Исх.данные'!$C$14:$H$14,Q54,'Исх.данные'!$C$18:$H$18),IF(O54=0,0,IF(Q54=0,"РОТ")))</f>
        <v>156.08125696908263</v>
      </c>
      <c r="S54" s="26"/>
      <c r="T54" s="24"/>
      <c r="U54" s="144">
        <f>O54*R54*'Исх.данные'!$C$43%</f>
        <v>0</v>
      </c>
      <c r="V54" s="144">
        <f>P54*T54*'Исх.данные'!$C$44%</f>
        <v>0</v>
      </c>
      <c r="W54" s="144">
        <f>O54*R54*$W$12</f>
        <v>0</v>
      </c>
      <c r="X54" s="145">
        <f>P54*T54*$W$12</f>
        <v>0</v>
      </c>
      <c r="Y54" s="144">
        <f>(O54*R54+U54+W54)*$Y$12</f>
        <v>17.559920168786</v>
      </c>
      <c r="Z54" s="145">
        <f>(P54*T54+V54+X54)*$Z$12</f>
        <v>0</v>
      </c>
      <c r="AA54" s="144">
        <f>(O54*R54+U54)*$AA$12</f>
        <v>0</v>
      </c>
      <c r="AB54" s="145">
        <f>(P54*T54+V54)*$AA$12</f>
        <v>0</v>
      </c>
      <c r="AC54" s="143">
        <v>2.5</v>
      </c>
      <c r="AD54" s="144">
        <f>(O54*R54+U54+W54+Y54+AA54)*AC54</f>
        <v>482.8978046416149</v>
      </c>
      <c r="AE54" s="144">
        <f>(P54*T54+V54+X54+Z54+AB54)*AC54</f>
        <v>0</v>
      </c>
      <c r="AF54" s="36">
        <f t="shared" si="68"/>
        <v>71.54041550246147</v>
      </c>
      <c r="AG54" s="74">
        <f t="shared" si="68"/>
        <v>0</v>
      </c>
      <c r="AH54" s="36">
        <f t="shared" si="69"/>
        <v>554.4382201440764</v>
      </c>
      <c r="AI54" s="36">
        <f t="shared" si="69"/>
        <v>0</v>
      </c>
      <c r="AJ54" s="36">
        <f t="shared" si="70"/>
        <v>170.21253358423144</v>
      </c>
      <c r="AK54" s="74">
        <f t="shared" si="70"/>
        <v>0</v>
      </c>
      <c r="AL54" s="36">
        <f>AH54+AJ54</f>
        <v>724.6507537283078</v>
      </c>
      <c r="AM54" s="74">
        <f>AK54+AI54</f>
        <v>0</v>
      </c>
      <c r="AN54" s="33">
        <v>8.2</v>
      </c>
      <c r="AO54" s="34">
        <f>$AO$17</f>
        <v>0.84</v>
      </c>
      <c r="AP54" s="79">
        <f>(G54*AN54)*AO54/100</f>
        <v>0.06888</v>
      </c>
      <c r="AQ54" s="125" t="s">
        <v>186</v>
      </c>
      <c r="AR54" s="81">
        <f>'Исх.данные'!$G$85</f>
        <v>9559.371428571429</v>
      </c>
      <c r="AS54" s="37">
        <f>AP54*AR54</f>
        <v>658.4495039999999</v>
      </c>
      <c r="AT54" s="2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37">
        <f>аморт!$H$10</f>
        <v>69.6969696969697</v>
      </c>
      <c r="BG54" s="37">
        <f t="shared" si="4"/>
        <v>78.41256840515551</v>
      </c>
      <c r="BH54" s="37">
        <f>аморт!$H$56</f>
        <v>33.46371794871795</v>
      </c>
      <c r="BI54" s="37">
        <f t="shared" si="5"/>
        <v>37.64835234807579</v>
      </c>
      <c r="BJ54" s="39">
        <f>'Исх.данные'!$E$89</f>
        <v>98.91196513535999</v>
      </c>
      <c r="BK54" s="37">
        <f>BJ54*BU54</f>
        <v>71.04943974511774</v>
      </c>
      <c r="BL54" s="39">
        <f>'Исх.данные'!$E$94</f>
        <v>16.685392176959997</v>
      </c>
      <c r="BM54" s="37">
        <f>BL54*BU54</f>
        <v>11.985281704576899</v>
      </c>
      <c r="BN54" s="39">
        <f>'Исх.данные'!$E$99</f>
        <v>5.761862046719998</v>
      </c>
      <c r="BO54" s="37">
        <f>BN54*BU54</f>
        <v>4.138802315249576</v>
      </c>
      <c r="BP54" s="37">
        <f>аморт!$D$56*10%/аморт!$G$56*L54*$O$12</f>
        <v>30.118681878460634</v>
      </c>
      <c r="BQ54" s="37">
        <f>BP54+BO54+BM54+BK54+BI54+BG54+BE54+BA54+AW54+AS54+AM54+AL54</f>
        <v>1616.453384124944</v>
      </c>
      <c r="BR54" s="37">
        <f>BQ54/$D$7</f>
        <v>1616.453384124944</v>
      </c>
      <c r="BS54" s="39">
        <f>(O54+P54)/$D$7</f>
        <v>1.125049894508753</v>
      </c>
      <c r="BT54" s="39">
        <f>'Исх.данные'!$B$109</f>
        <v>5.1</v>
      </c>
      <c r="BU54" s="40">
        <f>BT54*L54</f>
        <v>0.7183098591549295</v>
      </c>
    </row>
    <row r="55" spans="1:73" s="7" customFormat="1" ht="11.25">
      <c r="A55" s="19">
        <v>3</v>
      </c>
      <c r="B55" s="28" t="s">
        <v>113</v>
      </c>
      <c r="C55" s="22"/>
      <c r="D55" s="31" t="s">
        <v>133</v>
      </c>
      <c r="E55" s="32" t="s">
        <v>155</v>
      </c>
      <c r="F55" s="29" t="s">
        <v>134</v>
      </c>
      <c r="G55" s="30">
        <f>G54</f>
        <v>1</v>
      </c>
      <c r="H55" s="29"/>
      <c r="I55" s="29"/>
      <c r="J55" s="81">
        <f>L55/M55</f>
        <v>0.14084507042253522</v>
      </c>
      <c r="K55" s="33">
        <v>7.1</v>
      </c>
      <c r="L55" s="34">
        <f>IF((M55+N55)&gt;0,G55/K55,0)</f>
        <v>0.14084507042253522</v>
      </c>
      <c r="M55" s="24">
        <v>1</v>
      </c>
      <c r="N55" s="24"/>
      <c r="O55" s="36">
        <f>IF(M55=0,0,L55*$O$12)</f>
        <v>1.125049894508753</v>
      </c>
      <c r="P55" s="36">
        <f>IF(N55=0,0,L55*$O$12)</f>
        <v>0</v>
      </c>
      <c r="Q55" s="26">
        <v>4</v>
      </c>
      <c r="R55" s="81">
        <f>IF(AND(O55&gt;0,Q55&gt;0),SUMIF('Исх.данные'!$C$14:$H$14,Q55,'Исх.данные'!$C$18:$H$18),IF(O55=0,0,IF(Q55=0,"РОТ")))</f>
        <v>156.08125696908263</v>
      </c>
      <c r="S55" s="26"/>
      <c r="T55" s="24"/>
      <c r="U55" s="144">
        <f>O55*R55*'Исх.данные'!$C$43%</f>
        <v>0</v>
      </c>
      <c r="V55" s="144">
        <f>P55*T55*'Исх.данные'!$C$44%</f>
        <v>0</v>
      </c>
      <c r="W55" s="144">
        <f>O55*R55*$W$12</f>
        <v>0</v>
      </c>
      <c r="X55" s="145">
        <f>P55*T55*$W$12</f>
        <v>0</v>
      </c>
      <c r="Y55" s="144">
        <f>(O55*R55+U55+W55)*$Y$12</f>
        <v>17.559920168786</v>
      </c>
      <c r="Z55" s="145">
        <f>(P55*T55+V55+X55)*$Z$12</f>
        <v>0</v>
      </c>
      <c r="AA55" s="144">
        <f>(O55*R55+U55)*$AA$12</f>
        <v>0</v>
      </c>
      <c r="AB55" s="145">
        <f>(P55*T55+V55)*$AA$12</f>
        <v>0</v>
      </c>
      <c r="AC55" s="143">
        <v>2.5</v>
      </c>
      <c r="AD55" s="144">
        <f>(O55*R55+U55+W55+Y55+AA55)*AC55</f>
        <v>482.8978046416149</v>
      </c>
      <c r="AE55" s="144">
        <f>(P55*T55+V55+X55+Z55+AB55)*AC55</f>
        <v>0</v>
      </c>
      <c r="AF55" s="36">
        <f t="shared" si="68"/>
        <v>71.54041550246147</v>
      </c>
      <c r="AG55" s="74">
        <f t="shared" si="68"/>
        <v>0</v>
      </c>
      <c r="AH55" s="36">
        <f t="shared" si="69"/>
        <v>554.4382201440764</v>
      </c>
      <c r="AI55" s="36">
        <f t="shared" si="69"/>
        <v>0</v>
      </c>
      <c r="AJ55" s="36">
        <f t="shared" si="70"/>
        <v>170.21253358423144</v>
      </c>
      <c r="AK55" s="74">
        <f t="shared" si="70"/>
        <v>0</v>
      </c>
      <c r="AL55" s="36">
        <f>AH55+AJ55</f>
        <v>724.6507537283078</v>
      </c>
      <c r="AM55" s="74">
        <f>AK55+AI55</f>
        <v>0</v>
      </c>
      <c r="AN55" s="33">
        <v>8.2</v>
      </c>
      <c r="AO55" s="34">
        <f>$AO$17</f>
        <v>0.84</v>
      </c>
      <c r="AP55" s="79">
        <f>(G55*AN55)*AO55/100</f>
        <v>0.06888</v>
      </c>
      <c r="AQ55" s="125" t="s">
        <v>186</v>
      </c>
      <c r="AR55" s="81">
        <f>'Исх.данные'!$G$85</f>
        <v>9559.371428571429</v>
      </c>
      <c r="AS55" s="37">
        <f>AP55*AR55</f>
        <v>658.4495039999999</v>
      </c>
      <c r="AT55" s="2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37">
        <f>аморт!$H$10</f>
        <v>69.6969696969697</v>
      </c>
      <c r="BG55" s="37">
        <f t="shared" si="4"/>
        <v>78.41256840515551</v>
      </c>
      <c r="BH55" s="37">
        <f>аморт!$H$56</f>
        <v>33.46371794871795</v>
      </c>
      <c r="BI55" s="37">
        <f t="shared" si="5"/>
        <v>37.64835234807579</v>
      </c>
      <c r="BJ55" s="39">
        <f>'Исх.данные'!$E$89</f>
        <v>98.91196513535999</v>
      </c>
      <c r="BK55" s="37">
        <f>BJ55*BU55</f>
        <v>71.04943974511774</v>
      </c>
      <c r="BL55" s="39">
        <f>'Исх.данные'!$E$94</f>
        <v>16.685392176959997</v>
      </c>
      <c r="BM55" s="37">
        <f>BL55*BU55</f>
        <v>11.985281704576899</v>
      </c>
      <c r="BN55" s="39">
        <f>'Исх.данные'!$E$99</f>
        <v>5.761862046719998</v>
      </c>
      <c r="BO55" s="37">
        <f>BN55*BU55</f>
        <v>4.138802315249576</v>
      </c>
      <c r="BP55" s="37">
        <f>аморт!$D$56*10%/аморт!$G$56*L55*$O$12</f>
        <v>30.118681878460634</v>
      </c>
      <c r="BQ55" s="37">
        <f>BP55+BO55+BM55+BK55+BI55+BG55+BE55+BA55+AW55+AS55+AM55+AL55</f>
        <v>1616.453384124944</v>
      </c>
      <c r="BR55" s="37">
        <f>BQ55/$D$7</f>
        <v>1616.453384124944</v>
      </c>
      <c r="BS55" s="39">
        <f>(O55+P55)/$D$7</f>
        <v>1.125049894508753</v>
      </c>
      <c r="BT55" s="39">
        <f>'Исх.данные'!$B$109</f>
        <v>5.1</v>
      </c>
      <c r="BU55" s="40">
        <f>BT55*L55</f>
        <v>0.7183098591549295</v>
      </c>
    </row>
    <row r="56" spans="1:73" s="7" customFormat="1" ht="11.25">
      <c r="A56" s="19">
        <v>4</v>
      </c>
      <c r="B56" s="28" t="s">
        <v>114</v>
      </c>
      <c r="C56" s="22"/>
      <c r="D56" s="418" t="s">
        <v>143</v>
      </c>
      <c r="E56" s="419"/>
      <c r="F56" s="29" t="s">
        <v>134</v>
      </c>
      <c r="G56" s="30">
        <f>D7*3</f>
        <v>3</v>
      </c>
      <c r="H56" s="29"/>
      <c r="I56" s="29"/>
      <c r="J56" s="81">
        <f>L56/N56</f>
        <v>6</v>
      </c>
      <c r="K56" s="33">
        <v>0.5</v>
      </c>
      <c r="L56" s="34">
        <f>IF((M56+N56)&gt;0,G56/K56,0)</f>
        <v>6</v>
      </c>
      <c r="M56" s="24"/>
      <c r="N56" s="24">
        <v>1</v>
      </c>
      <c r="O56" s="36">
        <f>IF(M56=0,0,L56*$O$12)</f>
        <v>0</v>
      </c>
      <c r="P56" s="36">
        <f>IF(N56=0,0,L56*$O$12)</f>
        <v>47.927125506072876</v>
      </c>
      <c r="Q56" s="26"/>
      <c r="R56" s="24"/>
      <c r="S56" s="26">
        <v>1</v>
      </c>
      <c r="T56" s="81">
        <f>IF(AND(N56&gt;0,P56&gt;0),SUMIF('Исх.данные'!$C$14:$J$30,S56,'Исх.данные'!$C$34:$J$45),IF(N56=0,0,IF(S56=0,"РОТ")))</f>
        <v>98.78560567663457</v>
      </c>
      <c r="U56" s="144">
        <f>O56*R56*'Исх.данные'!$C$43%</f>
        <v>0</v>
      </c>
      <c r="V56" s="144">
        <f>P56*T56*'Исх.данные'!$C$44%</f>
        <v>0</v>
      </c>
      <c r="W56" s="144">
        <f>O56*R56*$W$12</f>
        <v>0</v>
      </c>
      <c r="X56" s="145">
        <f>P56*T56*$W$12</f>
        <v>0</v>
      </c>
      <c r="Y56" s="144">
        <f>(O56*R56+U56+W56)*$Y$12</f>
        <v>0</v>
      </c>
      <c r="Z56" s="145">
        <f>(P56*T56+V56+X56)*$Z$12</f>
        <v>236.72550607287454</v>
      </c>
      <c r="AA56" s="144">
        <f>(O56*R56+U56)*$AA$12</f>
        <v>0</v>
      </c>
      <c r="AB56" s="145">
        <f>(P56*T56+V56)*$AA$12</f>
        <v>0</v>
      </c>
      <c r="AC56" s="143">
        <v>2.5</v>
      </c>
      <c r="AD56" s="144">
        <f>(O56*R56+U56+W56+Y56+AA56)*AC56</f>
        <v>0</v>
      </c>
      <c r="AE56" s="144">
        <f>(P56*T56+V56+X56+Z56+AB56)*AC56</f>
        <v>12428.089068825913</v>
      </c>
      <c r="AF56" s="36">
        <f t="shared" si="68"/>
        <v>0</v>
      </c>
      <c r="AG56" s="74">
        <f t="shared" si="68"/>
        <v>1841.198380566802</v>
      </c>
      <c r="AH56" s="36">
        <f t="shared" si="69"/>
        <v>0</v>
      </c>
      <c r="AI56" s="36">
        <f t="shared" si="69"/>
        <v>14269.287449392716</v>
      </c>
      <c r="AJ56" s="36">
        <f t="shared" si="70"/>
        <v>0</v>
      </c>
      <c r="AK56" s="74">
        <f t="shared" si="70"/>
        <v>4380.671246963564</v>
      </c>
      <c r="AL56" s="36">
        <f>AH56+AJ56</f>
        <v>0</v>
      </c>
      <c r="AM56" s="74">
        <f>AK56+AI56</f>
        <v>18649.95869635628</v>
      </c>
      <c r="AN56" s="24"/>
      <c r="AO56" s="24"/>
      <c r="AP56" s="44"/>
      <c r="AQ56" s="27"/>
      <c r="AR56" s="27"/>
      <c r="AS56" s="44"/>
      <c r="AT56" s="2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37">
        <f t="shared" si="4"/>
        <v>0</v>
      </c>
      <c r="BH56" s="37"/>
      <c r="BI56" s="37">
        <f t="shared" si="5"/>
        <v>0</v>
      </c>
      <c r="BJ56" s="44"/>
      <c r="BK56" s="44"/>
      <c r="BL56" s="44"/>
      <c r="BM56" s="44"/>
      <c r="BN56" s="44"/>
      <c r="BO56" s="44"/>
      <c r="BP56" s="44"/>
      <c r="BQ56" s="37">
        <f>BP56+BO56+BM56+BK56+BI56+BG56+BE56+BA56+AW56+AS56+AM56+AL56</f>
        <v>18649.95869635628</v>
      </c>
      <c r="BR56" s="37">
        <f>BQ56/$D$7</f>
        <v>18649.95869635628</v>
      </c>
      <c r="BS56" s="39">
        <f>(O56+P56)/$D$7</f>
        <v>47.927125506072876</v>
      </c>
      <c r="BT56" s="44"/>
      <c r="BU56" s="44"/>
    </row>
    <row r="57" spans="1:73" s="7" customFormat="1" ht="11.25">
      <c r="A57" s="19">
        <v>5</v>
      </c>
      <c r="B57" s="28" t="s">
        <v>115</v>
      </c>
      <c r="C57" s="22"/>
      <c r="D57" s="418" t="s">
        <v>143</v>
      </c>
      <c r="E57" s="419"/>
      <c r="F57" s="29" t="s">
        <v>134</v>
      </c>
      <c r="G57" s="30">
        <f>D7</f>
        <v>1</v>
      </c>
      <c r="H57" s="29" t="s">
        <v>492</v>
      </c>
      <c r="I57" s="29" t="s">
        <v>493</v>
      </c>
      <c r="J57" s="81">
        <f>L57/N57</f>
        <v>10</v>
      </c>
      <c r="K57" s="33">
        <v>0.1</v>
      </c>
      <c r="L57" s="34">
        <f>IF((M57+N57)&gt;0,G57/K57,0)</f>
        <v>10</v>
      </c>
      <c r="M57" s="24"/>
      <c r="N57" s="24">
        <v>1</v>
      </c>
      <c r="O57" s="36">
        <f>IF(M57=0,0,L57*$O$12)</f>
        <v>0</v>
      </c>
      <c r="P57" s="36">
        <f>IF(N57=0,0,L57*$O$12)</f>
        <v>79.87854251012146</v>
      </c>
      <c r="Q57" s="26"/>
      <c r="R57" s="24"/>
      <c r="S57" s="26">
        <v>1</v>
      </c>
      <c r="T57" s="81">
        <f>IF(AND(N57&gt;0,P57&gt;0),SUMIF('Исх.данные'!$C$14:$J$30,S57,'Исх.данные'!$C$34:$J$45),IF(N57=0,0,IF(S57=0,"РОТ")))</f>
        <v>98.78560567663457</v>
      </c>
      <c r="U57" s="144">
        <f>O57*R57*'Исх.данные'!$C$43%</f>
        <v>0</v>
      </c>
      <c r="V57" s="144">
        <f>P57*T57*'Исх.данные'!$C$44%</f>
        <v>0</v>
      </c>
      <c r="W57" s="144">
        <f>O57*R57*$W$12</f>
        <v>0</v>
      </c>
      <c r="X57" s="145">
        <f>P57*T57*$W$12</f>
        <v>0</v>
      </c>
      <c r="Y57" s="144">
        <f>(O57*R57+U57+W57)*$Y$12</f>
        <v>0</v>
      </c>
      <c r="Z57" s="145">
        <f>(P57*T57+V57+X57)*$Z$12</f>
        <v>394.54251012145755</v>
      </c>
      <c r="AA57" s="144">
        <f>(O57*R57+U57)*$AA$12</f>
        <v>0</v>
      </c>
      <c r="AB57" s="145">
        <f>(P57*T57+V57)*$AA$12</f>
        <v>0</v>
      </c>
      <c r="AC57" s="143">
        <v>2.5</v>
      </c>
      <c r="AD57" s="144">
        <f>(O57*R57+U57+W57+Y57+AA57)*AC57</f>
        <v>0</v>
      </c>
      <c r="AE57" s="144">
        <f>(P57*T57+V57+X57+Z57+AB57)*AC57</f>
        <v>20713.481781376522</v>
      </c>
      <c r="AF57" s="36">
        <f t="shared" si="68"/>
        <v>0</v>
      </c>
      <c r="AG57" s="74">
        <f t="shared" si="68"/>
        <v>3068.6639676113364</v>
      </c>
      <c r="AH57" s="36">
        <f t="shared" si="69"/>
        <v>0</v>
      </c>
      <c r="AI57" s="36">
        <f t="shared" si="69"/>
        <v>23782.14574898786</v>
      </c>
      <c r="AJ57" s="36">
        <f t="shared" si="70"/>
        <v>0</v>
      </c>
      <c r="AK57" s="74">
        <f t="shared" si="70"/>
        <v>7301.118744939273</v>
      </c>
      <c r="AL57" s="36">
        <f>AH57+AJ57</f>
        <v>0</v>
      </c>
      <c r="AM57" s="74">
        <f>AK57+AI57</f>
        <v>31083.264493927134</v>
      </c>
      <c r="AN57" s="24"/>
      <c r="AO57" s="24"/>
      <c r="AP57" s="44"/>
      <c r="AQ57" s="27"/>
      <c r="AR57" s="27"/>
      <c r="AS57" s="44"/>
      <c r="AT57" s="2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37">
        <f t="shared" si="4"/>
        <v>0</v>
      </c>
      <c r="BH57" s="37"/>
      <c r="BI57" s="37">
        <f t="shared" si="5"/>
        <v>0</v>
      </c>
      <c r="BJ57" s="44"/>
      <c r="BK57" s="44"/>
      <c r="BL57" s="44"/>
      <c r="BM57" s="44"/>
      <c r="BN57" s="44"/>
      <c r="BO57" s="44"/>
      <c r="BP57" s="44"/>
      <c r="BQ57" s="37">
        <f>BP57+BO57+BM57+BK57+BI57+BG57+BE57+BA57+AW57+AS57+AM57+AL57</f>
        <v>31083.264493927134</v>
      </c>
      <c r="BR57" s="37">
        <f>BQ57/$D$7</f>
        <v>31083.264493927134</v>
      </c>
      <c r="BS57" s="39">
        <f>(O57+P57)/$D$7</f>
        <v>79.87854251012146</v>
      </c>
      <c r="BT57" s="44"/>
      <c r="BU57" s="44"/>
    </row>
    <row r="58" spans="1:73" s="56" customFormat="1" ht="11.25">
      <c r="A58" s="54"/>
      <c r="B58" s="55" t="s">
        <v>22</v>
      </c>
      <c r="C58" s="55"/>
      <c r="D58" s="55"/>
      <c r="E58" s="55"/>
      <c r="F58" s="57"/>
      <c r="G58" s="58"/>
      <c r="H58" s="58"/>
      <c r="I58" s="58"/>
      <c r="J58" s="66">
        <f>SUM(J53:J57)</f>
        <v>16.422535211267608</v>
      </c>
      <c r="K58" s="66"/>
      <c r="L58" s="66">
        <f aca="true" t="shared" si="71" ref="L58:BM58">SUM(L53:L57)</f>
        <v>16.422535211267608</v>
      </c>
      <c r="M58" s="66">
        <f t="shared" si="71"/>
        <v>3</v>
      </c>
      <c r="N58" s="66">
        <f t="shared" si="71"/>
        <v>2</v>
      </c>
      <c r="O58" s="66">
        <f t="shared" si="71"/>
        <v>3.375149683526259</v>
      </c>
      <c r="P58" s="66">
        <f t="shared" si="71"/>
        <v>127.80566801619435</v>
      </c>
      <c r="Q58" s="66"/>
      <c r="R58" s="66"/>
      <c r="S58" s="66"/>
      <c r="T58" s="66"/>
      <c r="U58" s="66">
        <f t="shared" si="71"/>
        <v>0</v>
      </c>
      <c r="V58" s="66">
        <f t="shared" si="71"/>
        <v>0</v>
      </c>
      <c r="W58" s="66">
        <f t="shared" si="71"/>
        <v>0</v>
      </c>
      <c r="X58" s="66">
        <f t="shared" si="71"/>
        <v>0</v>
      </c>
      <c r="Y58" s="66">
        <f t="shared" si="71"/>
        <v>52.679760506358</v>
      </c>
      <c r="Z58" s="66">
        <f t="shared" si="71"/>
        <v>631.2680161943321</v>
      </c>
      <c r="AA58" s="66">
        <f t="shared" si="71"/>
        <v>0</v>
      </c>
      <c r="AB58" s="66">
        <f t="shared" si="71"/>
        <v>0</v>
      </c>
      <c r="AC58" s="66"/>
      <c r="AD58" s="66">
        <f t="shared" si="71"/>
        <v>1448.6934139248447</v>
      </c>
      <c r="AE58" s="66">
        <f t="shared" si="71"/>
        <v>33141.570850202435</v>
      </c>
      <c r="AF58" s="66">
        <f t="shared" si="71"/>
        <v>214.6212465073844</v>
      </c>
      <c r="AG58" s="66">
        <f t="shared" si="71"/>
        <v>4909.862348178138</v>
      </c>
      <c r="AH58" s="66">
        <f t="shared" si="71"/>
        <v>1663.3146604322292</v>
      </c>
      <c r="AI58" s="66">
        <f t="shared" si="71"/>
        <v>38051.433198380575</v>
      </c>
      <c r="AJ58" s="66">
        <f t="shared" si="71"/>
        <v>510.6376007526943</v>
      </c>
      <c r="AK58" s="66">
        <f t="shared" si="71"/>
        <v>11681.789991902837</v>
      </c>
      <c r="AL58" s="66">
        <f t="shared" si="71"/>
        <v>2173.9522611849234</v>
      </c>
      <c r="AM58" s="66">
        <f t="shared" si="71"/>
        <v>49733.22319028342</v>
      </c>
      <c r="AN58" s="25"/>
      <c r="AO58" s="66"/>
      <c r="AP58" s="66">
        <f t="shared" si="71"/>
        <v>0.20664</v>
      </c>
      <c r="AQ58" s="66"/>
      <c r="AR58" s="66"/>
      <c r="AS58" s="66">
        <f t="shared" si="71"/>
        <v>1975.3485119999998</v>
      </c>
      <c r="AT58" s="66"/>
      <c r="AU58" s="66">
        <f t="shared" si="71"/>
        <v>0</v>
      </c>
      <c r="AV58" s="66"/>
      <c r="AW58" s="66">
        <f t="shared" si="71"/>
        <v>0</v>
      </c>
      <c r="AX58" s="66"/>
      <c r="AY58" s="66">
        <f t="shared" si="71"/>
        <v>0</v>
      </c>
      <c r="AZ58" s="66"/>
      <c r="BA58" s="66">
        <f t="shared" si="71"/>
        <v>0</v>
      </c>
      <c r="BB58" s="66"/>
      <c r="BC58" s="66">
        <f t="shared" si="71"/>
        <v>0</v>
      </c>
      <c r="BD58" s="66"/>
      <c r="BE58" s="66">
        <f t="shared" si="71"/>
        <v>0</v>
      </c>
      <c r="BF58" s="66"/>
      <c r="BG58" s="66">
        <f t="shared" si="71"/>
        <v>235.23770521546652</v>
      </c>
      <c r="BH58" s="66"/>
      <c r="BI58" s="66">
        <f t="shared" si="71"/>
        <v>112.94505704422737</v>
      </c>
      <c r="BJ58" s="66"/>
      <c r="BK58" s="66">
        <f t="shared" si="71"/>
        <v>213.1483192353532</v>
      </c>
      <c r="BL58" s="66"/>
      <c r="BM58" s="66">
        <f t="shared" si="71"/>
        <v>35.955845113730696</v>
      </c>
      <c r="BN58" s="66"/>
      <c r="BO58" s="66">
        <f aca="true" t="shared" si="72" ref="BO58:BU58">SUM(BO53:BO57)</f>
        <v>12.416406945748728</v>
      </c>
      <c r="BP58" s="66">
        <f t="shared" si="72"/>
        <v>90.3560456353819</v>
      </c>
      <c r="BQ58" s="66">
        <f t="shared" si="72"/>
        <v>54582.58334265825</v>
      </c>
      <c r="BR58" s="66"/>
      <c r="BS58" s="66"/>
      <c r="BT58" s="66"/>
      <c r="BU58" s="66">
        <f t="shared" si="72"/>
        <v>2.1549295774647885</v>
      </c>
    </row>
    <row r="59" spans="1:73" s="7" customFormat="1" ht="11.25">
      <c r="A59" s="21"/>
      <c r="B59" s="399" t="s">
        <v>123</v>
      </c>
      <c r="C59" s="399"/>
      <c r="D59" s="399"/>
      <c r="E59" s="399"/>
      <c r="F59" s="23"/>
      <c r="G59" s="24"/>
      <c r="H59" s="24"/>
      <c r="I59" s="24"/>
      <c r="J59" s="24"/>
      <c r="K59" s="24"/>
      <c r="L59" s="41"/>
      <c r="M59" s="24"/>
      <c r="N59" s="24"/>
      <c r="O59" s="42"/>
      <c r="P59" s="42"/>
      <c r="Q59" s="26"/>
      <c r="R59" s="24"/>
      <c r="S59" s="26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3"/>
      <c r="AH59" s="42"/>
      <c r="AI59" s="42"/>
      <c r="AJ59" s="42"/>
      <c r="AK59" s="42"/>
      <c r="AL59" s="42"/>
      <c r="AM59" s="42"/>
      <c r="AN59" s="24"/>
      <c r="AO59" s="24"/>
      <c r="AP59" s="44"/>
      <c r="AQ59" s="27"/>
      <c r="AR59" s="27"/>
      <c r="AS59" s="44"/>
      <c r="AT59" s="2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37">
        <f t="shared" si="4"/>
        <v>0</v>
      </c>
      <c r="BH59" s="44"/>
      <c r="BI59" s="37">
        <f t="shared" si="5"/>
        <v>0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</row>
    <row r="60" spans="1:73" s="7" customFormat="1" ht="11.25">
      <c r="A60" s="19">
        <v>1</v>
      </c>
      <c r="B60" s="28" t="s">
        <v>129</v>
      </c>
      <c r="C60" s="22"/>
      <c r="D60" s="418" t="s">
        <v>143</v>
      </c>
      <c r="E60" s="419"/>
      <c r="F60" s="29" t="s">
        <v>134</v>
      </c>
      <c r="G60" s="30">
        <f>D7</f>
        <v>1</v>
      </c>
      <c r="H60" s="29" t="s">
        <v>502</v>
      </c>
      <c r="I60" s="29" t="s">
        <v>503</v>
      </c>
      <c r="J60" s="81">
        <f aca="true" t="shared" si="73" ref="J60:J66">L60/N60</f>
        <v>0.1388888888888889</v>
      </c>
      <c r="K60" s="33">
        <v>7.2</v>
      </c>
      <c r="L60" s="34">
        <f aca="true" t="shared" si="74" ref="L60:L66">IF((M60+N60)&gt;0,G60/K60,0)</f>
        <v>0.1388888888888889</v>
      </c>
      <c r="M60" s="24"/>
      <c r="N60" s="24">
        <v>1</v>
      </c>
      <c r="O60" s="36">
        <f aca="true" t="shared" si="75" ref="O60:O66">IF(M60=0,0,L60*$O$12)</f>
        <v>0</v>
      </c>
      <c r="P60" s="36">
        <f aca="true" t="shared" si="76" ref="P60:P66">IF(N60=0,0,L60*$O$12)</f>
        <v>1.1094242015294646</v>
      </c>
      <c r="Q60" s="26"/>
      <c r="R60" s="24"/>
      <c r="S60" s="26">
        <v>2</v>
      </c>
      <c r="T60" s="81">
        <f>IF(AND(N60&gt;0,P60&gt;0),SUMIF('Исх.данные'!$C$14:$J$30,S60,'Исх.данные'!$C$34:$J$45),IF(N60=0,0,IF(S60=0,"РОТ")))</f>
        <v>105.700598073999</v>
      </c>
      <c r="U60" s="144">
        <f>O60*R60*'Исх.данные'!$C$43%</f>
        <v>0</v>
      </c>
      <c r="V60" s="144">
        <f>P60*T60*'Исх.данные'!$C$44%</f>
        <v>0</v>
      </c>
      <c r="W60" s="144">
        <f aca="true" t="shared" si="77" ref="W60:W66">O60*R60*$W$12</f>
        <v>0</v>
      </c>
      <c r="X60" s="145">
        <f aca="true" t="shared" si="78" ref="X60:X66">P60*T60*$W$12</f>
        <v>0</v>
      </c>
      <c r="Y60" s="144">
        <f aca="true" t="shared" si="79" ref="Y60:Y66">(O60*R60+U60+W60)*$Y$12</f>
        <v>0</v>
      </c>
      <c r="Z60" s="145">
        <f aca="true" t="shared" si="80" ref="Z60:Z66">(P60*T60+V60+X60)*$Z$12</f>
        <v>5.8633400809716605</v>
      </c>
      <c r="AA60" s="144">
        <f aca="true" t="shared" si="81" ref="AA60:AA66">(O60*R60+U60)*$AA$12</f>
        <v>0</v>
      </c>
      <c r="AB60" s="145">
        <f aca="true" t="shared" si="82" ref="AB60:AB66">(P60*T60+V60)*$AA$12</f>
        <v>0</v>
      </c>
      <c r="AC60" s="143">
        <v>2.5</v>
      </c>
      <c r="AD60" s="144">
        <f aca="true" t="shared" si="83" ref="AD60:AD66">(O60*R60+U60+W60+Y60+AA60)*AC60</f>
        <v>0</v>
      </c>
      <c r="AE60" s="144">
        <f aca="true" t="shared" si="84" ref="AE60:AE66">(P60*T60+V60+X60+Z60+AB60)*AC60</f>
        <v>307.8253542510122</v>
      </c>
      <c r="AF60" s="36">
        <f aca="true" t="shared" si="85" ref="AF60:AF66">AD60*$AF$12</f>
        <v>0</v>
      </c>
      <c r="AG60" s="74">
        <f aca="true" t="shared" si="86" ref="AG60:AG66">AE60*$AF$12</f>
        <v>45.603756185335136</v>
      </c>
      <c r="AH60" s="36">
        <f aca="true" t="shared" si="87" ref="AH60:AH66">AD60+AF60</f>
        <v>0</v>
      </c>
      <c r="AI60" s="36">
        <f aca="true" t="shared" si="88" ref="AI60:AI66">AE60+AG60</f>
        <v>353.42911043634734</v>
      </c>
      <c r="AJ60" s="36">
        <f aca="true" t="shared" si="89" ref="AJ60:AJ66">AH60*$AJ$12</f>
        <v>0</v>
      </c>
      <c r="AK60" s="74">
        <f aca="true" t="shared" si="90" ref="AK60:AK66">AI60*$AJ$12</f>
        <v>108.50273690395863</v>
      </c>
      <c r="AL60" s="36">
        <f aca="true" t="shared" si="91" ref="AL60:AL66">AH60+AJ60</f>
        <v>0</v>
      </c>
      <c r="AM60" s="74">
        <f aca="true" t="shared" si="92" ref="AM60:AM66">AK60+AI60</f>
        <v>461.931847340306</v>
      </c>
      <c r="AN60" s="24"/>
      <c r="AO60" s="24"/>
      <c r="AP60" s="44"/>
      <c r="AQ60" s="27"/>
      <c r="AR60" s="27"/>
      <c r="AS60" s="44"/>
      <c r="AT60" s="2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37">
        <f t="shared" si="4"/>
        <v>0</v>
      </c>
      <c r="BH60" s="37"/>
      <c r="BI60" s="37">
        <f t="shared" si="5"/>
        <v>0</v>
      </c>
      <c r="BJ60" s="44"/>
      <c r="BK60" s="44"/>
      <c r="BL60" s="44"/>
      <c r="BM60" s="44"/>
      <c r="BN60" s="44"/>
      <c r="BO60" s="44"/>
      <c r="BP60" s="44"/>
      <c r="BQ60" s="37">
        <f aca="true" t="shared" si="93" ref="BQ60:BQ66">BP60+BO60+BM60+BK60+BI60+BG60+BE60+BA60+AW60+AS60+AM60+AL60</f>
        <v>461.931847340306</v>
      </c>
      <c r="BR60" s="37">
        <f aca="true" t="shared" si="94" ref="BR60:BR66">BQ60/$D$7</f>
        <v>461.931847340306</v>
      </c>
      <c r="BS60" s="39">
        <f aca="true" t="shared" si="95" ref="BS60:BS66">(O60+P60)/$D$7</f>
        <v>1.1094242015294646</v>
      </c>
      <c r="BT60" s="44"/>
      <c r="BU60" s="44"/>
    </row>
    <row r="61" spans="1:73" s="7" customFormat="1" ht="11.25">
      <c r="A61" s="19">
        <v>2</v>
      </c>
      <c r="B61" s="28" t="s">
        <v>130</v>
      </c>
      <c r="C61" s="22"/>
      <c r="D61" s="418" t="s">
        <v>143</v>
      </c>
      <c r="E61" s="419"/>
      <c r="F61" s="29" t="s">
        <v>134</v>
      </c>
      <c r="G61" s="30">
        <f>D7</f>
        <v>1</v>
      </c>
      <c r="H61" s="29" t="s">
        <v>502</v>
      </c>
      <c r="I61" s="29" t="s">
        <v>503</v>
      </c>
      <c r="J61" s="81">
        <f t="shared" si="73"/>
        <v>0.46511627906976744</v>
      </c>
      <c r="K61" s="33">
        <v>2.15</v>
      </c>
      <c r="L61" s="34">
        <f t="shared" si="74"/>
        <v>0.46511627906976744</v>
      </c>
      <c r="M61" s="24"/>
      <c r="N61" s="24">
        <v>1</v>
      </c>
      <c r="O61" s="36">
        <f t="shared" si="75"/>
        <v>0</v>
      </c>
      <c r="P61" s="36">
        <f t="shared" si="76"/>
        <v>3.715281046982393</v>
      </c>
      <c r="Q61" s="26"/>
      <c r="R61" s="24"/>
      <c r="S61" s="26">
        <v>2</v>
      </c>
      <c r="T61" s="81">
        <f>IF(AND(N61&gt;0,P61&gt;0),SUMIF('Исх.данные'!$C$14:$J$30,S61,'Исх.данные'!$C$34:$J$45),IF(N61=0,0,IF(S61=0,"РОТ")))</f>
        <v>105.700598073999</v>
      </c>
      <c r="U61" s="144">
        <f>O61*R61*'Исх.данные'!$C$43%</f>
        <v>0</v>
      </c>
      <c r="V61" s="144">
        <f>P61*T61*'Исх.данные'!$C$44%</f>
        <v>0</v>
      </c>
      <c r="W61" s="144">
        <f t="shared" si="77"/>
        <v>0</v>
      </c>
      <c r="X61" s="145">
        <f t="shared" si="78"/>
        <v>0</v>
      </c>
      <c r="Y61" s="144">
        <f t="shared" si="79"/>
        <v>0</v>
      </c>
      <c r="Z61" s="145">
        <f t="shared" si="80"/>
        <v>19.635371433951608</v>
      </c>
      <c r="AA61" s="144">
        <f t="shared" si="81"/>
        <v>0</v>
      </c>
      <c r="AB61" s="145">
        <f t="shared" si="82"/>
        <v>0</v>
      </c>
      <c r="AC61" s="143">
        <v>2.5</v>
      </c>
      <c r="AD61" s="144">
        <f t="shared" si="83"/>
        <v>0</v>
      </c>
      <c r="AE61" s="144">
        <f t="shared" si="84"/>
        <v>1030.8570002824595</v>
      </c>
      <c r="AF61" s="36">
        <f t="shared" si="85"/>
        <v>0</v>
      </c>
      <c r="AG61" s="74">
        <f t="shared" si="86"/>
        <v>152.71955559740138</v>
      </c>
      <c r="AH61" s="36">
        <f t="shared" si="87"/>
        <v>0</v>
      </c>
      <c r="AI61" s="36">
        <f t="shared" si="88"/>
        <v>1183.5765558798607</v>
      </c>
      <c r="AJ61" s="36">
        <f t="shared" si="89"/>
        <v>0</v>
      </c>
      <c r="AK61" s="74">
        <f t="shared" si="90"/>
        <v>363.3580026551172</v>
      </c>
      <c r="AL61" s="36">
        <f t="shared" si="91"/>
        <v>0</v>
      </c>
      <c r="AM61" s="74">
        <f t="shared" si="92"/>
        <v>1546.934558534978</v>
      </c>
      <c r="AN61" s="24"/>
      <c r="AO61" s="24"/>
      <c r="AP61" s="44"/>
      <c r="AQ61" s="27"/>
      <c r="AR61" s="27"/>
      <c r="AS61" s="44"/>
      <c r="AT61" s="2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37">
        <f t="shared" si="4"/>
        <v>0</v>
      </c>
      <c r="BH61" s="37"/>
      <c r="BI61" s="37">
        <f t="shared" si="5"/>
        <v>0</v>
      </c>
      <c r="BJ61" s="44"/>
      <c r="BK61" s="44"/>
      <c r="BL61" s="44"/>
      <c r="BM61" s="44"/>
      <c r="BN61" s="44"/>
      <c r="BO61" s="44"/>
      <c r="BP61" s="44"/>
      <c r="BQ61" s="37">
        <f t="shared" si="93"/>
        <v>1546.934558534978</v>
      </c>
      <c r="BR61" s="37">
        <f t="shared" si="94"/>
        <v>1546.934558534978</v>
      </c>
      <c r="BS61" s="39">
        <f t="shared" si="95"/>
        <v>3.715281046982393</v>
      </c>
      <c r="BT61" s="44"/>
      <c r="BU61" s="44"/>
    </row>
    <row r="62" spans="1:73" s="7" customFormat="1" ht="11.25">
      <c r="A62" s="19">
        <v>3</v>
      </c>
      <c r="B62" s="28" t="s">
        <v>118</v>
      </c>
      <c r="C62" s="22"/>
      <c r="D62" s="418" t="s">
        <v>143</v>
      </c>
      <c r="E62" s="419"/>
      <c r="F62" s="29" t="s">
        <v>479</v>
      </c>
      <c r="G62" s="31">
        <f>D8/10</f>
        <v>25</v>
      </c>
      <c r="H62" s="29" t="s">
        <v>502</v>
      </c>
      <c r="I62" s="29" t="s">
        <v>503</v>
      </c>
      <c r="J62" s="81">
        <f t="shared" si="73"/>
        <v>3.125</v>
      </c>
      <c r="K62" s="33">
        <v>8</v>
      </c>
      <c r="L62" s="34">
        <f t="shared" si="74"/>
        <v>3.125</v>
      </c>
      <c r="M62" s="24"/>
      <c r="N62" s="24">
        <v>1</v>
      </c>
      <c r="O62" s="36">
        <f t="shared" si="75"/>
        <v>0</v>
      </c>
      <c r="P62" s="36">
        <f t="shared" si="76"/>
        <v>24.962044534412957</v>
      </c>
      <c r="Q62" s="26"/>
      <c r="R62" s="24"/>
      <c r="S62" s="26">
        <v>2</v>
      </c>
      <c r="T62" s="81">
        <f>IF(AND(N62&gt;0,P62&gt;0),SUMIF('Исх.данные'!$C$14:$J$30,S62,'Исх.данные'!$C$34:$J$45),IF(N62=0,0,IF(S62=0,"РОТ")))</f>
        <v>105.700598073999</v>
      </c>
      <c r="U62" s="144">
        <f>O62*R62*'Исх.данные'!$C$43%</f>
        <v>0</v>
      </c>
      <c r="V62" s="144">
        <f>P62*T62*'Исх.данные'!$C$44%</f>
        <v>0</v>
      </c>
      <c r="W62" s="144">
        <f t="shared" si="77"/>
        <v>0</v>
      </c>
      <c r="X62" s="145">
        <f t="shared" si="78"/>
        <v>0</v>
      </c>
      <c r="Y62" s="144">
        <f t="shared" si="79"/>
        <v>0</v>
      </c>
      <c r="Z62" s="145">
        <f t="shared" si="80"/>
        <v>131.92515182186239</v>
      </c>
      <c r="AA62" s="144">
        <f t="shared" si="81"/>
        <v>0</v>
      </c>
      <c r="AB62" s="145">
        <f t="shared" si="82"/>
        <v>0</v>
      </c>
      <c r="AC62" s="143">
        <v>2.5</v>
      </c>
      <c r="AD62" s="144">
        <f t="shared" si="83"/>
        <v>0</v>
      </c>
      <c r="AE62" s="144">
        <f t="shared" si="84"/>
        <v>6926.0704706477745</v>
      </c>
      <c r="AF62" s="36">
        <f t="shared" si="85"/>
        <v>0</v>
      </c>
      <c r="AG62" s="74">
        <f t="shared" si="86"/>
        <v>1026.0845141700406</v>
      </c>
      <c r="AH62" s="36">
        <f t="shared" si="87"/>
        <v>0</v>
      </c>
      <c r="AI62" s="36">
        <f t="shared" si="88"/>
        <v>7952.154984817815</v>
      </c>
      <c r="AJ62" s="36">
        <f t="shared" si="89"/>
        <v>0</v>
      </c>
      <c r="AK62" s="74">
        <f t="shared" si="90"/>
        <v>2441.311580339069</v>
      </c>
      <c r="AL62" s="36">
        <f t="shared" si="91"/>
        <v>0</v>
      </c>
      <c r="AM62" s="74">
        <f t="shared" si="92"/>
        <v>10393.466565156883</v>
      </c>
      <c r="AN62" s="24"/>
      <c r="AO62" s="24"/>
      <c r="AP62" s="44"/>
      <c r="AQ62" s="27"/>
      <c r="AR62" s="27"/>
      <c r="AS62" s="44"/>
      <c r="AT62" s="2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37">
        <f t="shared" si="4"/>
        <v>0</v>
      </c>
      <c r="BH62" s="37"/>
      <c r="BI62" s="37">
        <f t="shared" si="5"/>
        <v>0</v>
      </c>
      <c r="BJ62" s="44"/>
      <c r="BK62" s="44"/>
      <c r="BL62" s="44"/>
      <c r="BM62" s="44"/>
      <c r="BN62" s="44"/>
      <c r="BO62" s="44"/>
      <c r="BP62" s="44"/>
      <c r="BQ62" s="37">
        <f t="shared" si="93"/>
        <v>10393.466565156883</v>
      </c>
      <c r="BR62" s="37">
        <f t="shared" si="94"/>
        <v>10393.466565156883</v>
      </c>
      <c r="BS62" s="39">
        <f t="shared" si="95"/>
        <v>24.962044534412957</v>
      </c>
      <c r="BT62" s="44"/>
      <c r="BU62" s="44"/>
    </row>
    <row r="63" spans="1:73" s="7" customFormat="1" ht="11.25">
      <c r="A63" s="19">
        <v>4</v>
      </c>
      <c r="B63" s="28" t="s">
        <v>119</v>
      </c>
      <c r="C63" s="22"/>
      <c r="D63" s="418" t="s">
        <v>143</v>
      </c>
      <c r="E63" s="419"/>
      <c r="F63" s="29" t="s">
        <v>479</v>
      </c>
      <c r="G63" s="31">
        <f>G62</f>
        <v>25</v>
      </c>
      <c r="H63" s="29" t="s">
        <v>502</v>
      </c>
      <c r="I63" s="29" t="s">
        <v>503</v>
      </c>
      <c r="J63" s="81">
        <f t="shared" si="73"/>
        <v>6.25</v>
      </c>
      <c r="K63" s="33">
        <v>4</v>
      </c>
      <c r="L63" s="34">
        <f t="shared" si="74"/>
        <v>6.25</v>
      </c>
      <c r="M63" s="24"/>
      <c r="N63" s="24">
        <v>1</v>
      </c>
      <c r="O63" s="36">
        <f t="shared" si="75"/>
        <v>0</v>
      </c>
      <c r="P63" s="36">
        <f t="shared" si="76"/>
        <v>49.924089068825914</v>
      </c>
      <c r="Q63" s="26">
        <v>2</v>
      </c>
      <c r="R63" s="81">
        <f>IF(AND(O63&gt;0,Q63&gt;0),SUMIF('Исх.данные'!$C$14:$H$14,Q63,'Исх.данные'!$C$18:$H$18),IF(O63=0,0,IF(Q63=0,"РОТ")))</f>
        <v>0</v>
      </c>
      <c r="S63" s="26">
        <v>2</v>
      </c>
      <c r="T63" s="81">
        <f>IF(AND(N63&gt;0,P63&gt;0),SUMIF('Исх.данные'!$C$14:$J$30,S63,'Исх.данные'!$C$34:$J$45),IF(N63=0,0,IF(S63=0,"РОТ")))</f>
        <v>105.700598073999</v>
      </c>
      <c r="U63" s="144">
        <f>O63*R63*'Исх.данные'!$C$43%</f>
        <v>0</v>
      </c>
      <c r="V63" s="144">
        <f>P63*T63*'Исх.данные'!$C$44%</f>
        <v>0</v>
      </c>
      <c r="W63" s="144">
        <f t="shared" si="77"/>
        <v>0</v>
      </c>
      <c r="X63" s="145">
        <f t="shared" si="78"/>
        <v>0</v>
      </c>
      <c r="Y63" s="144">
        <f t="shared" si="79"/>
        <v>0</v>
      </c>
      <c r="Z63" s="145">
        <f t="shared" si="80"/>
        <v>263.85030364372477</v>
      </c>
      <c r="AA63" s="144">
        <f t="shared" si="81"/>
        <v>0</v>
      </c>
      <c r="AB63" s="145">
        <f t="shared" si="82"/>
        <v>0</v>
      </c>
      <c r="AC63" s="143">
        <v>2.5</v>
      </c>
      <c r="AD63" s="144">
        <f t="shared" si="83"/>
        <v>0</v>
      </c>
      <c r="AE63" s="144">
        <f t="shared" si="84"/>
        <v>13852.140941295549</v>
      </c>
      <c r="AF63" s="36">
        <f t="shared" si="85"/>
        <v>0</v>
      </c>
      <c r="AG63" s="74">
        <f t="shared" si="86"/>
        <v>2052.1690283400812</v>
      </c>
      <c r="AH63" s="36">
        <f t="shared" si="87"/>
        <v>0</v>
      </c>
      <c r="AI63" s="36">
        <f t="shared" si="88"/>
        <v>15904.30996963563</v>
      </c>
      <c r="AJ63" s="36">
        <f t="shared" si="89"/>
        <v>0</v>
      </c>
      <c r="AK63" s="74">
        <f t="shared" si="90"/>
        <v>4882.623160678138</v>
      </c>
      <c r="AL63" s="36">
        <f t="shared" si="91"/>
        <v>0</v>
      </c>
      <c r="AM63" s="74">
        <f t="shared" si="92"/>
        <v>20786.933130313766</v>
      </c>
      <c r="AN63" s="24"/>
      <c r="AO63" s="24"/>
      <c r="AP63" s="44"/>
      <c r="AQ63" s="27"/>
      <c r="AR63" s="27"/>
      <c r="AS63" s="44"/>
      <c r="AT63" s="2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37"/>
      <c r="BG63" s="37">
        <f t="shared" si="4"/>
        <v>0</v>
      </c>
      <c r="BH63" s="88"/>
      <c r="BI63" s="37">
        <f t="shared" si="5"/>
        <v>0</v>
      </c>
      <c r="BJ63" s="39"/>
      <c r="BK63" s="37"/>
      <c r="BL63" s="39"/>
      <c r="BM63" s="37"/>
      <c r="BN63" s="39"/>
      <c r="BO63" s="37"/>
      <c r="BP63" s="37"/>
      <c r="BQ63" s="37">
        <f t="shared" si="93"/>
        <v>20786.933130313766</v>
      </c>
      <c r="BR63" s="37">
        <f t="shared" si="94"/>
        <v>20786.933130313766</v>
      </c>
      <c r="BS63" s="39">
        <f t="shared" si="95"/>
        <v>49.924089068825914</v>
      </c>
      <c r="BT63" s="39"/>
      <c r="BU63" s="40"/>
    </row>
    <row r="64" spans="1:73" s="7" customFormat="1" ht="11.25">
      <c r="A64" s="19">
        <v>5</v>
      </c>
      <c r="B64" s="28" t="s">
        <v>120</v>
      </c>
      <c r="C64" s="22"/>
      <c r="D64" s="31" t="s">
        <v>133</v>
      </c>
      <c r="E64" s="32" t="s">
        <v>140</v>
      </c>
      <c r="F64" s="29" t="s">
        <v>479</v>
      </c>
      <c r="G64" s="31">
        <f>G63</f>
        <v>25</v>
      </c>
      <c r="H64" s="29" t="s">
        <v>502</v>
      </c>
      <c r="I64" s="29" t="s">
        <v>503</v>
      </c>
      <c r="J64" s="81">
        <f t="shared" si="73"/>
        <v>1.25</v>
      </c>
      <c r="K64" s="33">
        <v>20</v>
      </c>
      <c r="L64" s="34">
        <f t="shared" si="74"/>
        <v>1.25</v>
      </c>
      <c r="M64" s="24">
        <v>1</v>
      </c>
      <c r="N64" s="24">
        <v>1</v>
      </c>
      <c r="O64" s="36">
        <f t="shared" si="75"/>
        <v>9.984817813765183</v>
      </c>
      <c r="P64" s="36">
        <f t="shared" si="76"/>
        <v>9.984817813765183</v>
      </c>
      <c r="Q64" s="26">
        <v>2</v>
      </c>
      <c r="R64" s="81">
        <f>IF(AND(O64&gt;0,Q64&gt;0),SUMIF('Исх.данные'!$C$14:$H$14,Q64,'Исх.данные'!$C$18:$H$18),IF(O64=0,0,IF(Q64=0,"РОТ")))</f>
        <v>126.44557526609226</v>
      </c>
      <c r="S64" s="26">
        <v>2</v>
      </c>
      <c r="T64" s="81">
        <f>IF(AND(N64&gt;0,P64&gt;0),SUMIF('Исх.данные'!$C$14:$J$30,S64,'Исх.данные'!$C$34:$J$45),IF(N64=0,0,IF(S64=0,"РОТ")))</f>
        <v>105.700598073999</v>
      </c>
      <c r="U64" s="144">
        <f>O64*R64*'Исх.данные'!$C$43%</f>
        <v>0</v>
      </c>
      <c r="V64" s="144">
        <f>P64*T64*'Исх.данные'!$C$44%</f>
        <v>0</v>
      </c>
      <c r="W64" s="144">
        <f t="shared" si="77"/>
        <v>0</v>
      </c>
      <c r="X64" s="145">
        <f t="shared" si="78"/>
        <v>0</v>
      </c>
      <c r="Y64" s="144">
        <f t="shared" si="79"/>
        <v>126.25360323886642</v>
      </c>
      <c r="Z64" s="145">
        <f t="shared" si="80"/>
        <v>52.77006072874496</v>
      </c>
      <c r="AA64" s="144">
        <f t="shared" si="81"/>
        <v>0</v>
      </c>
      <c r="AB64" s="145">
        <f t="shared" si="82"/>
        <v>0</v>
      </c>
      <c r="AC64" s="143">
        <v>2.5</v>
      </c>
      <c r="AD64" s="144">
        <f t="shared" si="83"/>
        <v>3471.9740890688263</v>
      </c>
      <c r="AE64" s="144">
        <f t="shared" si="84"/>
        <v>2770.4281882591104</v>
      </c>
      <c r="AF64" s="36">
        <f t="shared" si="85"/>
        <v>514.3665317139001</v>
      </c>
      <c r="AG64" s="74">
        <f t="shared" si="86"/>
        <v>410.4338056680163</v>
      </c>
      <c r="AH64" s="36">
        <f t="shared" si="87"/>
        <v>3986.3406207827265</v>
      </c>
      <c r="AI64" s="36">
        <f t="shared" si="88"/>
        <v>3180.8619939271266</v>
      </c>
      <c r="AJ64" s="36">
        <f t="shared" si="89"/>
        <v>1223.806570580297</v>
      </c>
      <c r="AK64" s="74">
        <f t="shared" si="90"/>
        <v>976.5246321356278</v>
      </c>
      <c r="AL64" s="36">
        <f t="shared" si="91"/>
        <v>5210.147191363023</v>
      </c>
      <c r="AM64" s="74">
        <f t="shared" si="92"/>
        <v>4157.386626062755</v>
      </c>
      <c r="AN64" s="33">
        <v>4.5</v>
      </c>
      <c r="AO64" s="34">
        <f>$AO$17</f>
        <v>0.84</v>
      </c>
      <c r="AP64" s="79">
        <f>(G64*AN64)*AO64/100</f>
        <v>0.945</v>
      </c>
      <c r="AQ64" s="125" t="s">
        <v>186</v>
      </c>
      <c r="AR64" s="81">
        <f>'Исх.данные'!$G$85</f>
        <v>9559.371428571429</v>
      </c>
      <c r="AS64" s="37">
        <f>AP64*AR64</f>
        <v>9033.606</v>
      </c>
      <c r="AT64" s="2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37">
        <f>аморт!$H$10</f>
        <v>69.6969696969697</v>
      </c>
      <c r="BG64" s="37">
        <f t="shared" si="4"/>
        <v>695.9115445957551</v>
      </c>
      <c r="BH64" s="88">
        <f>аморт!$H$25</f>
        <v>12.519247457627118</v>
      </c>
      <c r="BI64" s="37">
        <f t="shared" si="5"/>
        <v>125.00240502984971</v>
      </c>
      <c r="BJ64" s="39">
        <f>'Исх.данные'!$E$89</f>
        <v>98.91196513535999</v>
      </c>
      <c r="BK64" s="37">
        <f>BJ64*BU64</f>
        <v>630.56377773792</v>
      </c>
      <c r="BL64" s="39">
        <f>'Исх.данные'!$E$94</f>
        <v>16.685392176959997</v>
      </c>
      <c r="BM64" s="37">
        <f>BL64*BU64</f>
        <v>106.36937512811998</v>
      </c>
      <c r="BN64" s="39">
        <f>'Исх.данные'!$E$99</f>
        <v>5.761862046719998</v>
      </c>
      <c r="BO64" s="37">
        <f>BN64*BU64</f>
        <v>36.73187054783999</v>
      </c>
      <c r="BP64" s="37">
        <f>аморт!$D$25*10%/аморт!$G$25*L64*$O$12</f>
        <v>125.00240502984971</v>
      </c>
      <c r="BQ64" s="37">
        <f t="shared" si="93"/>
        <v>20120.721195495113</v>
      </c>
      <c r="BR64" s="37">
        <f t="shared" si="94"/>
        <v>20120.721195495113</v>
      </c>
      <c r="BS64" s="39">
        <f t="shared" si="95"/>
        <v>19.969635627530366</v>
      </c>
      <c r="BT64" s="39">
        <f>'Исх.данные'!$B$109</f>
        <v>5.1</v>
      </c>
      <c r="BU64" s="40">
        <f>BT64*L64</f>
        <v>6.375</v>
      </c>
    </row>
    <row r="65" spans="1:73" s="7" customFormat="1" ht="11.25">
      <c r="A65" s="19">
        <v>6</v>
      </c>
      <c r="B65" s="28" t="s">
        <v>121</v>
      </c>
      <c r="C65" s="22"/>
      <c r="D65" s="418" t="s">
        <v>143</v>
      </c>
      <c r="E65" s="419"/>
      <c r="F65" s="29" t="s">
        <v>479</v>
      </c>
      <c r="G65" s="31">
        <f>G64</f>
        <v>25</v>
      </c>
      <c r="H65" s="29" t="s">
        <v>502</v>
      </c>
      <c r="I65" s="29" t="s">
        <v>503</v>
      </c>
      <c r="J65" s="81">
        <f t="shared" si="73"/>
        <v>2.5</v>
      </c>
      <c r="K65" s="33">
        <v>10</v>
      </c>
      <c r="L65" s="34">
        <f t="shared" si="74"/>
        <v>2.5</v>
      </c>
      <c r="M65" s="24"/>
      <c r="N65" s="24">
        <v>1</v>
      </c>
      <c r="O65" s="36">
        <f t="shared" si="75"/>
        <v>0</v>
      </c>
      <c r="P65" s="36">
        <f t="shared" si="76"/>
        <v>19.969635627530366</v>
      </c>
      <c r="Q65" s="26">
        <v>2</v>
      </c>
      <c r="R65" s="81">
        <f>IF(AND(O65&gt;0,Q65&gt;0),SUMIF('Исх.данные'!$C$14:$H$14,Q65,'Исх.данные'!$C$18:$H$18),IF(O65=0,0,IF(Q65=0,"РОТ")))</f>
        <v>0</v>
      </c>
      <c r="S65" s="26">
        <v>2</v>
      </c>
      <c r="T65" s="81">
        <f>IF(AND(N65&gt;0,P65&gt;0),SUMIF('Исх.данные'!$C$14:$J$30,S65,'Исх.данные'!$C$34:$J$45),IF(N65=0,0,IF(S65=0,"РОТ")))</f>
        <v>105.700598073999</v>
      </c>
      <c r="U65" s="144">
        <f>O65*R65*'Исх.данные'!$C$43%</f>
        <v>0</v>
      </c>
      <c r="V65" s="144">
        <f>P65*T65*'Исх.данные'!$C$44%</f>
        <v>0</v>
      </c>
      <c r="W65" s="144">
        <f t="shared" si="77"/>
        <v>0</v>
      </c>
      <c r="X65" s="145">
        <f t="shared" si="78"/>
        <v>0</v>
      </c>
      <c r="Y65" s="144">
        <f t="shared" si="79"/>
        <v>0</v>
      </c>
      <c r="Z65" s="145">
        <f t="shared" si="80"/>
        <v>105.54012145748992</v>
      </c>
      <c r="AA65" s="144">
        <f t="shared" si="81"/>
        <v>0</v>
      </c>
      <c r="AB65" s="145">
        <f t="shared" si="82"/>
        <v>0</v>
      </c>
      <c r="AC65" s="143">
        <v>2.5</v>
      </c>
      <c r="AD65" s="144">
        <f t="shared" si="83"/>
        <v>0</v>
      </c>
      <c r="AE65" s="144">
        <f t="shared" si="84"/>
        <v>5540.856376518221</v>
      </c>
      <c r="AF65" s="36">
        <f t="shared" si="85"/>
        <v>0</v>
      </c>
      <c r="AG65" s="74">
        <f t="shared" si="86"/>
        <v>820.8676113360326</v>
      </c>
      <c r="AH65" s="36">
        <f t="shared" si="87"/>
        <v>0</v>
      </c>
      <c r="AI65" s="36">
        <f t="shared" si="88"/>
        <v>6361.723987854253</v>
      </c>
      <c r="AJ65" s="36">
        <f t="shared" si="89"/>
        <v>0</v>
      </c>
      <c r="AK65" s="74">
        <f t="shared" si="90"/>
        <v>1953.0492642712557</v>
      </c>
      <c r="AL65" s="36">
        <f t="shared" si="91"/>
        <v>0</v>
      </c>
      <c r="AM65" s="74">
        <f t="shared" si="92"/>
        <v>8314.77325212551</v>
      </c>
      <c r="AN65" s="24"/>
      <c r="AO65" s="24"/>
      <c r="AP65" s="44"/>
      <c r="AQ65" s="27"/>
      <c r="AR65" s="27"/>
      <c r="AS65" s="44"/>
      <c r="AT65" s="2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37"/>
      <c r="BG65" s="37">
        <f t="shared" si="4"/>
        <v>0</v>
      </c>
      <c r="BH65" s="88"/>
      <c r="BI65" s="37">
        <f t="shared" si="5"/>
        <v>0</v>
      </c>
      <c r="BJ65" s="39"/>
      <c r="BK65" s="37"/>
      <c r="BL65" s="39"/>
      <c r="BM65" s="37"/>
      <c r="BN65" s="39"/>
      <c r="BO65" s="37"/>
      <c r="BP65" s="37"/>
      <c r="BQ65" s="37">
        <f t="shared" si="93"/>
        <v>8314.77325212551</v>
      </c>
      <c r="BR65" s="37">
        <f t="shared" si="94"/>
        <v>8314.77325212551</v>
      </c>
      <c r="BS65" s="39">
        <f t="shared" si="95"/>
        <v>19.969635627530366</v>
      </c>
      <c r="BT65" s="39"/>
      <c r="BU65" s="40"/>
    </row>
    <row r="66" spans="1:73" s="7" customFormat="1" ht="11.25">
      <c r="A66" s="19">
        <v>7</v>
      </c>
      <c r="B66" s="28" t="s">
        <v>122</v>
      </c>
      <c r="C66" s="22"/>
      <c r="D66" s="418" t="s">
        <v>143</v>
      </c>
      <c r="E66" s="419"/>
      <c r="F66" s="29" t="s">
        <v>134</v>
      </c>
      <c r="G66" s="30">
        <f>D7</f>
        <v>1</v>
      </c>
      <c r="H66" s="29" t="s">
        <v>502</v>
      </c>
      <c r="I66" s="29" t="s">
        <v>503</v>
      </c>
      <c r="J66" s="81">
        <f t="shared" si="73"/>
        <v>3.3333333333333335</v>
      </c>
      <c r="K66" s="33">
        <v>0.3</v>
      </c>
      <c r="L66" s="34">
        <f t="shared" si="74"/>
        <v>3.3333333333333335</v>
      </c>
      <c r="M66" s="24"/>
      <c r="N66" s="24">
        <v>1</v>
      </c>
      <c r="O66" s="36">
        <f t="shared" si="75"/>
        <v>0</v>
      </c>
      <c r="P66" s="36">
        <f t="shared" si="76"/>
        <v>26.626180836707153</v>
      </c>
      <c r="Q66" s="26"/>
      <c r="R66" s="24"/>
      <c r="S66" s="26">
        <v>2</v>
      </c>
      <c r="T66" s="81">
        <f>IF(AND(N66&gt;0,P66&gt;0),SUMIF('Исх.данные'!$C$14:$J$30,S66,'Исх.данные'!$C$34:$J$45),IF(N66=0,0,IF(S66=0,"РОТ")))</f>
        <v>105.700598073999</v>
      </c>
      <c r="U66" s="144">
        <f>O66*R66*'Исх.данные'!$C$43%</f>
        <v>0</v>
      </c>
      <c r="V66" s="144">
        <f>P66*T66*'Исх.данные'!$C$44%</f>
        <v>0</v>
      </c>
      <c r="W66" s="144">
        <f t="shared" si="77"/>
        <v>0</v>
      </c>
      <c r="X66" s="145">
        <f t="shared" si="78"/>
        <v>0</v>
      </c>
      <c r="Y66" s="144">
        <f t="shared" si="79"/>
        <v>0</v>
      </c>
      <c r="Z66" s="145">
        <f t="shared" si="80"/>
        <v>140.72016194331988</v>
      </c>
      <c r="AA66" s="144">
        <f t="shared" si="81"/>
        <v>0</v>
      </c>
      <c r="AB66" s="145">
        <f t="shared" si="82"/>
        <v>0</v>
      </c>
      <c r="AC66" s="143">
        <v>2.5</v>
      </c>
      <c r="AD66" s="144">
        <f t="shared" si="83"/>
        <v>0</v>
      </c>
      <c r="AE66" s="144">
        <f t="shared" si="84"/>
        <v>7387.8085020242925</v>
      </c>
      <c r="AF66" s="36">
        <f t="shared" si="85"/>
        <v>0</v>
      </c>
      <c r="AG66" s="74">
        <f t="shared" si="86"/>
        <v>1094.4901484480433</v>
      </c>
      <c r="AH66" s="36">
        <f t="shared" si="87"/>
        <v>0</v>
      </c>
      <c r="AI66" s="36">
        <f t="shared" si="88"/>
        <v>8482.298650472336</v>
      </c>
      <c r="AJ66" s="36">
        <f t="shared" si="89"/>
        <v>0</v>
      </c>
      <c r="AK66" s="74">
        <f t="shared" si="90"/>
        <v>2604.0656856950072</v>
      </c>
      <c r="AL66" s="36">
        <f t="shared" si="91"/>
        <v>0</v>
      </c>
      <c r="AM66" s="74">
        <f t="shared" si="92"/>
        <v>11086.364336167342</v>
      </c>
      <c r="AN66" s="24"/>
      <c r="AO66" s="24"/>
      <c r="AP66" s="44"/>
      <c r="AQ66" s="27"/>
      <c r="AR66" s="27"/>
      <c r="AS66" s="44"/>
      <c r="AT66" s="2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37">
        <f t="shared" si="4"/>
        <v>0</v>
      </c>
      <c r="BH66" s="37"/>
      <c r="BI66" s="37">
        <f t="shared" si="5"/>
        <v>0</v>
      </c>
      <c r="BJ66" s="44"/>
      <c r="BK66" s="44"/>
      <c r="BL66" s="44"/>
      <c r="BM66" s="44"/>
      <c r="BN66" s="44"/>
      <c r="BO66" s="44"/>
      <c r="BP66" s="44"/>
      <c r="BQ66" s="37">
        <f t="shared" si="93"/>
        <v>11086.364336167342</v>
      </c>
      <c r="BR66" s="37">
        <f t="shared" si="94"/>
        <v>11086.364336167342</v>
      </c>
      <c r="BS66" s="39">
        <f t="shared" si="95"/>
        <v>26.626180836707153</v>
      </c>
      <c r="BT66" s="44"/>
      <c r="BU66" s="44"/>
    </row>
    <row r="67" spans="1:73" s="56" customFormat="1" ht="11.25">
      <c r="A67" s="54"/>
      <c r="B67" s="55" t="s">
        <v>22</v>
      </c>
      <c r="C67" s="55"/>
      <c r="D67" s="55"/>
      <c r="E67" s="55"/>
      <c r="F67" s="57"/>
      <c r="G67" s="58"/>
      <c r="H67" s="58"/>
      <c r="I67" s="58"/>
      <c r="J67" s="66">
        <f>SUM(J60:J66)</f>
        <v>17.06233850129199</v>
      </c>
      <c r="K67" s="66"/>
      <c r="L67" s="66">
        <f aca="true" t="shared" si="96" ref="L67:BM67">SUM(L60:L66)</f>
        <v>17.06233850129199</v>
      </c>
      <c r="M67" s="66">
        <f t="shared" si="96"/>
        <v>1</v>
      </c>
      <c r="N67" s="66">
        <f t="shared" si="96"/>
        <v>7</v>
      </c>
      <c r="O67" s="66">
        <f t="shared" si="96"/>
        <v>9.984817813765183</v>
      </c>
      <c r="P67" s="66">
        <f t="shared" si="96"/>
        <v>136.29147312975343</v>
      </c>
      <c r="Q67" s="66"/>
      <c r="R67" s="66"/>
      <c r="S67" s="66"/>
      <c r="T67" s="66"/>
      <c r="U67" s="66">
        <f t="shared" si="96"/>
        <v>0</v>
      </c>
      <c r="V67" s="66">
        <f t="shared" si="96"/>
        <v>0</v>
      </c>
      <c r="W67" s="66">
        <f t="shared" si="96"/>
        <v>0</v>
      </c>
      <c r="X67" s="66">
        <f t="shared" si="96"/>
        <v>0</v>
      </c>
      <c r="Y67" s="66">
        <f t="shared" si="96"/>
        <v>126.25360323886642</v>
      </c>
      <c r="Z67" s="66">
        <f t="shared" si="96"/>
        <v>720.3045111100652</v>
      </c>
      <c r="AA67" s="66">
        <f t="shared" si="96"/>
        <v>0</v>
      </c>
      <c r="AB67" s="66">
        <f t="shared" si="96"/>
        <v>0</v>
      </c>
      <c r="AC67" s="66"/>
      <c r="AD67" s="66">
        <f t="shared" si="96"/>
        <v>3471.9740890688263</v>
      </c>
      <c r="AE67" s="66">
        <f t="shared" si="96"/>
        <v>37815.98683327842</v>
      </c>
      <c r="AF67" s="66">
        <f t="shared" si="96"/>
        <v>514.3665317139001</v>
      </c>
      <c r="AG67" s="66">
        <f t="shared" si="96"/>
        <v>5602.36841974495</v>
      </c>
      <c r="AH67" s="66">
        <f t="shared" si="96"/>
        <v>3986.3406207827265</v>
      </c>
      <c r="AI67" s="66">
        <f t="shared" si="96"/>
        <v>43418.35525302337</v>
      </c>
      <c r="AJ67" s="66">
        <f t="shared" si="96"/>
        <v>1223.806570580297</v>
      </c>
      <c r="AK67" s="66">
        <f t="shared" si="96"/>
        <v>13329.435062678174</v>
      </c>
      <c r="AL67" s="66">
        <f t="shared" si="96"/>
        <v>5210.147191363023</v>
      </c>
      <c r="AM67" s="66">
        <f t="shared" si="96"/>
        <v>56747.79031570154</v>
      </c>
      <c r="AN67" s="25"/>
      <c r="AO67" s="66"/>
      <c r="AP67" s="66">
        <f t="shared" si="96"/>
        <v>0.945</v>
      </c>
      <c r="AQ67" s="66"/>
      <c r="AR67" s="66"/>
      <c r="AS67" s="66">
        <f t="shared" si="96"/>
        <v>9033.606</v>
      </c>
      <c r="AT67" s="66"/>
      <c r="AU67" s="66">
        <f t="shared" si="96"/>
        <v>0</v>
      </c>
      <c r="AV67" s="66"/>
      <c r="AW67" s="66">
        <f t="shared" si="96"/>
        <v>0</v>
      </c>
      <c r="AX67" s="66"/>
      <c r="AY67" s="66">
        <f t="shared" si="96"/>
        <v>0</v>
      </c>
      <c r="AZ67" s="66"/>
      <c r="BA67" s="66">
        <f t="shared" si="96"/>
        <v>0</v>
      </c>
      <c r="BB67" s="66"/>
      <c r="BC67" s="66">
        <f t="shared" si="96"/>
        <v>0</v>
      </c>
      <c r="BD67" s="66"/>
      <c r="BE67" s="66">
        <f t="shared" si="96"/>
        <v>0</v>
      </c>
      <c r="BF67" s="66"/>
      <c r="BG67" s="66">
        <f t="shared" si="96"/>
        <v>695.9115445957551</v>
      </c>
      <c r="BH67" s="66"/>
      <c r="BI67" s="66">
        <f t="shared" si="96"/>
        <v>125.00240502984971</v>
      </c>
      <c r="BJ67" s="66"/>
      <c r="BK67" s="66">
        <f t="shared" si="96"/>
        <v>630.56377773792</v>
      </c>
      <c r="BL67" s="66"/>
      <c r="BM67" s="66">
        <f t="shared" si="96"/>
        <v>106.36937512811998</v>
      </c>
      <c r="BN67" s="66"/>
      <c r="BO67" s="66">
        <f aca="true" t="shared" si="97" ref="BO67:BU67">SUM(BO60:BO66)</f>
        <v>36.73187054783999</v>
      </c>
      <c r="BP67" s="66">
        <f t="shared" si="97"/>
        <v>125.00240502984971</v>
      </c>
      <c r="BQ67" s="66">
        <f t="shared" si="97"/>
        <v>72711.12488513389</v>
      </c>
      <c r="BR67" s="66"/>
      <c r="BS67" s="66"/>
      <c r="BT67" s="66"/>
      <c r="BU67" s="66">
        <f t="shared" si="97"/>
        <v>6.375</v>
      </c>
    </row>
    <row r="68" spans="1:73" s="7" customFormat="1" ht="11.25">
      <c r="A68" s="21"/>
      <c r="B68" s="399" t="s">
        <v>126</v>
      </c>
      <c r="C68" s="399"/>
      <c r="D68" s="399"/>
      <c r="E68" s="399"/>
      <c r="F68" s="23"/>
      <c r="G68" s="24"/>
      <c r="H68" s="24"/>
      <c r="I68" s="24"/>
      <c r="J68" s="24"/>
      <c r="K68" s="24"/>
      <c r="L68" s="41"/>
      <c r="M68" s="24"/>
      <c r="N68" s="24"/>
      <c r="O68" s="42"/>
      <c r="P68" s="42"/>
      <c r="Q68" s="26"/>
      <c r="R68" s="24"/>
      <c r="S68" s="26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3"/>
      <c r="AH68" s="42"/>
      <c r="AI68" s="42"/>
      <c r="AJ68" s="42"/>
      <c r="AK68" s="42"/>
      <c r="AL68" s="42"/>
      <c r="AM68" s="42"/>
      <c r="AN68" s="24"/>
      <c r="AO68" s="24"/>
      <c r="AP68" s="44"/>
      <c r="AQ68" s="27"/>
      <c r="AR68" s="27"/>
      <c r="AS68" s="44"/>
      <c r="AT68" s="2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37">
        <f t="shared" si="4"/>
        <v>0</v>
      </c>
      <c r="BH68" s="44"/>
      <c r="BI68" s="37">
        <f t="shared" si="5"/>
        <v>0</v>
      </c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</row>
    <row r="69" spans="1:73" s="7" customFormat="1" ht="11.25">
      <c r="A69" s="19">
        <v>1</v>
      </c>
      <c r="B69" s="28" t="s">
        <v>124</v>
      </c>
      <c r="C69" s="22"/>
      <c r="D69" s="418" t="s">
        <v>143</v>
      </c>
      <c r="E69" s="419"/>
      <c r="F69" s="29" t="s">
        <v>147</v>
      </c>
      <c r="G69" s="31">
        <v>360</v>
      </c>
      <c r="H69" s="29" t="s">
        <v>504</v>
      </c>
      <c r="I69" s="24"/>
      <c r="J69" s="81">
        <f>L69/N69</f>
        <v>3</v>
      </c>
      <c r="K69" s="33">
        <v>120</v>
      </c>
      <c r="L69" s="34">
        <f>IF((M69+N69)&gt;0,G69/K69,0)</f>
        <v>3</v>
      </c>
      <c r="M69" s="24"/>
      <c r="N69" s="24">
        <v>1</v>
      </c>
      <c r="O69" s="36">
        <f>IF(M69=0,0,L69*$O$12)</f>
        <v>0</v>
      </c>
      <c r="P69" s="36">
        <f>IF(N69=0,0,L69*$O$12)</f>
        <v>23.963562753036438</v>
      </c>
      <c r="Q69" s="26"/>
      <c r="R69" s="24"/>
      <c r="S69" s="26">
        <v>2</v>
      </c>
      <c r="T69" s="81">
        <f>IF(AND(N69&gt;0,P69&gt;0),SUMIF('Исх.данные'!$C$14:$J$30,S69,'Исх.данные'!$C$34:$J$45),IF(N69=0,0,IF(S69=0,"РОТ")))</f>
        <v>105.700598073999</v>
      </c>
      <c r="U69" s="144">
        <f>O69*R69*'Исх.данные'!$C$43%</f>
        <v>0</v>
      </c>
      <c r="V69" s="144">
        <f>P69*T69*'Исх.данные'!$C$44%</f>
        <v>0</v>
      </c>
      <c r="W69" s="144">
        <f>O69*R69*$W$12</f>
        <v>0</v>
      </c>
      <c r="X69" s="145">
        <f>P69*T69*$W$12</f>
        <v>0</v>
      </c>
      <c r="Y69" s="144">
        <f>(O69*R69+U69+W69)*$Y$12</f>
        <v>0</v>
      </c>
      <c r="Z69" s="145">
        <f>(P69*T69+V69+X69)*$Z$12</f>
        <v>126.64814574898787</v>
      </c>
      <c r="AA69" s="144">
        <f>(O69*R69+U69)*$AA$12</f>
        <v>0</v>
      </c>
      <c r="AB69" s="145">
        <f>(P69*T69+V69)*$AA$12</f>
        <v>0</v>
      </c>
      <c r="AC69" s="143">
        <v>2.5</v>
      </c>
      <c r="AD69" s="144">
        <f>(O69*R69+U69+W69+Y69+AA69)*AC69</f>
        <v>0</v>
      </c>
      <c r="AE69" s="144">
        <f>(P69*T69+V69+X69+Z69+AB69)*AC69</f>
        <v>6649.027651821863</v>
      </c>
      <c r="AF69" s="36">
        <f>AD69*$AF$12</f>
        <v>0</v>
      </c>
      <c r="AG69" s="74">
        <f>AE69*$AF$12</f>
        <v>985.041133603239</v>
      </c>
      <c r="AH69" s="36">
        <f>AD69+AF69</f>
        <v>0</v>
      </c>
      <c r="AI69" s="36">
        <f>AE69+AG69</f>
        <v>7634.068785425103</v>
      </c>
      <c r="AJ69" s="36">
        <f>AH69*$AJ$12</f>
        <v>0</v>
      </c>
      <c r="AK69" s="74">
        <f>AI69*$AJ$12</f>
        <v>2343.6591171255063</v>
      </c>
      <c r="AL69" s="36">
        <f>AH69+AJ69</f>
        <v>0</v>
      </c>
      <c r="AM69" s="74">
        <f>AK69+AI69</f>
        <v>9977.727902550609</v>
      </c>
      <c r="AN69" s="24"/>
      <c r="AO69" s="24"/>
      <c r="AP69" s="44"/>
      <c r="AQ69" s="27"/>
      <c r="AR69" s="27"/>
      <c r="AS69" s="44"/>
      <c r="AT69" s="2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37">
        <f t="shared" si="4"/>
        <v>0</v>
      </c>
      <c r="BH69" s="37"/>
      <c r="BI69" s="37">
        <f t="shared" si="5"/>
        <v>0</v>
      </c>
      <c r="BJ69" s="44"/>
      <c r="BK69" s="44"/>
      <c r="BL69" s="44"/>
      <c r="BM69" s="44"/>
      <c r="BN69" s="44"/>
      <c r="BO69" s="44"/>
      <c r="BP69" s="44"/>
      <c r="BQ69" s="37">
        <f>BP69+BO69+BM69+BK69+BI69+BG69+BE69+BA69+AW69+AS69+AM69+AL69</f>
        <v>9977.727902550609</v>
      </c>
      <c r="BR69" s="37">
        <f>BQ69/$D$7</f>
        <v>9977.727902550609</v>
      </c>
      <c r="BS69" s="39">
        <f>(O69+P69)/$D$7</f>
        <v>23.963562753036438</v>
      </c>
      <c r="BT69" s="44"/>
      <c r="BU69" s="44"/>
    </row>
    <row r="70" spans="1:73" s="7" customFormat="1" ht="11.25">
      <c r="A70" s="19">
        <v>2</v>
      </c>
      <c r="B70" s="28" t="s">
        <v>125</v>
      </c>
      <c r="C70" s="22"/>
      <c r="D70" s="418" t="s">
        <v>143</v>
      </c>
      <c r="E70" s="419"/>
      <c r="F70" s="29" t="s">
        <v>181</v>
      </c>
      <c r="G70" s="31">
        <v>6</v>
      </c>
      <c r="H70" s="29" t="s">
        <v>492</v>
      </c>
      <c r="I70" s="24"/>
      <c r="J70" s="81">
        <f>L70/N70</f>
        <v>30</v>
      </c>
      <c r="K70" s="33">
        <v>0.2</v>
      </c>
      <c r="L70" s="34">
        <f>IF((M70+N70)&gt;0,G70/K70,0)</f>
        <v>30</v>
      </c>
      <c r="M70" s="24"/>
      <c r="N70" s="24">
        <v>1</v>
      </c>
      <c r="O70" s="36">
        <f>IF(M70=0,0,L70*$O$12)</f>
        <v>0</v>
      </c>
      <c r="P70" s="36">
        <f>IF(N70=0,0,L70*$O$12)</f>
        <v>239.63562753036436</v>
      </c>
      <c r="Q70" s="26"/>
      <c r="R70" s="24"/>
      <c r="S70" s="26">
        <v>1</v>
      </c>
      <c r="T70" s="81">
        <f>IF(AND(N70&gt;0,P70&gt;0),SUMIF('Исх.данные'!$C$14:$J$30,S70,'Исх.данные'!$C$34:$J$45),IF(N70=0,0,IF(S70=0,"РОТ")))</f>
        <v>98.78560567663457</v>
      </c>
      <c r="U70" s="144">
        <f>O70*R70*'Исх.данные'!$C$43%</f>
        <v>0</v>
      </c>
      <c r="V70" s="144">
        <f>P70*T70*'Исх.данные'!$C$44%</f>
        <v>0</v>
      </c>
      <c r="W70" s="144">
        <f>O70*R70*$W$12</f>
        <v>0</v>
      </c>
      <c r="X70" s="145">
        <f>P70*T70*$W$12</f>
        <v>0</v>
      </c>
      <c r="Y70" s="144">
        <f>(O70*R70+U70+W70)*$Y$12</f>
        <v>0</v>
      </c>
      <c r="Z70" s="145">
        <f>(P70*T70+V70+X70)*$Z$12</f>
        <v>1183.6275303643724</v>
      </c>
      <c r="AA70" s="144">
        <f>(O70*R70+U70)*$AA$12</f>
        <v>0</v>
      </c>
      <c r="AB70" s="145">
        <f>(P70*T70+V70)*$AA$12</f>
        <v>0</v>
      </c>
      <c r="AC70" s="143">
        <v>2.5</v>
      </c>
      <c r="AD70" s="144">
        <f>(O70*R70+U70+W70+Y70+AA70)*AC70</f>
        <v>0</v>
      </c>
      <c r="AE70" s="144">
        <f>(P70*T70+V70+X70+Z70+AB70)*AC70</f>
        <v>62140.44534412955</v>
      </c>
      <c r="AF70" s="36">
        <f>AD70*$AF$12</f>
        <v>0</v>
      </c>
      <c r="AG70" s="74">
        <f>AE70*$AF$12</f>
        <v>9205.991902834006</v>
      </c>
      <c r="AH70" s="36">
        <f>AD70+AF70</f>
        <v>0</v>
      </c>
      <c r="AI70" s="36">
        <f>AE70+AG70</f>
        <v>71346.43724696356</v>
      </c>
      <c r="AJ70" s="36">
        <f>AH70*$AJ$12</f>
        <v>0</v>
      </c>
      <c r="AK70" s="74">
        <f>AI70*$AJ$12</f>
        <v>21903.356234817813</v>
      </c>
      <c r="AL70" s="36">
        <f>AH70+AJ70</f>
        <v>0</v>
      </c>
      <c r="AM70" s="74">
        <f>AK70+AI70</f>
        <v>93249.79348178137</v>
      </c>
      <c r="AN70" s="24"/>
      <c r="AO70" s="24"/>
      <c r="AP70" s="44"/>
      <c r="AQ70" s="27"/>
      <c r="AR70" s="27"/>
      <c r="AS70" s="44"/>
      <c r="AT70" s="2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37">
        <f t="shared" si="4"/>
        <v>0</v>
      </c>
      <c r="BH70" s="37"/>
      <c r="BI70" s="37">
        <f t="shared" si="5"/>
        <v>0</v>
      </c>
      <c r="BJ70" s="44"/>
      <c r="BK70" s="44"/>
      <c r="BL70" s="44"/>
      <c r="BM70" s="44"/>
      <c r="BN70" s="44"/>
      <c r="BO70" s="44"/>
      <c r="BP70" s="44"/>
      <c r="BQ70" s="37">
        <f>BP70+BO70+BM70+BK70+BI70+BG70+BE70+BA70+AW70+AS70+AM70+AL70</f>
        <v>93249.79348178137</v>
      </c>
      <c r="BR70" s="37">
        <f>BQ70/$D$7</f>
        <v>93249.79348178137</v>
      </c>
      <c r="BS70" s="39">
        <f>(O70+P70)/$D$7</f>
        <v>239.63562753036436</v>
      </c>
      <c r="BT70" s="44"/>
      <c r="BU70" s="44"/>
    </row>
    <row r="71" spans="1:73" s="56" customFormat="1" ht="11.25">
      <c r="A71" s="54"/>
      <c r="B71" s="55" t="s">
        <v>22</v>
      </c>
      <c r="C71" s="55"/>
      <c r="D71" s="55"/>
      <c r="E71" s="55"/>
      <c r="F71" s="57"/>
      <c r="G71" s="58"/>
      <c r="H71" s="58"/>
      <c r="I71" s="58"/>
      <c r="J71" s="66">
        <f>SUM(J69:J70)</f>
        <v>33</v>
      </c>
      <c r="K71" s="66"/>
      <c r="L71" s="66">
        <f aca="true" t="shared" si="98" ref="L71:BM71">SUM(L69:L70)</f>
        <v>33</v>
      </c>
      <c r="M71" s="66">
        <f t="shared" si="98"/>
        <v>0</v>
      </c>
      <c r="N71" s="66">
        <f t="shared" si="98"/>
        <v>2</v>
      </c>
      <c r="O71" s="66">
        <f t="shared" si="98"/>
        <v>0</v>
      </c>
      <c r="P71" s="66">
        <f t="shared" si="98"/>
        <v>263.5991902834008</v>
      </c>
      <c r="Q71" s="66"/>
      <c r="R71" s="66"/>
      <c r="S71" s="66"/>
      <c r="T71" s="66"/>
      <c r="U71" s="66">
        <f t="shared" si="98"/>
        <v>0</v>
      </c>
      <c r="V71" s="66">
        <f t="shared" si="98"/>
        <v>0</v>
      </c>
      <c r="W71" s="66">
        <f t="shared" si="98"/>
        <v>0</v>
      </c>
      <c r="X71" s="66">
        <f t="shared" si="98"/>
        <v>0</v>
      </c>
      <c r="Y71" s="66">
        <f t="shared" si="98"/>
        <v>0</v>
      </c>
      <c r="Z71" s="66">
        <f t="shared" si="98"/>
        <v>1310.2756761133603</v>
      </c>
      <c r="AA71" s="66">
        <f t="shared" si="98"/>
        <v>0</v>
      </c>
      <c r="AB71" s="66">
        <f t="shared" si="98"/>
        <v>0</v>
      </c>
      <c r="AC71" s="66"/>
      <c r="AD71" s="66">
        <f t="shared" si="98"/>
        <v>0</v>
      </c>
      <c r="AE71" s="66">
        <f t="shared" si="98"/>
        <v>68789.47299595141</v>
      </c>
      <c r="AF71" s="66">
        <f t="shared" si="98"/>
        <v>0</v>
      </c>
      <c r="AG71" s="66">
        <f t="shared" si="98"/>
        <v>10191.033036437246</v>
      </c>
      <c r="AH71" s="66">
        <f t="shared" si="98"/>
        <v>0</v>
      </c>
      <c r="AI71" s="66">
        <f t="shared" si="98"/>
        <v>78980.50603238866</v>
      </c>
      <c r="AJ71" s="66">
        <f t="shared" si="98"/>
        <v>0</v>
      </c>
      <c r="AK71" s="66">
        <f t="shared" si="98"/>
        <v>24247.01535194332</v>
      </c>
      <c r="AL71" s="66">
        <f t="shared" si="98"/>
        <v>0</v>
      </c>
      <c r="AM71" s="66">
        <f t="shared" si="98"/>
        <v>103227.52138433198</v>
      </c>
      <c r="AN71" s="25"/>
      <c r="AO71" s="66"/>
      <c r="AP71" s="66">
        <f t="shared" si="98"/>
        <v>0</v>
      </c>
      <c r="AQ71" s="66"/>
      <c r="AR71" s="66"/>
      <c r="AS71" s="66">
        <f t="shared" si="98"/>
        <v>0</v>
      </c>
      <c r="AT71" s="66"/>
      <c r="AU71" s="66">
        <f t="shared" si="98"/>
        <v>0</v>
      </c>
      <c r="AV71" s="66"/>
      <c r="AW71" s="66">
        <f t="shared" si="98"/>
        <v>0</v>
      </c>
      <c r="AX71" s="66"/>
      <c r="AY71" s="66">
        <f t="shared" si="98"/>
        <v>0</v>
      </c>
      <c r="AZ71" s="66"/>
      <c r="BA71" s="66">
        <f t="shared" si="98"/>
        <v>0</v>
      </c>
      <c r="BB71" s="66"/>
      <c r="BC71" s="66">
        <f t="shared" si="98"/>
        <v>0</v>
      </c>
      <c r="BD71" s="66"/>
      <c r="BE71" s="66">
        <f t="shared" si="98"/>
        <v>0</v>
      </c>
      <c r="BF71" s="66"/>
      <c r="BG71" s="66">
        <f t="shared" si="98"/>
        <v>0</v>
      </c>
      <c r="BH71" s="66"/>
      <c r="BI71" s="66">
        <f t="shared" si="98"/>
        <v>0</v>
      </c>
      <c r="BJ71" s="66"/>
      <c r="BK71" s="66">
        <f t="shared" si="98"/>
        <v>0</v>
      </c>
      <c r="BL71" s="66"/>
      <c r="BM71" s="66">
        <f t="shared" si="98"/>
        <v>0</v>
      </c>
      <c r="BN71" s="66"/>
      <c r="BO71" s="66">
        <f aca="true" t="shared" si="99" ref="BO71:BU71">SUM(BO69:BO70)</f>
        <v>0</v>
      </c>
      <c r="BP71" s="66">
        <f t="shared" si="99"/>
        <v>0</v>
      </c>
      <c r="BQ71" s="66">
        <f t="shared" si="99"/>
        <v>103227.52138433198</v>
      </c>
      <c r="BR71" s="66"/>
      <c r="BS71" s="66"/>
      <c r="BT71" s="66"/>
      <c r="BU71" s="66">
        <f t="shared" si="99"/>
        <v>0</v>
      </c>
    </row>
    <row r="72" spans="1:73" s="7" customFormat="1" ht="11.25">
      <c r="A72" s="21"/>
      <c r="B72" s="399" t="s">
        <v>24</v>
      </c>
      <c r="C72" s="399"/>
      <c r="D72" s="399"/>
      <c r="E72" s="399"/>
      <c r="F72" s="23"/>
      <c r="G72" s="24"/>
      <c r="H72" s="24"/>
      <c r="I72" s="24"/>
      <c r="J72" s="24"/>
      <c r="K72" s="24"/>
      <c r="L72" s="41"/>
      <c r="M72" s="24"/>
      <c r="N72" s="24"/>
      <c r="O72" s="42"/>
      <c r="P72" s="42"/>
      <c r="Q72" s="26"/>
      <c r="R72" s="24"/>
      <c r="S72" s="26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3"/>
      <c r="AH72" s="42"/>
      <c r="AI72" s="42"/>
      <c r="AJ72" s="42"/>
      <c r="AK72" s="42"/>
      <c r="AL72" s="42"/>
      <c r="AM72" s="42"/>
      <c r="AN72" s="24"/>
      <c r="AO72" s="24"/>
      <c r="AP72" s="44"/>
      <c r="AQ72" s="27"/>
      <c r="AR72" s="27"/>
      <c r="AS72" s="44"/>
      <c r="AT72" s="2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37">
        <f t="shared" si="4"/>
        <v>0</v>
      </c>
      <c r="BH72" s="44"/>
      <c r="BI72" s="37">
        <f t="shared" si="5"/>
        <v>0</v>
      </c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</row>
    <row r="73" spans="1:73" s="7" customFormat="1" ht="11.25">
      <c r="A73" s="19">
        <v>1</v>
      </c>
      <c r="B73" s="28" t="s">
        <v>24</v>
      </c>
      <c r="C73" s="22"/>
      <c r="D73" s="22"/>
      <c r="E73" s="22"/>
      <c r="F73" s="29" t="s">
        <v>462</v>
      </c>
      <c r="G73" s="31">
        <v>120</v>
      </c>
      <c r="H73" s="29" t="s">
        <v>505</v>
      </c>
      <c r="I73" s="29" t="s">
        <v>506</v>
      </c>
      <c r="J73" s="81">
        <f>L73/N73</f>
        <v>120</v>
      </c>
      <c r="K73" s="33">
        <v>1</v>
      </c>
      <c r="L73" s="34">
        <f>IF((M73+N73)&gt;0,G73/K73,0)</f>
        <v>120</v>
      </c>
      <c r="M73" s="24"/>
      <c r="N73" s="24">
        <v>1</v>
      </c>
      <c r="O73" s="36">
        <f>IF(M73=0,0,L73*$O$12)</f>
        <v>0</v>
      </c>
      <c r="P73" s="36">
        <f>IF(N73=0,0,L73*$O$12)</f>
        <v>958.5425101214574</v>
      </c>
      <c r="Q73" s="26"/>
      <c r="R73" s="24"/>
      <c r="S73" s="26">
        <v>1</v>
      </c>
      <c r="T73" s="81">
        <f>IF(AND(N73&gt;0,P73&gt;0),SUMIF('Исх.данные'!$C$14:$J$30,S73,'Исх.данные'!$C$34:$J$45),IF(N73=0,0,IF(S73=0,"РОТ")))</f>
        <v>98.78560567663457</v>
      </c>
      <c r="U73" s="144">
        <f>O73*R73*'Исх.данные'!$C$43%</f>
        <v>0</v>
      </c>
      <c r="V73" s="144">
        <f>P73*T73*'Исх.данные'!$C$44%</f>
        <v>0</v>
      </c>
      <c r="W73" s="144">
        <f>O73*R73*$W$12</f>
        <v>0</v>
      </c>
      <c r="X73" s="145">
        <f>P73*T73*$W$12</f>
        <v>0</v>
      </c>
      <c r="Y73" s="144">
        <f>(O73*R73+U73+W73)*$Y$12</f>
        <v>0</v>
      </c>
      <c r="Z73" s="145">
        <f>(P73*T73+V73+X73)*$Z$12</f>
        <v>4734.51012145749</v>
      </c>
      <c r="AA73" s="144">
        <f>(O73*R73+U73)*$AA$12</f>
        <v>0</v>
      </c>
      <c r="AB73" s="145">
        <f>(P73*T73+V73)*$AA$12</f>
        <v>0</v>
      </c>
      <c r="AC73" s="143">
        <v>2.5</v>
      </c>
      <c r="AD73" s="144">
        <f>(O73*R73+U73+W73+Y73+AA73)*AC73</f>
        <v>0</v>
      </c>
      <c r="AE73" s="144">
        <f>(P73*T73+V73+X73+Z73+AB73)*AC73</f>
        <v>248561.7813765182</v>
      </c>
      <c r="AF73" s="36">
        <f>AD73*$AF$12</f>
        <v>0</v>
      </c>
      <c r="AG73" s="74">
        <f>AE73*$AF$12</f>
        <v>36823.967611336026</v>
      </c>
      <c r="AH73" s="36">
        <f>AD73+AF73</f>
        <v>0</v>
      </c>
      <c r="AI73" s="36">
        <f>AE73+AG73</f>
        <v>285385.7489878542</v>
      </c>
      <c r="AJ73" s="36">
        <f>AH73*$AJ$12</f>
        <v>0</v>
      </c>
      <c r="AK73" s="74">
        <f>AI73*$AJ$12</f>
        <v>87613.42493927125</v>
      </c>
      <c r="AL73" s="36">
        <f>AH73+AJ73</f>
        <v>0</v>
      </c>
      <c r="AM73" s="74">
        <f>AK73+AI73</f>
        <v>372999.17392712546</v>
      </c>
      <c r="AN73" s="24"/>
      <c r="AO73" s="24"/>
      <c r="AP73" s="44"/>
      <c r="AQ73" s="27"/>
      <c r="AR73" s="27"/>
      <c r="AS73" s="44"/>
      <c r="AT73" s="2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37">
        <f t="shared" si="4"/>
        <v>0</v>
      </c>
      <c r="BH73" s="44"/>
      <c r="BI73" s="37">
        <f t="shared" si="5"/>
        <v>0</v>
      </c>
      <c r="BJ73" s="44"/>
      <c r="BK73" s="44"/>
      <c r="BL73" s="44"/>
      <c r="BM73" s="44"/>
      <c r="BN73" s="44"/>
      <c r="BO73" s="44"/>
      <c r="BP73" s="44"/>
      <c r="BQ73" s="37">
        <f>BP73+BO73+BM73+BK73+BI73+BG73+BE73+BA73+AW73+AS73+AM73+AL73</f>
        <v>372999.17392712546</v>
      </c>
      <c r="BR73" s="37">
        <f>BQ73/$D$7</f>
        <v>372999.17392712546</v>
      </c>
      <c r="BS73" s="39">
        <f>(O73+P73)/$D$7</f>
        <v>958.5425101214574</v>
      </c>
      <c r="BT73" s="44"/>
      <c r="BU73" s="44"/>
    </row>
    <row r="74" spans="1:73" s="56" customFormat="1" ht="11.25">
      <c r="A74" s="68"/>
      <c r="B74" s="55" t="s">
        <v>22</v>
      </c>
      <c r="C74" s="55"/>
      <c r="D74" s="55"/>
      <c r="E74" s="55"/>
      <c r="F74" s="57"/>
      <c r="G74" s="58"/>
      <c r="H74" s="58"/>
      <c r="I74" s="58"/>
      <c r="J74" s="66">
        <f>SUM(J73)</f>
        <v>120</v>
      </c>
      <c r="K74" s="66"/>
      <c r="L74" s="66">
        <f aca="true" t="shared" si="100" ref="L74:BM74">SUM(L73)</f>
        <v>120</v>
      </c>
      <c r="M74" s="66">
        <f t="shared" si="100"/>
        <v>0</v>
      </c>
      <c r="N74" s="66">
        <f t="shared" si="100"/>
        <v>1</v>
      </c>
      <c r="O74" s="66">
        <f t="shared" si="100"/>
        <v>0</v>
      </c>
      <c r="P74" s="66">
        <f t="shared" si="100"/>
        <v>958.5425101214574</v>
      </c>
      <c r="Q74" s="66"/>
      <c r="R74" s="66"/>
      <c r="S74" s="66"/>
      <c r="T74" s="66"/>
      <c r="U74" s="66">
        <f t="shared" si="100"/>
        <v>0</v>
      </c>
      <c r="V74" s="66">
        <f t="shared" si="100"/>
        <v>0</v>
      </c>
      <c r="W74" s="66">
        <f t="shared" si="100"/>
        <v>0</v>
      </c>
      <c r="X74" s="66">
        <f t="shared" si="100"/>
        <v>0</v>
      </c>
      <c r="Y74" s="66">
        <f t="shared" si="100"/>
        <v>0</v>
      </c>
      <c r="Z74" s="66">
        <f t="shared" si="100"/>
        <v>4734.51012145749</v>
      </c>
      <c r="AA74" s="66">
        <f t="shared" si="100"/>
        <v>0</v>
      </c>
      <c r="AB74" s="66">
        <f t="shared" si="100"/>
        <v>0</v>
      </c>
      <c r="AC74" s="66"/>
      <c r="AD74" s="66">
        <f t="shared" si="100"/>
        <v>0</v>
      </c>
      <c r="AE74" s="66">
        <f t="shared" si="100"/>
        <v>248561.7813765182</v>
      </c>
      <c r="AF74" s="66">
        <f t="shared" si="100"/>
        <v>0</v>
      </c>
      <c r="AG74" s="66">
        <f t="shared" si="100"/>
        <v>36823.967611336026</v>
      </c>
      <c r="AH74" s="66">
        <f t="shared" si="100"/>
        <v>0</v>
      </c>
      <c r="AI74" s="66">
        <f t="shared" si="100"/>
        <v>285385.7489878542</v>
      </c>
      <c r="AJ74" s="66">
        <f t="shared" si="100"/>
        <v>0</v>
      </c>
      <c r="AK74" s="66">
        <f t="shared" si="100"/>
        <v>87613.42493927125</v>
      </c>
      <c r="AL74" s="66">
        <f t="shared" si="100"/>
        <v>0</v>
      </c>
      <c r="AM74" s="66">
        <f t="shared" si="100"/>
        <v>372999.17392712546</v>
      </c>
      <c r="AN74" s="25"/>
      <c r="AO74" s="66"/>
      <c r="AP74" s="66">
        <f t="shared" si="100"/>
        <v>0</v>
      </c>
      <c r="AQ74" s="66"/>
      <c r="AR74" s="66"/>
      <c r="AS74" s="66">
        <f t="shared" si="100"/>
        <v>0</v>
      </c>
      <c r="AT74" s="66"/>
      <c r="AU74" s="66">
        <f t="shared" si="100"/>
        <v>0</v>
      </c>
      <c r="AV74" s="66"/>
      <c r="AW74" s="66">
        <f t="shared" si="100"/>
        <v>0</v>
      </c>
      <c r="AX74" s="66"/>
      <c r="AY74" s="66">
        <f t="shared" si="100"/>
        <v>0</v>
      </c>
      <c r="AZ74" s="66"/>
      <c r="BA74" s="66">
        <f t="shared" si="100"/>
        <v>0</v>
      </c>
      <c r="BB74" s="66"/>
      <c r="BC74" s="66">
        <f t="shared" si="100"/>
        <v>0</v>
      </c>
      <c r="BD74" s="66"/>
      <c r="BE74" s="66">
        <f t="shared" si="100"/>
        <v>0</v>
      </c>
      <c r="BF74" s="66"/>
      <c r="BG74" s="66">
        <f t="shared" si="100"/>
        <v>0</v>
      </c>
      <c r="BH74" s="66"/>
      <c r="BI74" s="66">
        <f t="shared" si="100"/>
        <v>0</v>
      </c>
      <c r="BJ74" s="66"/>
      <c r="BK74" s="66">
        <f t="shared" si="100"/>
        <v>0</v>
      </c>
      <c r="BL74" s="66"/>
      <c r="BM74" s="66">
        <f t="shared" si="100"/>
        <v>0</v>
      </c>
      <c r="BN74" s="66"/>
      <c r="BO74" s="66">
        <f aca="true" t="shared" si="101" ref="BO74:BU74">SUM(BO73)</f>
        <v>0</v>
      </c>
      <c r="BP74" s="66">
        <f t="shared" si="101"/>
        <v>0</v>
      </c>
      <c r="BQ74" s="66">
        <f t="shared" si="101"/>
        <v>372999.17392712546</v>
      </c>
      <c r="BR74" s="66"/>
      <c r="BS74" s="66"/>
      <c r="BT74" s="66"/>
      <c r="BU74" s="66">
        <f t="shared" si="101"/>
        <v>0</v>
      </c>
    </row>
    <row r="75" spans="1:73" s="53" customFormat="1" ht="11.25">
      <c r="A75" s="50"/>
      <c r="B75" s="60" t="s">
        <v>25</v>
      </c>
      <c r="C75" s="60"/>
      <c r="D75" s="60"/>
      <c r="E75" s="60"/>
      <c r="F75" s="51"/>
      <c r="G75" s="52"/>
      <c r="H75" s="52"/>
      <c r="I75" s="52"/>
      <c r="J75" s="78">
        <f>J22+J30+J38+J45+J51+J58+J67+J71+J74</f>
        <v>210.82564619534187</v>
      </c>
      <c r="K75" s="78"/>
      <c r="L75" s="78">
        <f aca="true" t="shared" si="102" ref="L75:BM75">L22+L30+L38+L45+L51+L58+L67+L71+L74</f>
        <v>210.82564619534187</v>
      </c>
      <c r="M75" s="78">
        <f t="shared" si="102"/>
        <v>25</v>
      </c>
      <c r="N75" s="78">
        <f t="shared" si="102"/>
        <v>28</v>
      </c>
      <c r="O75" s="78">
        <f t="shared" si="102"/>
        <v>119.5995278621366</v>
      </c>
      <c r="P75" s="78">
        <f t="shared" si="102"/>
        <v>1650.9826016600264</v>
      </c>
      <c r="Q75" s="78"/>
      <c r="R75" s="78"/>
      <c r="S75" s="78"/>
      <c r="T75" s="78"/>
      <c r="U75" s="78">
        <f t="shared" si="102"/>
        <v>0</v>
      </c>
      <c r="V75" s="78">
        <f t="shared" si="102"/>
        <v>0</v>
      </c>
      <c r="W75" s="78">
        <f t="shared" si="102"/>
        <v>0</v>
      </c>
      <c r="X75" s="78">
        <f t="shared" si="102"/>
        <v>0</v>
      </c>
      <c r="Y75" s="78">
        <f t="shared" si="102"/>
        <v>1823.9644489930351</v>
      </c>
      <c r="Z75" s="78">
        <f t="shared" si="102"/>
        <v>8255.08614983255</v>
      </c>
      <c r="AA75" s="78">
        <f t="shared" si="102"/>
        <v>0</v>
      </c>
      <c r="AB75" s="78">
        <f t="shared" si="102"/>
        <v>0</v>
      </c>
      <c r="AC75" s="78"/>
      <c r="AD75" s="78">
        <f t="shared" si="102"/>
        <v>50159.02234730847</v>
      </c>
      <c r="AE75" s="78">
        <f t="shared" si="102"/>
        <v>433392.02286620886</v>
      </c>
      <c r="AF75" s="78">
        <f t="shared" si="102"/>
        <v>7430.966273675327</v>
      </c>
      <c r="AG75" s="78">
        <f t="shared" si="102"/>
        <v>64206.22560980871</v>
      </c>
      <c r="AH75" s="78">
        <f t="shared" si="102"/>
        <v>57589.98862098379</v>
      </c>
      <c r="AI75" s="78">
        <f t="shared" si="102"/>
        <v>497598.24847601756</v>
      </c>
      <c r="AJ75" s="78">
        <f t="shared" si="102"/>
        <v>17680.126506642027</v>
      </c>
      <c r="AK75" s="78">
        <f t="shared" si="102"/>
        <v>152762.6622821374</v>
      </c>
      <c r="AL75" s="78">
        <f t="shared" si="102"/>
        <v>75270.11512762582</v>
      </c>
      <c r="AM75" s="78">
        <f t="shared" si="102"/>
        <v>650360.9107581549</v>
      </c>
      <c r="AN75" s="25"/>
      <c r="AO75" s="78"/>
      <c r="AP75" s="78">
        <f t="shared" si="102"/>
        <v>11.2156128</v>
      </c>
      <c r="AQ75" s="78"/>
      <c r="AR75" s="78"/>
      <c r="AS75" s="78">
        <f t="shared" si="102"/>
        <v>107306.32463424</v>
      </c>
      <c r="AT75" s="78"/>
      <c r="AU75" s="78">
        <f t="shared" si="102"/>
        <v>30</v>
      </c>
      <c r="AV75" s="78"/>
      <c r="AW75" s="78">
        <f t="shared" si="102"/>
        <v>314305.1893247261</v>
      </c>
      <c r="AX75" s="78"/>
      <c r="AY75" s="78">
        <f t="shared" si="102"/>
        <v>60.6</v>
      </c>
      <c r="AZ75" s="78"/>
      <c r="BA75" s="78">
        <f t="shared" si="102"/>
        <v>80220</v>
      </c>
      <c r="BB75" s="78"/>
      <c r="BC75" s="78">
        <f t="shared" si="102"/>
        <v>2.9299999999999997</v>
      </c>
      <c r="BD75" s="78"/>
      <c r="BE75" s="78">
        <f t="shared" si="102"/>
        <v>976.5263991999999</v>
      </c>
      <c r="BF75" s="78"/>
      <c r="BG75" s="78">
        <f t="shared" si="102"/>
        <v>8149.409448631192</v>
      </c>
      <c r="BH75" s="78"/>
      <c r="BI75" s="78">
        <f t="shared" si="102"/>
        <v>5859.702400570073</v>
      </c>
      <c r="BJ75" s="78"/>
      <c r="BK75" s="78">
        <f t="shared" si="102"/>
        <v>9533.804697739972</v>
      </c>
      <c r="BL75" s="78"/>
      <c r="BM75" s="78">
        <f t="shared" si="102"/>
        <v>1409.0603937582118</v>
      </c>
      <c r="BN75" s="78"/>
      <c r="BO75" s="78">
        <f aca="true" t="shared" si="103" ref="BO75:BU75">BO22+BO30+BO38+BO45+BO51+BO58+BO67+BO71+BO74</f>
        <v>628.3127004694944</v>
      </c>
      <c r="BP75" s="78">
        <f t="shared" si="103"/>
        <v>3590.860679943705</v>
      </c>
      <c r="BQ75" s="78">
        <f t="shared" si="103"/>
        <v>1257610.2165650595</v>
      </c>
      <c r="BR75" s="78"/>
      <c r="BS75" s="78"/>
      <c r="BT75" s="78"/>
      <c r="BU75" s="78">
        <f t="shared" si="103"/>
        <v>95.51556941602131</v>
      </c>
    </row>
    <row r="76" ht="11.25"/>
    <row r="77" ht="11.25">
      <c r="P77" s="18">
        <f>O75+P75</f>
        <v>1770.582129522163</v>
      </c>
    </row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2" ht="11.25"/>
    <row r="93" ht="11.25"/>
    <row r="95" ht="11.25"/>
  </sheetData>
  <sheetProtection/>
  <mergeCells count="133">
    <mergeCell ref="D37:E37"/>
    <mergeCell ref="D40:E40"/>
    <mergeCell ref="D56:E56"/>
    <mergeCell ref="D70:E70"/>
    <mergeCell ref="D35:E35"/>
    <mergeCell ref="D57:E57"/>
    <mergeCell ref="D60:E60"/>
    <mergeCell ref="D61:E61"/>
    <mergeCell ref="B68:E68"/>
    <mergeCell ref="D69:E69"/>
    <mergeCell ref="BB10:BE11"/>
    <mergeCell ref="BK13:BK14"/>
    <mergeCell ref="BJ12:BK12"/>
    <mergeCell ref="BN12:BO12"/>
    <mergeCell ref="D32:E32"/>
    <mergeCell ref="R13:R14"/>
    <mergeCell ref="S13:S14"/>
    <mergeCell ref="AQ12:AQ14"/>
    <mergeCell ref="Q12:R12"/>
    <mergeCell ref="AA12:AB12"/>
    <mergeCell ref="W13:W14"/>
    <mergeCell ref="X13:X14"/>
    <mergeCell ref="AX10:BA11"/>
    <mergeCell ref="AU12:AU14"/>
    <mergeCell ref="AV12:AV14"/>
    <mergeCell ref="U10:V11"/>
    <mergeCell ref="W10:X11"/>
    <mergeCell ref="Y10:Z11"/>
    <mergeCell ref="AA10:AB11"/>
    <mergeCell ref="AJ13:AJ14"/>
    <mergeCell ref="BB12:BB14"/>
    <mergeCell ref="S12:T12"/>
    <mergeCell ref="T13:T14"/>
    <mergeCell ref="AL12:AL14"/>
    <mergeCell ref="AI12:AI14"/>
    <mergeCell ref="Y13:Y14"/>
    <mergeCell ref="W12:X12"/>
    <mergeCell ref="Z13:Z14"/>
    <mergeCell ref="U12:U14"/>
    <mergeCell ref="V12:V14"/>
    <mergeCell ref="A10:A14"/>
    <mergeCell ref="B10:E11"/>
    <mergeCell ref="F10:F14"/>
    <mergeCell ref="G10:G14"/>
    <mergeCell ref="B12:B14"/>
    <mergeCell ref="C12:E12"/>
    <mergeCell ref="C13:C14"/>
    <mergeCell ref="D13:D14"/>
    <mergeCell ref="E13:E14"/>
    <mergeCell ref="M10:N11"/>
    <mergeCell ref="O10:P11"/>
    <mergeCell ref="Q10:T11"/>
    <mergeCell ref="H10:I11"/>
    <mergeCell ref="J10:J14"/>
    <mergeCell ref="K10:K14"/>
    <mergeCell ref="L10:L14"/>
    <mergeCell ref="H12:H14"/>
    <mergeCell ref="I12:I14"/>
    <mergeCell ref="Q13:Q14"/>
    <mergeCell ref="BQ12:BQ14"/>
    <mergeCell ref="BF12:BG12"/>
    <mergeCell ref="BH12:BI12"/>
    <mergeCell ref="BI13:BI14"/>
    <mergeCell ref="BJ13:BJ14"/>
    <mergeCell ref="BG13:BG14"/>
    <mergeCell ref="BH13:BH14"/>
    <mergeCell ref="BP12:BP14"/>
    <mergeCell ref="BF13:BF14"/>
    <mergeCell ref="BO13:BO14"/>
    <mergeCell ref="AA13:AA14"/>
    <mergeCell ref="AJ12:AK12"/>
    <mergeCell ref="AK13:AK14"/>
    <mergeCell ref="AH12:AH14"/>
    <mergeCell ref="AF12:AG12"/>
    <mergeCell ref="AB13:AB14"/>
    <mergeCell ref="AF13:AF14"/>
    <mergeCell ref="AC12:AC14"/>
    <mergeCell ref="AN12:AN14"/>
    <mergeCell ref="BL13:BL14"/>
    <mergeCell ref="BM13:BM14"/>
    <mergeCell ref="BN13:BN14"/>
    <mergeCell ref="AN10:AS11"/>
    <mergeCell ref="BE12:BE14"/>
    <mergeCell ref="AW12:AW14"/>
    <mergeCell ref="AS12:AS14"/>
    <mergeCell ref="AT12:AT14"/>
    <mergeCell ref="BD12:BD14"/>
    <mergeCell ref="BC12:BC14"/>
    <mergeCell ref="BT10:BU11"/>
    <mergeCell ref="BT12:BT14"/>
    <mergeCell ref="BU12:BU14"/>
    <mergeCell ref="AT10:AW11"/>
    <mergeCell ref="BJ10:BP11"/>
    <mergeCell ref="BQ10:BR11"/>
    <mergeCell ref="BL12:BM12"/>
    <mergeCell ref="BR12:BR14"/>
    <mergeCell ref="BF10:BI11"/>
    <mergeCell ref="BS10:BS14"/>
    <mergeCell ref="B31:E31"/>
    <mergeCell ref="O12:P12"/>
    <mergeCell ref="B15:E15"/>
    <mergeCell ref="B16:E16"/>
    <mergeCell ref="B23:E23"/>
    <mergeCell ref="M12:M14"/>
    <mergeCell ref="N12:N14"/>
    <mergeCell ref="O13:O14"/>
    <mergeCell ref="P13:P14"/>
    <mergeCell ref="D28:E28"/>
    <mergeCell ref="B72:E72"/>
    <mergeCell ref="B39:E39"/>
    <mergeCell ref="B46:E46"/>
    <mergeCell ref="B52:E52"/>
    <mergeCell ref="B59:E59"/>
    <mergeCell ref="D62:E62"/>
    <mergeCell ref="D63:E63"/>
    <mergeCell ref="D66:E66"/>
    <mergeCell ref="D65:E65"/>
    <mergeCell ref="AZ12:AZ14"/>
    <mergeCell ref="BA12:BA14"/>
    <mergeCell ref="AO12:AO14"/>
    <mergeCell ref="AR12:AR14"/>
    <mergeCell ref="AX12:AX14"/>
    <mergeCell ref="AP12:AP14"/>
    <mergeCell ref="AM12:AM14"/>
    <mergeCell ref="AY12:AY14"/>
    <mergeCell ref="AF10:AG11"/>
    <mergeCell ref="AJ10:AK11"/>
    <mergeCell ref="AH10:AI11"/>
    <mergeCell ref="AD12:AD14"/>
    <mergeCell ref="AE12:AE14"/>
    <mergeCell ref="AG13:AG14"/>
    <mergeCell ref="AL10:AM11"/>
    <mergeCell ref="AC10:AE11"/>
  </mergeCells>
  <conditionalFormatting sqref="AP64:AQ64 AS17:AS21 AP17:AQ21 AN31:AS33 AP24:AQ27 AS24:AS27 H16:I75 AP29:AQ29 AS29 AP34:AQ34 AS34 AP28:AS28 AP36:AQ36 AS36 AP40:AQ44 AS40:AS44 AN52:AS52 AP47:AQ50 AS47:AS50 AP53:AQ55 AS53:AS55 AS64 AN46:AS46 AN23:AS23 AN59:AS63 AN37:AS37 AN56:AS57 U73:AE73 AN65:AS66 U69:AE70 U52:AM57 U60:AE66 U23:AM29 AF46:AM50 AF59:AM66 O52:P52 J74:BU75 K31:L31 K39:L39 K52:L52 K68:L68 K23:L23 G74:G75 G16 G22:G23 G30:G31 G38:G39 G45:G46 G51:G52 G58:G59 G67:G68 G71:G72 K16:L16 K46:L46 K59:L59 K67:BU67 O23:P23 O59:P59 M31:N37 O31:P31 R23 S23:T24 R31:R32 R16 R46 R52 R59:R62 T68:AE68 T46:AE46 T52:T55 U47:AE50 T59:AE59 K45:BU45 T72:AE72 U17:AM21 U32:AM37 O46:P46 U16:AS16 S16:T21 O72:P72 Q16:Q21 S25:S29 O16:P16 Q23:Q29 K22:BU22 Q31:Q37 R37 S31:S37 M72:N73 K38:BU38 S46:S50 Q46:Q50 O39:P39 S52:S57 R56:R57 Q52:Q57 S59:S66 R66 Q59:Q66 K58:BU58 Q68:S70 Q72:S73 T31:AM31 K71:BU71 M16:N21 M23:N29 K30:BU30 M39:N44 M46:N50 K51:BU51 O68:P68 M52:N57 K72:L72 M59:N66 M68:N70 Q39:Q44 AP35:AS35 AF68:BU70 AF72:BU73 J16:J73 R39:AS39 S40:S44 U40:AM44 AT31:BU37 AT46:BU50 AT52:BU57 AT59:BU66 AT16:BU21 AT23:BU29 AT39:BU44">
    <cfRule type="cellIs" priority="2" dxfId="0" operator="greaterThan" stopIfTrue="1">
      <formula>0</formula>
    </cfRule>
  </conditionalFormatting>
  <conditionalFormatting sqref="AN17:AN21 AN24:AN29 AN34:AN36 AN40:AN44 AN47:AN50 AN53:AN55 AN64 K17:K21 K24:K29 K32:K37 K40:K44 K47:K50 K53:K57 K60:K66 K69:K70 K73">
    <cfRule type="cellIs" priority="3" dxfId="10" operator="greaterThan" stopIfTrue="1">
      <formula>0</formula>
    </cfRule>
  </conditionalFormatting>
  <conditionalFormatting sqref="E24:E27 E17:E22 D40 E29 E40:E44 E64 E53:E55 E33:E34 E36 E47:E50">
    <cfRule type="cellIs" priority="4" dxfId="33" operator="equal" stopIfTrue="1">
      <formula>0</formula>
    </cfRule>
  </conditionalFormatting>
  <conditionalFormatting sqref="O69:P70 O24:P29 O17:P21 O40:P44 O47:P50 O53:P57 O60:P66 O32:P37 O73:P73">
    <cfRule type="cellIs" priority="5" dxfId="35" operator="greaterThan" stopIfTrue="1">
      <formula>0</formula>
    </cfRule>
  </conditionalFormatting>
  <conditionalFormatting sqref="BD47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AQ17:AQ21 AQ64 AQ24:AQ27 AQ29 AQ34 AQ36 AQ40:AQ44 AQ47:AQ50 AQ53:AQ55">
      <formula1>#REF!</formula1>
    </dataValidation>
  </dataValidations>
  <printOptions/>
  <pageMargins left="0.1968503937007874" right="0.15748031496062992" top="0.2362204724409449" bottom="0.15748031496062992" header="0.2362204724409449" footer="0.15748031496062992"/>
  <pageSetup fitToWidth="3" horizontalDpi="600" verticalDpi="600" orientation="landscape" paperSize="9" scale="49" r:id="rId3"/>
  <headerFooter alignWithMargins="0">
    <oddFooter>&amp;LОтдел СЭР села ЯНИИСХ</oddFooter>
  </headerFooter>
  <colBreaks count="1" manualBreakCount="1">
    <brk id="39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Z38"/>
  <sheetViews>
    <sheetView view="pageBreakPreview" zoomScale="80" zoomScaleSheetLayoutView="80" workbookViewId="0" topLeftCell="A1">
      <selection activeCell="A2" sqref="A1:IV16384"/>
    </sheetView>
  </sheetViews>
  <sheetFormatPr defaultColWidth="9.00390625" defaultRowHeight="12.75"/>
  <cols>
    <col min="1" max="1" width="54.75390625" style="99" customWidth="1"/>
    <col min="2" max="3" width="12.125" style="99" customWidth="1"/>
    <col min="4" max="4" width="10.875" style="99" bestFit="1" customWidth="1"/>
    <col min="5" max="5" width="9.25390625" style="99" bestFit="1" customWidth="1"/>
    <col min="6" max="16384" width="9.125" style="99" customWidth="1"/>
  </cols>
  <sheetData>
    <row r="1" spans="1:78" s="1" customFormat="1" ht="16.5" customHeight="1">
      <c r="A1" s="420" t="s">
        <v>654</v>
      </c>
      <c r="B1" s="420"/>
      <c r="C1" s="420"/>
      <c r="D1" s="420"/>
      <c r="F1" s="2"/>
      <c r="H1" s="100"/>
      <c r="S1" s="3"/>
      <c r="AT1" s="4"/>
      <c r="AU1" s="101"/>
      <c r="AV1" s="101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ht="12.75">
      <c r="A2" s="48"/>
      <c r="B2" s="48"/>
      <c r="C2" s="48"/>
      <c r="F2" s="2"/>
      <c r="H2" s="100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ht="12.75">
      <c r="A3" s="100"/>
      <c r="B3" s="100"/>
      <c r="C3" s="100"/>
      <c r="F3" s="2"/>
      <c r="H3" s="100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>
      <c r="A4" s="48" t="s">
        <v>127</v>
      </c>
      <c r="B4" s="48"/>
      <c r="C4" s="48"/>
      <c r="F4" s="2"/>
      <c r="H4" s="48"/>
      <c r="N4" s="48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>
      <c r="A5" s="48" t="s">
        <v>410</v>
      </c>
      <c r="B5" s="48"/>
      <c r="C5" s="48"/>
      <c r="F5" s="2"/>
      <c r="H5" s="48"/>
      <c r="N5" s="48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7" s="1" customFormat="1" ht="12.75" customHeight="1">
      <c r="A6" s="48" t="s">
        <v>409</v>
      </c>
      <c r="B6" s="199">
        <f>'О-КР'!D7</f>
        <v>1</v>
      </c>
      <c r="F6" s="4"/>
      <c r="M6" s="48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7" s="1" customFormat="1" ht="12.75" customHeight="1">
      <c r="A7" s="1" t="s">
        <v>398</v>
      </c>
      <c r="B7" s="3">
        <f>'О-КР'!I7</f>
        <v>250</v>
      </c>
      <c r="D7" s="2"/>
      <c r="M7" s="48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7" s="1" customFormat="1" ht="12.75" customHeight="1">
      <c r="A8" s="47" t="s">
        <v>400</v>
      </c>
      <c r="B8" s="77">
        <f>B6*B7</f>
        <v>250</v>
      </c>
      <c r="D8" s="2"/>
      <c r="M8" s="48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5" customFormat="1" ht="12.75" customHeight="1">
      <c r="A9" s="102"/>
      <c r="B9" s="102"/>
      <c r="C9" s="102"/>
      <c r="F9" s="104"/>
      <c r="G9" s="1"/>
      <c r="H9" s="103"/>
      <c r="M9" s="1"/>
      <c r="N9" s="1"/>
      <c r="P9" s="1"/>
      <c r="S9" s="106"/>
      <c r="AT9" s="107"/>
      <c r="AU9" s="107"/>
      <c r="AV9" s="107"/>
      <c r="AW9" s="107"/>
      <c r="AX9" s="107"/>
      <c r="AY9" s="107"/>
      <c r="AZ9" s="107"/>
      <c r="BA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8"/>
    </row>
    <row r="10" spans="1:4" s="91" customFormat="1" ht="33.75" customHeight="1">
      <c r="A10" s="109"/>
      <c r="B10" s="89" t="s">
        <v>25</v>
      </c>
      <c r="C10" s="90" t="s">
        <v>378</v>
      </c>
      <c r="D10" s="90" t="s">
        <v>382</v>
      </c>
    </row>
    <row r="11" spans="1:4" s="95" customFormat="1" ht="12.75">
      <c r="A11" s="92" t="s">
        <v>397</v>
      </c>
      <c r="B11" s="93">
        <f>'О-КР'!AL75+'О-КР'!AM75</f>
        <v>725631.0258857808</v>
      </c>
      <c r="C11" s="94">
        <f aca="true" t="shared" si="0" ref="C11:C27">B11/$B$6</f>
        <v>725631.0258857808</v>
      </c>
      <c r="D11" s="113">
        <f aca="true" t="shared" si="1" ref="D11:D26">B11/$B$27%</f>
        <v>57.66842402682876</v>
      </c>
    </row>
    <row r="12" spans="1:4" s="95" customFormat="1" ht="12.75">
      <c r="A12" s="96" t="s">
        <v>393</v>
      </c>
      <c r="B12" s="94">
        <v>228420</v>
      </c>
      <c r="C12" s="94">
        <f t="shared" si="0"/>
        <v>228420</v>
      </c>
      <c r="D12" s="113">
        <f t="shared" si="1"/>
        <v>18.15333268051535</v>
      </c>
    </row>
    <row r="13" spans="1:4" s="95" customFormat="1" ht="12.75">
      <c r="A13" s="96" t="s">
        <v>394</v>
      </c>
      <c r="B13" s="94">
        <f>'О-КР'!BA75</f>
        <v>80220</v>
      </c>
      <c r="C13" s="94">
        <f t="shared" si="0"/>
        <v>80220</v>
      </c>
      <c r="D13" s="113">
        <f t="shared" si="1"/>
        <v>6.37536269867324</v>
      </c>
    </row>
    <row r="14" spans="1:4" s="95" customFormat="1" ht="12.75">
      <c r="A14" s="96" t="s">
        <v>405</v>
      </c>
      <c r="B14" s="94">
        <f>'О-КР'!BE75</f>
        <v>976.5263991999999</v>
      </c>
      <c r="C14" s="94">
        <f t="shared" si="0"/>
        <v>976.5263991999999</v>
      </c>
      <c r="D14" s="113">
        <f t="shared" si="1"/>
        <v>0.07760795287620759</v>
      </c>
    </row>
    <row r="15" spans="1:4" s="95" customFormat="1" ht="12.75">
      <c r="A15" s="96" t="s">
        <v>395</v>
      </c>
      <c r="B15" s="94">
        <f>B16+B19+B22</f>
        <v>136477.47495535263</v>
      </c>
      <c r="C15" s="94">
        <f t="shared" si="0"/>
        <v>136477.47495535263</v>
      </c>
      <c r="D15" s="113">
        <f t="shared" si="1"/>
        <v>10.846340102710876</v>
      </c>
    </row>
    <row r="16" spans="1:4" ht="12.75">
      <c r="A16" s="97" t="s">
        <v>376</v>
      </c>
      <c r="B16" s="98">
        <f>SUM(B17:B18)</f>
        <v>14009.111849201265</v>
      </c>
      <c r="C16" s="98">
        <f t="shared" si="0"/>
        <v>14009.111849201265</v>
      </c>
      <c r="D16" s="114">
        <f t="shared" si="1"/>
        <v>1.1133528936043262</v>
      </c>
    </row>
    <row r="17" spans="1:4" ht="12.75">
      <c r="A17" s="110" t="s">
        <v>383</v>
      </c>
      <c r="B17" s="98">
        <f>'О-КР'!BG75</f>
        <v>8149.409448631192</v>
      </c>
      <c r="C17" s="98">
        <f t="shared" si="0"/>
        <v>8149.409448631192</v>
      </c>
      <c r="D17" s="114">
        <f t="shared" si="1"/>
        <v>0.6476619423462797</v>
      </c>
    </row>
    <row r="18" spans="1:4" ht="12.75">
      <c r="A18" s="110" t="s">
        <v>384</v>
      </c>
      <c r="B18" s="98">
        <f>'О-КР'!BI75</f>
        <v>5859.702400570073</v>
      </c>
      <c r="C18" s="98">
        <f t="shared" si="0"/>
        <v>5859.702400570073</v>
      </c>
      <c r="D18" s="114">
        <f t="shared" si="1"/>
        <v>0.46569095125804644</v>
      </c>
    </row>
    <row r="19" spans="1:4" ht="12.75">
      <c r="A19" s="97" t="s">
        <v>377</v>
      </c>
      <c r="B19" s="98">
        <f>SUM(B20:B21)</f>
        <v>15162.038471911383</v>
      </c>
      <c r="C19" s="98">
        <f t="shared" si="0"/>
        <v>15162.038471911383</v>
      </c>
      <c r="D19" s="114">
        <f t="shared" si="1"/>
        <v>1.2049799864082829</v>
      </c>
    </row>
    <row r="20" spans="1:4" ht="12.75">
      <c r="A20" s="110" t="s">
        <v>383</v>
      </c>
      <c r="B20" s="98">
        <f>'О-КР'!BK75+'О-КР'!BM75+'О-КР'!BO75</f>
        <v>11571.177791967679</v>
      </c>
      <c r="C20" s="98">
        <f t="shared" si="0"/>
        <v>11571.177791967679</v>
      </c>
      <c r="D20" s="114">
        <f t="shared" si="1"/>
        <v>0.9196017860212781</v>
      </c>
    </row>
    <row r="21" spans="1:4" ht="12.75">
      <c r="A21" s="110" t="s">
        <v>384</v>
      </c>
      <c r="B21" s="98">
        <f>'О-КР'!BP75</f>
        <v>3590.860679943705</v>
      </c>
      <c r="C21" s="98">
        <f t="shared" si="0"/>
        <v>3590.860679943705</v>
      </c>
      <c r="D21" s="114">
        <f t="shared" si="1"/>
        <v>0.2853782003870048</v>
      </c>
    </row>
    <row r="22" spans="1:4" ht="12.75">
      <c r="A22" s="97" t="s">
        <v>368</v>
      </c>
      <c r="B22" s="116">
        <f>'О-КР'!AS75</f>
        <v>107306.32463424</v>
      </c>
      <c r="C22" s="98">
        <f t="shared" si="0"/>
        <v>107306.32463424</v>
      </c>
      <c r="D22" s="114">
        <f t="shared" si="1"/>
        <v>8.528007222698267</v>
      </c>
    </row>
    <row r="23" spans="1:4" s="95" customFormat="1" ht="12.75">
      <c r="A23" s="96" t="s">
        <v>385</v>
      </c>
      <c r="B23" s="94">
        <f>SUM(B24:B24)</f>
        <v>225.29333333333335</v>
      </c>
      <c r="C23" s="94">
        <f t="shared" si="0"/>
        <v>225.29333333333335</v>
      </c>
      <c r="D23" s="113">
        <f t="shared" si="1"/>
        <v>0.017904845594528672</v>
      </c>
    </row>
    <row r="24" spans="1:4" ht="12.75">
      <c r="A24" s="110" t="s">
        <v>408</v>
      </c>
      <c r="B24" s="98">
        <f>(400*B6/1000*33794/15)*25%</f>
        <v>225.29333333333335</v>
      </c>
      <c r="C24" s="98">
        <f t="shared" si="0"/>
        <v>225.29333333333335</v>
      </c>
      <c r="D24" s="114">
        <f t="shared" si="1"/>
        <v>0.017904845594528672</v>
      </c>
    </row>
    <row r="25" spans="1:4" s="95" customFormat="1" ht="12.75">
      <c r="A25" s="96" t="s">
        <v>386</v>
      </c>
      <c r="B25" s="94">
        <f>B11+B12+B13+B15+B23+B14</f>
        <v>1171950.3205736668</v>
      </c>
      <c r="C25" s="94">
        <f t="shared" si="0"/>
        <v>1171950.3205736668</v>
      </c>
      <c r="D25" s="113">
        <f t="shared" si="1"/>
        <v>93.13897230719897</v>
      </c>
    </row>
    <row r="26" spans="1:6" s="95" customFormat="1" ht="12.75">
      <c r="A26" s="96" t="s">
        <v>387</v>
      </c>
      <c r="B26" s="94">
        <f>(B25-B12-B13)*10%</f>
        <v>86331.03205736668</v>
      </c>
      <c r="C26" s="94">
        <f t="shared" si="0"/>
        <v>86331.03205736668</v>
      </c>
      <c r="D26" s="113">
        <f t="shared" si="1"/>
        <v>6.861027692801038</v>
      </c>
      <c r="E26" s="94">
        <f>B11/2.55</f>
        <v>284561.18662187486</v>
      </c>
      <c r="F26" s="288"/>
    </row>
    <row r="27" spans="1:4" s="95" customFormat="1" ht="12.75">
      <c r="A27" s="96" t="s">
        <v>388</v>
      </c>
      <c r="B27" s="94">
        <f>B25+B26</f>
        <v>1258281.3526310334</v>
      </c>
      <c r="C27" s="94">
        <f t="shared" si="0"/>
        <v>1258281.3526310334</v>
      </c>
      <c r="D27" s="113">
        <f>D25+D26</f>
        <v>100</v>
      </c>
    </row>
    <row r="28" spans="1:4" ht="12.75">
      <c r="A28" s="97" t="s">
        <v>389</v>
      </c>
      <c r="B28" s="98">
        <f>B27/B6</f>
        <v>1258281.3526310334</v>
      </c>
      <c r="C28" s="98"/>
      <c r="D28" s="98"/>
    </row>
    <row r="29" spans="1:4" ht="12.75">
      <c r="A29" s="97" t="s">
        <v>390</v>
      </c>
      <c r="B29" s="191">
        <f>B27/(B8)</f>
        <v>5033.125410524133</v>
      </c>
      <c r="C29" s="98"/>
      <c r="D29" s="98"/>
    </row>
    <row r="30" spans="1:4" ht="12.75">
      <c r="A30" s="97" t="s">
        <v>391</v>
      </c>
      <c r="B30" s="98">
        <f>'О-КР'!O75+'О-КР'!P75</f>
        <v>1770.582129522163</v>
      </c>
      <c r="C30" s="98"/>
      <c r="D30" s="98"/>
    </row>
    <row r="31" spans="1:4" ht="12.75">
      <c r="A31" s="110" t="s">
        <v>378</v>
      </c>
      <c r="B31" s="98">
        <f>B30/B6</f>
        <v>1770.582129522163</v>
      </c>
      <c r="C31" s="98"/>
      <c r="D31" s="98"/>
    </row>
    <row r="32" spans="1:4" ht="12.75">
      <c r="A32" s="110" t="s">
        <v>379</v>
      </c>
      <c r="B32" s="98">
        <f>B30/B8</f>
        <v>7.082328518088652</v>
      </c>
      <c r="C32" s="98"/>
      <c r="D32" s="98"/>
    </row>
    <row r="33" spans="1:4" ht="12.75">
      <c r="A33" s="97" t="s">
        <v>399</v>
      </c>
      <c r="B33" s="98">
        <f>('О-КР'!AH75+'О-КР'!AI75)/B30</f>
        <v>313.5625441147049</v>
      </c>
      <c r="C33" s="98"/>
      <c r="D33" s="98"/>
    </row>
    <row r="34" spans="1:4" ht="12.75">
      <c r="A34" s="111" t="s">
        <v>380</v>
      </c>
      <c r="B34" s="98">
        <f>'О-КР'!AH75/'О-КР'!O75</f>
        <v>481.5235448702462</v>
      </c>
      <c r="C34" s="98"/>
      <c r="D34" s="98"/>
    </row>
    <row r="35" spans="1:4" ht="12.75">
      <c r="A35" s="112" t="s">
        <v>381</v>
      </c>
      <c r="B35" s="98">
        <f>'О-КР'!AI75/'О-КР'!P75</f>
        <v>301.39521032849984</v>
      </c>
      <c r="C35" s="98"/>
      <c r="D35" s="98"/>
    </row>
    <row r="36" spans="1:4" ht="12.75">
      <c r="A36" s="97" t="s">
        <v>392</v>
      </c>
      <c r="B36" s="98">
        <f>B33*'Исх.данные'!B6</f>
        <v>51554.90829485939</v>
      </c>
      <c r="C36" s="98"/>
      <c r="D36" s="98"/>
    </row>
    <row r="37" spans="1:4" ht="12.75">
      <c r="A37" s="111" t="s">
        <v>380</v>
      </c>
      <c r="B37" s="116">
        <f>B34*'Исх.данные'!B6</f>
        <v>79170.49616908298</v>
      </c>
      <c r="C37" s="97"/>
      <c r="D37" s="97"/>
    </row>
    <row r="38" spans="1:4" ht="12.75" customHeight="1">
      <c r="A38" s="112" t="s">
        <v>381</v>
      </c>
      <c r="B38" s="116">
        <f>B35*'Исх.данные'!B6</f>
        <v>49554.39583151085</v>
      </c>
      <c r="C38" s="97"/>
      <c r="D38" s="9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scale="97" r:id="rId2"/>
  <headerFooter alignWithMargins="0">
    <oddFooter>&amp;LОтдел СЭР села ЯНИИСХ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U76"/>
  <sheetViews>
    <sheetView view="pageBreakPreview" zoomScale="80" zoomScaleSheetLayoutView="80" workbookViewId="0" topLeftCell="A1">
      <pane xSplit="5" ySplit="16" topLeftCell="G56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B2" sqref="B2"/>
    </sheetView>
  </sheetViews>
  <sheetFormatPr defaultColWidth="9.00390625" defaultRowHeight="12.75"/>
  <cols>
    <col min="1" max="1" width="3.875" style="15" customWidth="1"/>
    <col min="2" max="2" width="28.75390625" style="13" customWidth="1"/>
    <col min="3" max="3" width="5.375" style="13" customWidth="1"/>
    <col min="4" max="4" width="7.25390625" style="13" customWidth="1"/>
    <col min="5" max="5" width="8.75390625" style="13" bestFit="1" customWidth="1"/>
    <col min="6" max="6" width="6.875" style="15" customWidth="1"/>
    <col min="7" max="7" width="6.125" style="13" customWidth="1"/>
    <col min="8" max="8" width="7.125" style="13" customWidth="1"/>
    <col min="9" max="9" width="7.75390625" style="13" customWidth="1"/>
    <col min="10" max="10" width="8.75390625" style="13" customWidth="1"/>
    <col min="11" max="11" width="7.75390625" style="13" customWidth="1"/>
    <col min="12" max="12" width="6.125" style="13" customWidth="1"/>
    <col min="13" max="13" width="6.75390625" style="13" customWidth="1"/>
    <col min="14" max="14" width="7.25390625" style="13" customWidth="1"/>
    <col min="15" max="16" width="6.125" style="13" customWidth="1"/>
    <col min="17" max="17" width="6.125" style="18" customWidth="1"/>
    <col min="18" max="20" width="6.125" style="13" customWidth="1"/>
    <col min="21" max="22" width="6.875" style="13" customWidth="1"/>
    <col min="23" max="25" width="6.125" style="13" customWidth="1"/>
    <col min="26" max="26" width="8.875" style="13" customWidth="1"/>
    <col min="27" max="27" width="6.125" style="13" customWidth="1"/>
    <col min="28" max="30" width="6.00390625" style="13" customWidth="1"/>
    <col min="31" max="31" width="8.125" style="13" customWidth="1"/>
    <col min="32" max="32" width="6.00390625" style="13" customWidth="1"/>
    <col min="33" max="33" width="6.125" style="13" customWidth="1"/>
    <col min="34" max="35" width="8.25390625" style="13" customWidth="1"/>
    <col min="36" max="36" width="6.125" style="13" customWidth="1"/>
    <col min="37" max="37" width="8.25390625" style="13" customWidth="1"/>
    <col min="38" max="38" width="7.75390625" style="13" customWidth="1"/>
    <col min="39" max="39" width="8.25390625" style="13" customWidth="1"/>
    <col min="40" max="41" width="6.125" style="13" customWidth="1"/>
    <col min="42" max="42" width="7.25390625" style="16" customWidth="1"/>
    <col min="43" max="44" width="8.75390625" style="45" customWidth="1"/>
    <col min="45" max="45" width="9.625" style="16" customWidth="1"/>
    <col min="46" max="46" width="8.375" style="13" customWidth="1"/>
    <col min="47" max="48" width="7.375" style="16" customWidth="1"/>
    <col min="49" max="49" width="10.75390625" style="16" customWidth="1"/>
    <col min="50" max="52" width="7.375" style="16" customWidth="1"/>
    <col min="53" max="53" width="9.00390625" style="16" customWidth="1"/>
    <col min="54" max="68" width="7.375" style="16" customWidth="1"/>
    <col min="69" max="69" width="8.625" style="16" customWidth="1"/>
    <col min="70" max="70" width="8.75390625" style="16" customWidth="1"/>
    <col min="71" max="71" width="7.375" style="16" customWidth="1"/>
    <col min="72" max="72" width="9.00390625" style="17" customWidth="1"/>
    <col min="73" max="16384" width="9.125" style="13" customWidth="1"/>
  </cols>
  <sheetData>
    <row r="1" spans="2:72" s="7" customFormat="1" ht="15.75">
      <c r="B1" s="49" t="s">
        <v>667</v>
      </c>
      <c r="E1" s="8"/>
      <c r="G1" s="6"/>
      <c r="I1" s="1"/>
      <c r="Q1" s="46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1"/>
    </row>
    <row r="2" spans="2:72" s="7" customFormat="1" ht="15.75">
      <c r="B2" s="49" t="s">
        <v>51</v>
      </c>
      <c r="E2" s="8"/>
      <c r="G2" s="6"/>
      <c r="Q2" s="46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1"/>
    </row>
    <row r="3" spans="2:72" s="7" customFormat="1" ht="15.75">
      <c r="B3" s="6"/>
      <c r="E3" s="8"/>
      <c r="G3" s="6"/>
      <c r="Q3" s="46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1"/>
    </row>
    <row r="4" spans="2:72" s="1" customFormat="1" ht="12.75" customHeight="1">
      <c r="B4" s="48" t="s">
        <v>86</v>
      </c>
      <c r="E4" s="2"/>
      <c r="G4" s="48"/>
      <c r="L4" s="48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2:72" s="1" customFormat="1" ht="12.75" customHeight="1">
      <c r="B5" s="48" t="s">
        <v>422</v>
      </c>
      <c r="E5" s="2"/>
      <c r="G5" s="48"/>
      <c r="L5" s="48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2:72" s="1" customFormat="1" ht="12.75" customHeight="1">
      <c r="B6" s="48" t="s">
        <v>426</v>
      </c>
      <c r="E6" s="2"/>
      <c r="G6" s="48"/>
      <c r="L6" s="48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2:72" s="1" customFormat="1" ht="12.75" customHeight="1">
      <c r="B7" s="48" t="s">
        <v>409</v>
      </c>
      <c r="D7" s="1">
        <v>10</v>
      </c>
      <c r="E7" s="2"/>
      <c r="L7" s="48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5"/>
    </row>
    <row r="8" spans="2:44" ht="12.75" customHeight="1">
      <c r="B8" s="47" t="s">
        <v>400</v>
      </c>
      <c r="D8" s="13">
        <f>D7*D9</f>
        <v>2500</v>
      </c>
      <c r="E8" s="14"/>
      <c r="F8" s="7"/>
      <c r="G8" s="12"/>
      <c r="K8" s="7"/>
      <c r="L8" s="7"/>
      <c r="N8" s="7"/>
      <c r="Q8" s="15"/>
      <c r="AQ8" s="16"/>
      <c r="AR8" s="16"/>
    </row>
    <row r="9" spans="1:44" ht="12.75" customHeight="1">
      <c r="A9" s="47"/>
      <c r="B9" s="1" t="s">
        <v>401</v>
      </c>
      <c r="C9" s="48"/>
      <c r="D9" s="201">
        <f>Нормы!B33</f>
        <v>250</v>
      </c>
      <c r="F9" s="12"/>
      <c r="K9" s="7"/>
      <c r="L9" s="7"/>
      <c r="N9" s="7"/>
      <c r="Q9" s="15"/>
      <c r="AQ9" s="16"/>
      <c r="AR9" s="16"/>
    </row>
    <row r="10" spans="1:73" s="6" customFormat="1" ht="39.75" customHeight="1">
      <c r="A10" s="421" t="s">
        <v>50</v>
      </c>
      <c r="B10" s="392" t="s">
        <v>47</v>
      </c>
      <c r="C10" s="392"/>
      <c r="D10" s="392"/>
      <c r="E10" s="392"/>
      <c r="F10" s="421" t="s">
        <v>16</v>
      </c>
      <c r="G10" s="421" t="s">
        <v>30</v>
      </c>
      <c r="H10" s="392" t="s">
        <v>26</v>
      </c>
      <c r="I10" s="392"/>
      <c r="J10" s="421" t="s">
        <v>29</v>
      </c>
      <c r="K10" s="421" t="s">
        <v>35</v>
      </c>
      <c r="L10" s="421" t="s">
        <v>34</v>
      </c>
      <c r="M10" s="392" t="s">
        <v>31</v>
      </c>
      <c r="N10" s="392"/>
      <c r="O10" s="392" t="s">
        <v>340</v>
      </c>
      <c r="P10" s="392"/>
      <c r="Q10" s="392" t="s">
        <v>339</v>
      </c>
      <c r="R10" s="392"/>
      <c r="S10" s="392"/>
      <c r="T10" s="392"/>
      <c r="U10" s="392" t="s">
        <v>341</v>
      </c>
      <c r="V10" s="392"/>
      <c r="W10" s="392" t="s">
        <v>342</v>
      </c>
      <c r="X10" s="392"/>
      <c r="Y10" s="392" t="s">
        <v>343</v>
      </c>
      <c r="Z10" s="392"/>
      <c r="AA10" s="392" t="s">
        <v>344</v>
      </c>
      <c r="AB10" s="392"/>
      <c r="AC10" s="384" t="s">
        <v>472</v>
      </c>
      <c r="AD10" s="385"/>
      <c r="AE10" s="386"/>
      <c r="AF10" s="392" t="s">
        <v>199</v>
      </c>
      <c r="AG10" s="392"/>
      <c r="AH10" s="392" t="s">
        <v>345</v>
      </c>
      <c r="AI10" s="392"/>
      <c r="AJ10" s="392" t="s">
        <v>346</v>
      </c>
      <c r="AK10" s="392"/>
      <c r="AL10" s="392" t="s">
        <v>347</v>
      </c>
      <c r="AM10" s="392"/>
      <c r="AN10" s="392" t="s">
        <v>13</v>
      </c>
      <c r="AO10" s="392"/>
      <c r="AP10" s="392"/>
      <c r="AQ10" s="392"/>
      <c r="AR10" s="392"/>
      <c r="AS10" s="392"/>
      <c r="AT10" s="392" t="s">
        <v>427</v>
      </c>
      <c r="AU10" s="392"/>
      <c r="AV10" s="392"/>
      <c r="AW10" s="392"/>
      <c r="AX10" s="392" t="s">
        <v>355</v>
      </c>
      <c r="AY10" s="392"/>
      <c r="AZ10" s="392"/>
      <c r="BA10" s="392"/>
      <c r="BB10" s="392" t="s">
        <v>402</v>
      </c>
      <c r="BC10" s="392"/>
      <c r="BD10" s="392"/>
      <c r="BE10" s="392"/>
      <c r="BF10" s="392" t="s">
        <v>41</v>
      </c>
      <c r="BG10" s="392"/>
      <c r="BH10" s="392"/>
      <c r="BI10" s="392"/>
      <c r="BJ10" s="392" t="s">
        <v>337</v>
      </c>
      <c r="BK10" s="392"/>
      <c r="BL10" s="392"/>
      <c r="BM10" s="392"/>
      <c r="BN10" s="392"/>
      <c r="BO10" s="392"/>
      <c r="BP10" s="392"/>
      <c r="BQ10" s="392" t="s">
        <v>44</v>
      </c>
      <c r="BR10" s="392"/>
      <c r="BS10" s="392" t="s">
        <v>351</v>
      </c>
      <c r="BT10" s="428" t="s">
        <v>52</v>
      </c>
      <c r="BU10" s="428"/>
    </row>
    <row r="11" spans="1:73" s="6" customFormat="1" ht="40.5" customHeight="1">
      <c r="A11" s="421"/>
      <c r="B11" s="392"/>
      <c r="C11" s="392"/>
      <c r="D11" s="392"/>
      <c r="E11" s="392"/>
      <c r="F11" s="421"/>
      <c r="G11" s="421"/>
      <c r="H11" s="392"/>
      <c r="I11" s="392"/>
      <c r="J11" s="421"/>
      <c r="K11" s="421"/>
      <c r="L11" s="421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87"/>
      <c r="AD11" s="388"/>
      <c r="AE11" s="389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428"/>
      <c r="BU11" s="428"/>
    </row>
    <row r="12" spans="1:73" s="6" customFormat="1" ht="39" customHeight="1">
      <c r="A12" s="421"/>
      <c r="B12" s="392" t="s">
        <v>12</v>
      </c>
      <c r="C12" s="392" t="s">
        <v>36</v>
      </c>
      <c r="D12" s="392"/>
      <c r="E12" s="392"/>
      <c r="F12" s="421"/>
      <c r="G12" s="421"/>
      <c r="H12" s="421" t="s">
        <v>27</v>
      </c>
      <c r="I12" s="421" t="s">
        <v>28</v>
      </c>
      <c r="J12" s="421"/>
      <c r="K12" s="421"/>
      <c r="L12" s="421"/>
      <c r="M12" s="421" t="s">
        <v>32</v>
      </c>
      <c r="N12" s="421" t="s">
        <v>33</v>
      </c>
      <c r="O12" s="426">
        <f>'Исх.данные'!B10</f>
        <v>7.987854251012146</v>
      </c>
      <c r="P12" s="399"/>
      <c r="Q12" s="392" t="s">
        <v>32</v>
      </c>
      <c r="R12" s="392"/>
      <c r="S12" s="392" t="s">
        <v>33</v>
      </c>
      <c r="T12" s="392"/>
      <c r="U12" s="421" t="s">
        <v>17</v>
      </c>
      <c r="V12" s="421" t="s">
        <v>18</v>
      </c>
      <c r="W12" s="427">
        <v>0</v>
      </c>
      <c r="X12" s="427"/>
      <c r="Y12" s="75">
        <v>0.1</v>
      </c>
      <c r="Z12" s="75">
        <v>0.05</v>
      </c>
      <c r="AA12" s="423"/>
      <c r="AB12" s="423"/>
      <c r="AC12" s="378" t="s">
        <v>19</v>
      </c>
      <c r="AD12" s="378" t="s">
        <v>17</v>
      </c>
      <c r="AE12" s="378" t="s">
        <v>18</v>
      </c>
      <c r="AF12" s="423">
        <f>(((((AD74/O74)*'Исх.данные'!B6)/29.25*(52/12)))/((AD74/O74)*'Исх.данные'!B6))</f>
        <v>0.14814814814814814</v>
      </c>
      <c r="AG12" s="423"/>
      <c r="AH12" s="421" t="s">
        <v>17</v>
      </c>
      <c r="AI12" s="421" t="s">
        <v>18</v>
      </c>
      <c r="AJ12" s="423">
        <v>0.307</v>
      </c>
      <c r="AK12" s="423"/>
      <c r="AL12" s="421" t="s">
        <v>17</v>
      </c>
      <c r="AM12" s="421" t="s">
        <v>18</v>
      </c>
      <c r="AN12" s="421" t="s">
        <v>353</v>
      </c>
      <c r="AO12" s="421" t="s">
        <v>38</v>
      </c>
      <c r="AP12" s="422" t="s">
        <v>45</v>
      </c>
      <c r="AQ12" s="422" t="s">
        <v>39</v>
      </c>
      <c r="AR12" s="422" t="s">
        <v>348</v>
      </c>
      <c r="AS12" s="422" t="s">
        <v>349</v>
      </c>
      <c r="AT12" s="421" t="s">
        <v>428</v>
      </c>
      <c r="AU12" s="422" t="s">
        <v>429</v>
      </c>
      <c r="AV12" s="422" t="s">
        <v>430</v>
      </c>
      <c r="AW12" s="422" t="s">
        <v>349</v>
      </c>
      <c r="AX12" s="421" t="s">
        <v>241</v>
      </c>
      <c r="AY12" s="422" t="s">
        <v>222</v>
      </c>
      <c r="AZ12" s="422" t="s">
        <v>350</v>
      </c>
      <c r="BA12" s="422" t="s">
        <v>349</v>
      </c>
      <c r="BB12" s="421" t="s">
        <v>452</v>
      </c>
      <c r="BC12" s="422" t="s">
        <v>453</v>
      </c>
      <c r="BD12" s="422" t="s">
        <v>454</v>
      </c>
      <c r="BE12" s="422" t="s">
        <v>349</v>
      </c>
      <c r="BF12" s="428" t="s">
        <v>42</v>
      </c>
      <c r="BG12" s="428"/>
      <c r="BH12" s="428" t="s">
        <v>43</v>
      </c>
      <c r="BI12" s="428"/>
      <c r="BJ12" s="428" t="s">
        <v>332</v>
      </c>
      <c r="BK12" s="428"/>
      <c r="BL12" s="428" t="s">
        <v>333</v>
      </c>
      <c r="BM12" s="428"/>
      <c r="BN12" s="428" t="s">
        <v>334</v>
      </c>
      <c r="BO12" s="428"/>
      <c r="BP12" s="421" t="s">
        <v>335</v>
      </c>
      <c r="BQ12" s="422" t="s">
        <v>336</v>
      </c>
      <c r="BR12" s="422" t="s">
        <v>352</v>
      </c>
      <c r="BS12" s="392"/>
      <c r="BT12" s="422" t="s">
        <v>46</v>
      </c>
      <c r="BU12" s="422" t="s">
        <v>15</v>
      </c>
    </row>
    <row r="13" spans="1:73" s="6" customFormat="1" ht="48" customHeight="1">
      <c r="A13" s="421"/>
      <c r="B13" s="392"/>
      <c r="C13" s="421" t="s">
        <v>37</v>
      </c>
      <c r="D13" s="421" t="s">
        <v>49</v>
      </c>
      <c r="E13" s="421" t="s">
        <v>48</v>
      </c>
      <c r="F13" s="421"/>
      <c r="G13" s="421"/>
      <c r="H13" s="421"/>
      <c r="I13" s="421"/>
      <c r="J13" s="421"/>
      <c r="K13" s="421"/>
      <c r="L13" s="421"/>
      <c r="M13" s="421"/>
      <c r="N13" s="421"/>
      <c r="O13" s="421" t="s">
        <v>32</v>
      </c>
      <c r="P13" s="421" t="s">
        <v>33</v>
      </c>
      <c r="Q13" s="429" t="s">
        <v>20</v>
      </c>
      <c r="R13" s="421" t="s">
        <v>21</v>
      </c>
      <c r="S13" s="429" t="s">
        <v>20</v>
      </c>
      <c r="T13" s="421" t="s">
        <v>21</v>
      </c>
      <c r="U13" s="421"/>
      <c r="V13" s="421"/>
      <c r="W13" s="421" t="s">
        <v>17</v>
      </c>
      <c r="X13" s="421" t="s">
        <v>18</v>
      </c>
      <c r="Y13" s="421" t="s">
        <v>208</v>
      </c>
      <c r="Z13" s="421" t="s">
        <v>209</v>
      </c>
      <c r="AA13" s="421" t="s">
        <v>17</v>
      </c>
      <c r="AB13" s="421" t="s">
        <v>18</v>
      </c>
      <c r="AC13" s="379"/>
      <c r="AD13" s="379"/>
      <c r="AE13" s="379"/>
      <c r="AF13" s="421" t="s">
        <v>17</v>
      </c>
      <c r="AG13" s="421" t="s">
        <v>18</v>
      </c>
      <c r="AH13" s="421"/>
      <c r="AI13" s="421"/>
      <c r="AJ13" s="421" t="s">
        <v>17</v>
      </c>
      <c r="AK13" s="421" t="s">
        <v>18</v>
      </c>
      <c r="AL13" s="421"/>
      <c r="AM13" s="421"/>
      <c r="AN13" s="421"/>
      <c r="AO13" s="421"/>
      <c r="AP13" s="422"/>
      <c r="AQ13" s="422"/>
      <c r="AR13" s="422"/>
      <c r="AS13" s="422"/>
      <c r="AT13" s="421"/>
      <c r="AU13" s="422"/>
      <c r="AV13" s="422"/>
      <c r="AW13" s="422"/>
      <c r="AX13" s="421"/>
      <c r="AY13" s="422"/>
      <c r="AZ13" s="422"/>
      <c r="BA13" s="422"/>
      <c r="BB13" s="421"/>
      <c r="BC13" s="422"/>
      <c r="BD13" s="422"/>
      <c r="BE13" s="422"/>
      <c r="BF13" s="381" t="s">
        <v>572</v>
      </c>
      <c r="BG13" s="381" t="s">
        <v>338</v>
      </c>
      <c r="BH13" s="381" t="s">
        <v>572</v>
      </c>
      <c r="BI13" s="381" t="s">
        <v>338</v>
      </c>
      <c r="BJ13" s="422" t="s">
        <v>331</v>
      </c>
      <c r="BK13" s="422" t="s">
        <v>338</v>
      </c>
      <c r="BL13" s="422" t="s">
        <v>331</v>
      </c>
      <c r="BM13" s="422" t="s">
        <v>338</v>
      </c>
      <c r="BN13" s="422" t="s">
        <v>331</v>
      </c>
      <c r="BO13" s="422" t="s">
        <v>338</v>
      </c>
      <c r="BP13" s="421"/>
      <c r="BQ13" s="422"/>
      <c r="BR13" s="422"/>
      <c r="BS13" s="392"/>
      <c r="BT13" s="422"/>
      <c r="BU13" s="422"/>
    </row>
    <row r="14" spans="1:73" s="6" customFormat="1" ht="76.5" customHeight="1">
      <c r="A14" s="421"/>
      <c r="B14" s="392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9"/>
      <c r="R14" s="421"/>
      <c r="S14" s="429"/>
      <c r="T14" s="421"/>
      <c r="U14" s="421"/>
      <c r="V14" s="421"/>
      <c r="W14" s="421"/>
      <c r="X14" s="421"/>
      <c r="Y14" s="421"/>
      <c r="Z14" s="421"/>
      <c r="AA14" s="421"/>
      <c r="AB14" s="421"/>
      <c r="AC14" s="380"/>
      <c r="AD14" s="380"/>
      <c r="AE14" s="380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2"/>
      <c r="AQ14" s="422"/>
      <c r="AR14" s="422"/>
      <c r="AS14" s="422"/>
      <c r="AT14" s="421"/>
      <c r="AU14" s="422"/>
      <c r="AV14" s="422"/>
      <c r="AW14" s="422"/>
      <c r="AX14" s="421"/>
      <c r="AY14" s="422"/>
      <c r="AZ14" s="422"/>
      <c r="BA14" s="422"/>
      <c r="BB14" s="421"/>
      <c r="BC14" s="422"/>
      <c r="BD14" s="422"/>
      <c r="BE14" s="422"/>
      <c r="BF14" s="383"/>
      <c r="BG14" s="383"/>
      <c r="BH14" s="383"/>
      <c r="BI14" s="383"/>
      <c r="BJ14" s="422"/>
      <c r="BK14" s="422"/>
      <c r="BL14" s="422"/>
      <c r="BM14" s="422"/>
      <c r="BN14" s="422"/>
      <c r="BO14" s="422"/>
      <c r="BP14" s="421"/>
      <c r="BQ14" s="422"/>
      <c r="BR14" s="422"/>
      <c r="BS14" s="392"/>
      <c r="BT14" s="422"/>
      <c r="BU14" s="422"/>
    </row>
    <row r="15" spans="1:73" ht="11.25">
      <c r="A15" s="20">
        <f>COLUMN(A15)</f>
        <v>1</v>
      </c>
      <c r="B15" s="424">
        <f>COLUMN(B15)</f>
        <v>2</v>
      </c>
      <c r="C15" s="424"/>
      <c r="D15" s="424"/>
      <c r="E15" s="424"/>
      <c r="F15" s="20">
        <v>3</v>
      </c>
      <c r="G15" s="20">
        <f>F15+1</f>
        <v>4</v>
      </c>
      <c r="H15" s="20">
        <f aca="true" t="shared" si="0" ref="H15:BU15">G15+1</f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 t="shared" si="0"/>
        <v>53</v>
      </c>
      <c r="BE15" s="20">
        <f t="shared" si="0"/>
        <v>54</v>
      </c>
      <c r="BF15" s="20">
        <f t="shared" si="0"/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20">
        <f t="shared" si="0"/>
        <v>59</v>
      </c>
      <c r="BK15" s="20">
        <f t="shared" si="0"/>
        <v>60</v>
      </c>
      <c r="BL15" s="20">
        <f t="shared" si="0"/>
        <v>61</v>
      </c>
      <c r="BM15" s="20">
        <f t="shared" si="0"/>
        <v>62</v>
      </c>
      <c r="BN15" s="20">
        <f t="shared" si="0"/>
        <v>63</v>
      </c>
      <c r="BO15" s="20">
        <f t="shared" si="0"/>
        <v>64</v>
      </c>
      <c r="BP15" s="20">
        <f t="shared" si="0"/>
        <v>65</v>
      </c>
      <c r="BQ15" s="20">
        <f t="shared" si="0"/>
        <v>66</v>
      </c>
      <c r="BR15" s="20">
        <f t="shared" si="0"/>
        <v>67</v>
      </c>
      <c r="BS15" s="20">
        <f t="shared" si="0"/>
        <v>68</v>
      </c>
      <c r="BT15" s="20">
        <f t="shared" si="0"/>
        <v>69</v>
      </c>
      <c r="BU15" s="20">
        <f t="shared" si="0"/>
        <v>70</v>
      </c>
    </row>
    <row r="16" spans="1:73" s="7" customFormat="1" ht="11.25">
      <c r="A16" s="21"/>
      <c r="B16" s="399" t="s">
        <v>92</v>
      </c>
      <c r="C16" s="399"/>
      <c r="D16" s="399"/>
      <c r="E16" s="399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6"/>
      <c r="AQ16" s="27"/>
      <c r="AR16" s="27"/>
      <c r="AS16" s="26"/>
      <c r="AT16" s="24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4"/>
    </row>
    <row r="17" spans="1:73" ht="11.25">
      <c r="A17" s="19">
        <v>1</v>
      </c>
      <c r="B17" s="28" t="s">
        <v>87</v>
      </c>
      <c r="C17" s="30"/>
      <c r="D17" s="31" t="s">
        <v>133</v>
      </c>
      <c r="E17" s="32" t="s">
        <v>174</v>
      </c>
      <c r="F17" s="29" t="s">
        <v>134</v>
      </c>
      <c r="G17" s="30">
        <f>D7*2</f>
        <v>20</v>
      </c>
      <c r="H17" s="30"/>
      <c r="I17" s="30"/>
      <c r="J17" s="160">
        <v>2</v>
      </c>
      <c r="K17" s="150">
        <v>16</v>
      </c>
      <c r="L17" s="148">
        <f>G17/K17</f>
        <v>1.25</v>
      </c>
      <c r="M17" s="149">
        <f>L17/J17</f>
        <v>0.625</v>
      </c>
      <c r="N17" s="149"/>
      <c r="O17" s="121">
        <f>IF(M17=0,0,L17*$O$12)</f>
        <v>9.984817813765183</v>
      </c>
      <c r="P17" s="121">
        <f>IF(N17=0,0,L17*$O$12)</f>
        <v>0</v>
      </c>
      <c r="Q17" s="149">
        <v>3</v>
      </c>
      <c r="R17" s="122">
        <f>IF(AND(O17&gt;0,Q17&gt;0),SUMIF('Исх.данные'!$C$14:H14,Q17,'Исх.данные'!$C$18:$H$18),IF(O17=0,0,IF(Q17=0,"РОТ")))</f>
        <v>138.29984794728838</v>
      </c>
      <c r="S17" s="149"/>
      <c r="T17" s="148"/>
      <c r="U17" s="144">
        <f>O17*R17*'Исх.данные'!$C$43%</f>
        <v>0</v>
      </c>
      <c r="V17" s="144">
        <f>P17*T17*'Исх.данные'!$C$44%</f>
        <v>0</v>
      </c>
      <c r="W17" s="144">
        <f>O17*R17*$W$12</f>
        <v>0</v>
      </c>
      <c r="X17" s="145">
        <f>P17*T17*$W$12</f>
        <v>0</v>
      </c>
      <c r="Y17" s="144">
        <f>(O17*R17+U17+W17)*$Y$12</f>
        <v>138.08987854251015</v>
      </c>
      <c r="Z17" s="145">
        <f>(P17*T17+V17+X17)*$Z$12</f>
        <v>0</v>
      </c>
      <c r="AA17" s="144">
        <f>(O17*R17+U17)*$AA$12</f>
        <v>0</v>
      </c>
      <c r="AB17" s="145">
        <f>(P17*T17+V17)*$AA$12</f>
        <v>0</v>
      </c>
      <c r="AC17" s="143">
        <v>2.5</v>
      </c>
      <c r="AD17" s="144">
        <f>(O17*R17+U17+W17+Y17+AA17)*AC17</f>
        <v>3797.4716599190288</v>
      </c>
      <c r="AE17" s="144">
        <f>(P17*T17+V17+X17+Z17+AB17)*AC17</f>
        <v>0</v>
      </c>
      <c r="AF17" s="121">
        <f>AD17*$AF$12</f>
        <v>562.5883940620784</v>
      </c>
      <c r="AG17" s="152">
        <f aca="true" t="shared" si="1" ref="AF17:AG21">AE17*$AF$12</f>
        <v>0</v>
      </c>
      <c r="AH17" s="121">
        <f aca="true" t="shared" si="2" ref="AH17:AI21">AD17+AF17</f>
        <v>4360.060053981108</v>
      </c>
      <c r="AI17" s="121">
        <f t="shared" si="2"/>
        <v>0</v>
      </c>
      <c r="AJ17" s="121">
        <f aca="true" t="shared" si="3" ref="AJ17:AK21">AH17*$AJ$12</f>
        <v>1338.5384365722</v>
      </c>
      <c r="AK17" s="152">
        <f t="shared" si="3"/>
        <v>0</v>
      </c>
      <c r="AL17" s="121">
        <f>AH17+AJ17</f>
        <v>5698.598490553308</v>
      </c>
      <c r="AM17" s="152">
        <f>AK17+AI17</f>
        <v>0</v>
      </c>
      <c r="AN17" s="150">
        <v>5.4</v>
      </c>
      <c r="AO17" s="148">
        <f>'Исх.данные'!C60</f>
        <v>0.84</v>
      </c>
      <c r="AP17" s="123">
        <f>(G17*AN17)*AO17/100</f>
        <v>0.9072</v>
      </c>
      <c r="AQ17" s="163" t="s">
        <v>186</v>
      </c>
      <c r="AR17" s="122">
        <f>'Исх.данные'!$G$85</f>
        <v>9559.371428571429</v>
      </c>
      <c r="AS17" s="115">
        <f>AP17*AR17</f>
        <v>8672.26176</v>
      </c>
      <c r="AT17" s="150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>
        <f>аморт!$H$10</f>
        <v>69.6969696969697</v>
      </c>
      <c r="BG17" s="115">
        <f>BF17*L17*$O$12</f>
        <v>695.9115445957551</v>
      </c>
      <c r="BH17" s="115">
        <f>аморт!$H$65</f>
        <v>72.63916666666667</v>
      </c>
      <c r="BI17" s="115">
        <f>BH17*L17*$O$12</f>
        <v>725.2888453103914</v>
      </c>
      <c r="BJ17" s="153">
        <f>'Исх.данные'!$E$89</f>
        <v>98.91196513535999</v>
      </c>
      <c r="BK17" s="115">
        <f>BJ17*BU17</f>
        <v>630.56377773792</v>
      </c>
      <c r="BL17" s="153">
        <f>'Исх.данные'!$E$94</f>
        <v>16.685392176959997</v>
      </c>
      <c r="BM17" s="115">
        <f>BL17*BU17</f>
        <v>106.36937512811998</v>
      </c>
      <c r="BN17" s="39">
        <f>'Исх.данные'!$E$99</f>
        <v>5.761862046719998</v>
      </c>
      <c r="BO17" s="115">
        <f>BN17*BU17</f>
        <v>36.73187054783999</v>
      </c>
      <c r="BP17" s="115">
        <f>аморт!$D$65*10%/аморт!$G$65*L17*O12</f>
        <v>507.702191717274</v>
      </c>
      <c r="BQ17" s="115">
        <f>AL17+AM17+AS17+AW17+BA17+BE17+BG17+BI17+BK17+BM17+BO17+BP17</f>
        <v>17073.42785559061</v>
      </c>
      <c r="BR17" s="115">
        <f>BQ17/$D$7</f>
        <v>1707.342785559061</v>
      </c>
      <c r="BS17" s="153">
        <f>(O17+P17)/$D$7</f>
        <v>0.9984817813765183</v>
      </c>
      <c r="BT17" s="153">
        <f>'Исх.данные'!$B$109</f>
        <v>5.1</v>
      </c>
      <c r="BU17" s="151">
        <f>BT17*L17</f>
        <v>6.375</v>
      </c>
    </row>
    <row r="18" spans="1:73" ht="11.25">
      <c r="A18" s="20">
        <f>A17+1</f>
        <v>2</v>
      </c>
      <c r="B18" s="28" t="s">
        <v>88</v>
      </c>
      <c r="C18" s="30"/>
      <c r="D18" s="31" t="s">
        <v>508</v>
      </c>
      <c r="E18" s="32" t="s">
        <v>175</v>
      </c>
      <c r="F18" s="29" t="s">
        <v>134</v>
      </c>
      <c r="G18" s="30">
        <f>D7</f>
        <v>10</v>
      </c>
      <c r="H18" s="30"/>
      <c r="I18" s="30"/>
      <c r="J18" s="160">
        <v>2</v>
      </c>
      <c r="K18" s="150">
        <v>4.05</v>
      </c>
      <c r="L18" s="148">
        <f>G18/K18</f>
        <v>2.469135802469136</v>
      </c>
      <c r="M18" s="149">
        <f>L18/J18</f>
        <v>1.234567901234568</v>
      </c>
      <c r="N18" s="149"/>
      <c r="O18" s="121">
        <f>IF(M18=0,0,L18*$O$12)</f>
        <v>19.723096916079374</v>
      </c>
      <c r="P18" s="121">
        <f>IF(N18=0,0,L18*$O$12)</f>
        <v>0</v>
      </c>
      <c r="Q18" s="149">
        <v>3</v>
      </c>
      <c r="R18" s="122">
        <f>IF(AND(O18&gt;0,Q18&gt;0),SUMIF('Исх.данные'!$C$14:H24,Q18,'Исх.данные'!$C$26:$H$26),IF(O18=0,0,IF(Q18=0,"РОТ")))</f>
        <v>169.91124176381146</v>
      </c>
      <c r="S18" s="149"/>
      <c r="T18" s="148"/>
      <c r="U18" s="144">
        <f>O18*R18*'Исх.данные'!$C$43%</f>
        <v>0</v>
      </c>
      <c r="V18" s="144">
        <f>P18*T18*'Исх.данные'!$C$44%</f>
        <v>0</v>
      </c>
      <c r="W18" s="144">
        <f>O18*R18*$W$12</f>
        <v>0</v>
      </c>
      <c r="X18" s="145">
        <f>P18*T18*$W$12</f>
        <v>0</v>
      </c>
      <c r="Y18" s="144">
        <f>(O18*R18+U18+W18)*$Y$12</f>
        <v>335.11758884390474</v>
      </c>
      <c r="Z18" s="145">
        <f>(P18*T18+V18+X18)*$Z$12</f>
        <v>0</v>
      </c>
      <c r="AA18" s="144">
        <f>(O18*R18+U18)*$AA$12</f>
        <v>0</v>
      </c>
      <c r="AB18" s="145">
        <f>(P18*T18+V18)*$AA$12</f>
        <v>0</v>
      </c>
      <c r="AC18" s="143">
        <v>2.5</v>
      </c>
      <c r="AD18" s="144">
        <f>(O18*R18+U18+W18+Y18+AA18)*AC18</f>
        <v>9215.73369320738</v>
      </c>
      <c r="AE18" s="144">
        <f>(P18*T18+V18+X18+Z18+AB18)*AC18</f>
        <v>0</v>
      </c>
      <c r="AF18" s="121">
        <f t="shared" si="1"/>
        <v>1365.2938804751673</v>
      </c>
      <c r="AG18" s="152">
        <f t="shared" si="1"/>
        <v>0</v>
      </c>
      <c r="AH18" s="121">
        <f t="shared" si="2"/>
        <v>10581.027573682546</v>
      </c>
      <c r="AI18" s="121">
        <f t="shared" si="2"/>
        <v>0</v>
      </c>
      <c r="AJ18" s="121">
        <f t="shared" si="3"/>
        <v>3248.375465120542</v>
      </c>
      <c r="AK18" s="152">
        <f t="shared" si="3"/>
        <v>0</v>
      </c>
      <c r="AL18" s="121">
        <f>AH18+AJ18</f>
        <v>13829.403038803088</v>
      </c>
      <c r="AM18" s="152">
        <f>AK18+AI18</f>
        <v>0</v>
      </c>
      <c r="AN18" s="150">
        <v>31.8</v>
      </c>
      <c r="AO18" s="148">
        <f>$AO$17</f>
        <v>0.84</v>
      </c>
      <c r="AP18" s="123">
        <f>(G18*AN18)*AO18/100</f>
        <v>2.6712000000000002</v>
      </c>
      <c r="AQ18" s="163" t="s">
        <v>186</v>
      </c>
      <c r="AR18" s="122">
        <f>'Исх.данные'!$F$85</f>
        <v>9573.371428571429</v>
      </c>
      <c r="AS18" s="115">
        <f>AP18*AR18</f>
        <v>25572.389760000002</v>
      </c>
      <c r="AT18" s="150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>
        <f>аморт!$H$12</f>
        <v>61.781971818181816</v>
      </c>
      <c r="BG18" s="115">
        <f>BF18*L18*$O$12</f>
        <v>1218.5318178364846</v>
      </c>
      <c r="BH18" s="159">
        <f>аморт!H68</f>
        <v>126.15384615384616</v>
      </c>
      <c r="BI18" s="115">
        <f>BH18*L18*$O$12</f>
        <v>2488.144534028475</v>
      </c>
      <c r="BJ18" s="153">
        <f>'Исх.данные'!$C$89</f>
        <v>101.43277978079999</v>
      </c>
      <c r="BK18" s="115">
        <f>BJ18*BU18</f>
        <v>2905.235173968593</v>
      </c>
      <c r="BL18" s="153">
        <f>'Исх.данные'!$C$94</f>
        <v>11.283646508159999</v>
      </c>
      <c r="BM18" s="115">
        <f>BL18*BU18</f>
        <v>323.18592467816296</v>
      </c>
      <c r="BN18" s="115">
        <f>'Исх.данные'!$C$99</f>
        <v>8.04259910688</v>
      </c>
      <c r="BO18" s="115">
        <f>BN18*BU18</f>
        <v>230.35592503656295</v>
      </c>
      <c r="BP18" s="115">
        <f>аморт!$D$68*10%/аморт!$G$68*L18*O12</f>
        <v>1244.0722670142375</v>
      </c>
      <c r="BQ18" s="115">
        <f>AL18+AM18+AS18+AW18+BA18+BE18+BG18+BI18+BK18+BM18+BO18+BP18</f>
        <v>47811.3184413656</v>
      </c>
      <c r="BR18" s="115">
        <f>BQ18/$D$7</f>
        <v>4781.13184413656</v>
      </c>
      <c r="BS18" s="153">
        <f>(O18+P18)/$D$7</f>
        <v>1.9723096916079375</v>
      </c>
      <c r="BT18" s="153">
        <f>'Исх.данные'!$B$113</f>
        <v>11.6</v>
      </c>
      <c r="BU18" s="151">
        <f>BT18*L18</f>
        <v>28.641975308641978</v>
      </c>
    </row>
    <row r="19" spans="1:73" ht="11.25">
      <c r="A19" s="20">
        <f>A18+1</f>
        <v>3</v>
      </c>
      <c r="B19" s="28" t="s">
        <v>89</v>
      </c>
      <c r="C19" s="30"/>
      <c r="D19" s="31" t="s">
        <v>508</v>
      </c>
      <c r="E19" s="32" t="s">
        <v>138</v>
      </c>
      <c r="F19" s="29" t="s">
        <v>134</v>
      </c>
      <c r="G19" s="30">
        <f>G18</f>
        <v>10</v>
      </c>
      <c r="H19" s="30"/>
      <c r="I19" s="30"/>
      <c r="J19" s="160">
        <v>1</v>
      </c>
      <c r="K19" s="150">
        <v>6.75</v>
      </c>
      <c r="L19" s="148">
        <f>G19/K19</f>
        <v>1.4814814814814814</v>
      </c>
      <c r="M19" s="149">
        <f>L19/J19</f>
        <v>1.4814814814814814</v>
      </c>
      <c r="N19" s="149"/>
      <c r="O19" s="121">
        <f>IF(M19=0,0,L19*$O$12)</f>
        <v>11.833858149647623</v>
      </c>
      <c r="P19" s="121">
        <f>IF(N19=0,0,L19*$O$12)</f>
        <v>0</v>
      </c>
      <c r="Q19" s="149">
        <v>5</v>
      </c>
      <c r="R19" s="122">
        <f>IF(AND(O19&gt;0,Q19&gt;0),SUMIF('Исх.данные'!$C$14:H25,Q19,'Исх.данные'!$C$26:$H$26),IF(O19=0,0,IF(Q19=0,"РОТ")))</f>
        <v>219.30404460212878</v>
      </c>
      <c r="S19" s="149"/>
      <c r="T19" s="148"/>
      <c r="U19" s="144">
        <f>O19*R19*'Исх.данные'!$C$43%</f>
        <v>0</v>
      </c>
      <c r="V19" s="144">
        <f>P19*T19*'Исх.данные'!$C$44%</f>
        <v>0</v>
      </c>
      <c r="W19" s="144">
        <f>O19*R19*$W$12</f>
        <v>0</v>
      </c>
      <c r="X19" s="145">
        <f>P19*T19*$W$12</f>
        <v>0</v>
      </c>
      <c r="Y19" s="144">
        <f>(O19*R19+U19+W19)*$Y$12</f>
        <v>259.52129554655875</v>
      </c>
      <c r="Z19" s="145">
        <f>(P19*T19+V19+X19)*$Z$12</f>
        <v>0</v>
      </c>
      <c r="AA19" s="144">
        <f>(O19*R19+U19)*$AA$12</f>
        <v>0</v>
      </c>
      <c r="AB19" s="145">
        <f>(P19*T19+V19)*$AA$12</f>
        <v>0</v>
      </c>
      <c r="AC19" s="143">
        <v>2.5</v>
      </c>
      <c r="AD19" s="144">
        <f>(O19*R19+U19+W19+Y19+AA19)*AC19</f>
        <v>7136.835627530365</v>
      </c>
      <c r="AE19" s="144">
        <f>(P19*T19+V19+X19+Z19+AB19)*AC19</f>
        <v>0</v>
      </c>
      <c r="AF19" s="121">
        <f t="shared" si="1"/>
        <v>1057.3089818563503</v>
      </c>
      <c r="AG19" s="152">
        <f t="shared" si="1"/>
        <v>0</v>
      </c>
      <c r="AH19" s="121">
        <f t="shared" si="2"/>
        <v>8194.144609386716</v>
      </c>
      <c r="AI19" s="121">
        <f t="shared" si="2"/>
        <v>0</v>
      </c>
      <c r="AJ19" s="121">
        <f t="shared" si="3"/>
        <v>2515.6023950817216</v>
      </c>
      <c r="AK19" s="152">
        <f t="shared" si="3"/>
        <v>0</v>
      </c>
      <c r="AL19" s="121">
        <f>AH19+AJ19</f>
        <v>10709.747004468438</v>
      </c>
      <c r="AM19" s="152">
        <f>AK19+AI19</f>
        <v>0</v>
      </c>
      <c r="AN19" s="150">
        <v>24.2</v>
      </c>
      <c r="AO19" s="148">
        <f>$AO$17</f>
        <v>0.84</v>
      </c>
      <c r="AP19" s="123">
        <f>(G19*AN19)*AO19/100</f>
        <v>2.0328</v>
      </c>
      <c r="AQ19" s="163" t="s">
        <v>186</v>
      </c>
      <c r="AR19" s="122">
        <f>'Исх.данные'!$F$85</f>
        <v>9573.371428571429</v>
      </c>
      <c r="AS19" s="115">
        <f>AP19*AR19</f>
        <v>19460.74944</v>
      </c>
      <c r="AT19" s="150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>
        <f>аморт!$H$12</f>
        <v>61.781971818181816</v>
      </c>
      <c r="BG19" s="115">
        <f>BF19*L19*$O$12</f>
        <v>731.1190907018906</v>
      </c>
      <c r="BH19" s="115">
        <f>аморт!$H$72</f>
        <v>16.941761627906978</v>
      </c>
      <c r="BI19" s="115">
        <f>BH19*L19*$O$12</f>
        <v>200.48640390979438</v>
      </c>
      <c r="BJ19" s="153">
        <f>'Исх.данные'!$C$89</f>
        <v>101.43277978079999</v>
      </c>
      <c r="BK19" s="115">
        <f>BJ19*BU19</f>
        <v>1743.1411043811552</v>
      </c>
      <c r="BL19" s="153">
        <f>'Исх.данные'!$C$94</f>
        <v>11.283646508159999</v>
      </c>
      <c r="BM19" s="115">
        <f>BL19*BU19</f>
        <v>193.91155480689773</v>
      </c>
      <c r="BN19" s="115">
        <f>'Исх.данные'!$C$99</f>
        <v>8.04259910688</v>
      </c>
      <c r="BO19" s="115">
        <f>BN19*BU19</f>
        <v>138.21355502193774</v>
      </c>
      <c r="BP19" s="115">
        <f>аморт!$D$72*10%/аморт!$G$72*L19*O12</f>
        <v>160.38912312783546</v>
      </c>
      <c r="BQ19" s="115">
        <f>AL19+AM19+AS19+AW19+BA19+BE19+BG19+BI19+BK19+BM19+BO19+BP19</f>
        <v>33337.75727641794</v>
      </c>
      <c r="BR19" s="115">
        <f>BQ19/$D$7</f>
        <v>3333.775727641794</v>
      </c>
      <c r="BS19" s="153">
        <f>(O19+P19)/$D$7</f>
        <v>1.1833858149647623</v>
      </c>
      <c r="BT19" s="153">
        <f>'Исх.данные'!$B$113</f>
        <v>11.6</v>
      </c>
      <c r="BU19" s="151">
        <f>BT19*L19</f>
        <v>17.185185185185183</v>
      </c>
    </row>
    <row r="20" spans="1:73" ht="11.25">
      <c r="A20" s="20">
        <f>A19+1</f>
        <v>4</v>
      </c>
      <c r="B20" s="28" t="s">
        <v>90</v>
      </c>
      <c r="C20" s="30"/>
      <c r="D20" s="31" t="s">
        <v>133</v>
      </c>
      <c r="E20" s="32" t="s">
        <v>174</v>
      </c>
      <c r="F20" s="29" t="s">
        <v>134</v>
      </c>
      <c r="G20" s="30">
        <f>D7*2</f>
        <v>20</v>
      </c>
      <c r="H20" s="30"/>
      <c r="I20" s="30"/>
      <c r="J20" s="160">
        <v>1.3</v>
      </c>
      <c r="K20" s="150">
        <v>16</v>
      </c>
      <c r="L20" s="148">
        <f>G20/K20</f>
        <v>1.25</v>
      </c>
      <c r="M20" s="149">
        <f>L20/J20</f>
        <v>0.9615384615384615</v>
      </c>
      <c r="N20" s="149"/>
      <c r="O20" s="121">
        <f>IF(M20=0,0,L20*$O$12)</f>
        <v>9.984817813765183</v>
      </c>
      <c r="P20" s="121">
        <f>IF(N20=0,0,L20*$O$12)</f>
        <v>0</v>
      </c>
      <c r="Q20" s="149">
        <v>3</v>
      </c>
      <c r="R20" s="122">
        <f>IF(AND(O20&gt;0,Q20&gt;0),SUMIF('Исх.данные'!$C$14:H17,Q20,'Исх.данные'!$C$18:$H$18),IF(O20=0,0,IF(Q20=0,"РОТ")))</f>
        <v>138.29984794728838</v>
      </c>
      <c r="S20" s="149"/>
      <c r="T20" s="148"/>
      <c r="U20" s="144">
        <f>O20*R20*'Исх.данные'!$C$43%</f>
        <v>0</v>
      </c>
      <c r="V20" s="144">
        <f>P20*T20*'Исх.данные'!$C$44%</f>
        <v>0</v>
      </c>
      <c r="W20" s="144">
        <f>O20*R20*$W$12</f>
        <v>0</v>
      </c>
      <c r="X20" s="145">
        <f>P20*T20*$W$12</f>
        <v>0</v>
      </c>
      <c r="Y20" s="144">
        <f>(O20*R20+U20+W20)*$Y$12</f>
        <v>138.08987854251015</v>
      </c>
      <c r="Z20" s="145">
        <f>(P20*T20+V20+X20)*$Z$12</f>
        <v>0</v>
      </c>
      <c r="AA20" s="144">
        <f>(O20*R20+U20)*$AA$12</f>
        <v>0</v>
      </c>
      <c r="AB20" s="145">
        <f>(P20*T20+V20)*$AA$12</f>
        <v>0</v>
      </c>
      <c r="AC20" s="143">
        <v>2.5</v>
      </c>
      <c r="AD20" s="144">
        <f>(O20*R20+U20+W20+Y20+AA20)*AC20</f>
        <v>3797.4716599190288</v>
      </c>
      <c r="AE20" s="144">
        <f>(P20*T20+V20+X20+Z20+AB20)*AC20</f>
        <v>0</v>
      </c>
      <c r="AF20" s="121">
        <f t="shared" si="1"/>
        <v>562.5883940620784</v>
      </c>
      <c r="AG20" s="152">
        <f t="shared" si="1"/>
        <v>0</v>
      </c>
      <c r="AH20" s="121">
        <f t="shared" si="2"/>
        <v>4360.060053981108</v>
      </c>
      <c r="AI20" s="121">
        <f t="shared" si="2"/>
        <v>0</v>
      </c>
      <c r="AJ20" s="121">
        <f t="shared" si="3"/>
        <v>1338.5384365722</v>
      </c>
      <c r="AK20" s="152">
        <f t="shared" si="3"/>
        <v>0</v>
      </c>
      <c r="AL20" s="121">
        <f>AH20+AJ20</f>
        <v>5698.598490553308</v>
      </c>
      <c r="AM20" s="152">
        <f>AK20+AI20</f>
        <v>0</v>
      </c>
      <c r="AN20" s="150">
        <v>5.4</v>
      </c>
      <c r="AO20" s="148">
        <f>$AO$17</f>
        <v>0.84</v>
      </c>
      <c r="AP20" s="123">
        <f>(G20*AN20)*AO20/100</f>
        <v>0.9072</v>
      </c>
      <c r="AQ20" s="163" t="s">
        <v>186</v>
      </c>
      <c r="AR20" s="122">
        <f>'Исх.данные'!$G$85</f>
        <v>9559.371428571429</v>
      </c>
      <c r="AS20" s="115">
        <f>AP20*AR20</f>
        <v>8672.26176</v>
      </c>
      <c r="AT20" s="150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>
        <f>аморт!$H$10</f>
        <v>69.6969696969697</v>
      </c>
      <c r="BG20" s="115">
        <f>BF20*L20*$O$12</f>
        <v>695.9115445957551</v>
      </c>
      <c r="BH20" s="115">
        <f>аморт!$H$65</f>
        <v>72.63916666666667</v>
      </c>
      <c r="BI20" s="115">
        <f>BH20*L20*$O$12</f>
        <v>725.2888453103914</v>
      </c>
      <c r="BJ20" s="153">
        <f>'Исх.данные'!$E$89</f>
        <v>98.91196513535999</v>
      </c>
      <c r="BK20" s="115">
        <f>BJ20*BU20</f>
        <v>630.56377773792</v>
      </c>
      <c r="BL20" s="153">
        <f>'Исх.данные'!$E$94</f>
        <v>16.685392176959997</v>
      </c>
      <c r="BM20" s="115">
        <f>BL20*BU20</f>
        <v>106.36937512811998</v>
      </c>
      <c r="BN20" s="39">
        <f>'Исх.данные'!$E$99</f>
        <v>5.761862046719998</v>
      </c>
      <c r="BO20" s="115">
        <f>BN20*BU20</f>
        <v>36.73187054783999</v>
      </c>
      <c r="BP20" s="115">
        <f>аморт!$D$65*10%/аморт!$G$65*L20*O12</f>
        <v>507.702191717274</v>
      </c>
      <c r="BQ20" s="115">
        <f>AL20+AM20+AS20+AW20+BA20+BE20+BG20+BI20+BK20+BM20+BO20+BP20</f>
        <v>17073.42785559061</v>
      </c>
      <c r="BR20" s="115">
        <f>BQ20/$D$7</f>
        <v>1707.342785559061</v>
      </c>
      <c r="BS20" s="153">
        <f>(O20+P20)/$D$7</f>
        <v>0.9984817813765183</v>
      </c>
      <c r="BT20" s="153">
        <f>'Исх.данные'!$B$109</f>
        <v>5.1</v>
      </c>
      <c r="BU20" s="151">
        <f>BT20*L20</f>
        <v>6.375</v>
      </c>
    </row>
    <row r="21" spans="1:73" ht="11.25">
      <c r="A21" s="20">
        <f>A20+1</f>
        <v>5</v>
      </c>
      <c r="B21" s="28" t="s">
        <v>91</v>
      </c>
      <c r="C21" s="30"/>
      <c r="D21" s="31" t="s">
        <v>133</v>
      </c>
      <c r="E21" s="32" t="s">
        <v>176</v>
      </c>
      <c r="F21" s="29" t="s">
        <v>134</v>
      </c>
      <c r="G21" s="30">
        <f>D7*2</f>
        <v>20</v>
      </c>
      <c r="H21" s="30"/>
      <c r="I21" s="30"/>
      <c r="J21" s="160">
        <v>2.9</v>
      </c>
      <c r="K21" s="150">
        <v>7</v>
      </c>
      <c r="L21" s="148">
        <f>G21/K21</f>
        <v>2.857142857142857</v>
      </c>
      <c r="M21" s="149">
        <f>L21/J21</f>
        <v>0.9852216748768473</v>
      </c>
      <c r="N21" s="149"/>
      <c r="O21" s="121">
        <f>IF(M21=0,0,L21*$O$12)</f>
        <v>22.82244071717756</v>
      </c>
      <c r="P21" s="121">
        <f>IF(N21=0,0,L21*$O$12)</f>
        <v>0</v>
      </c>
      <c r="Q21" s="149">
        <v>3</v>
      </c>
      <c r="R21" s="122">
        <f>IF(AND(O21&gt;0,Q21&gt;0),SUMIF('Исх.данные'!$C$14:H18,Q21,'Исх.данные'!$C$18:$H$18),IF(O21=0,0,IF(Q21=0,"РОТ")))</f>
        <v>138.29984794728838</v>
      </c>
      <c r="S21" s="149"/>
      <c r="T21" s="148"/>
      <c r="U21" s="144">
        <f>O21*R21*'Исх.данные'!$C$43%</f>
        <v>0</v>
      </c>
      <c r="V21" s="144">
        <f>P21*T21*'Исх.данные'!$C$44%</f>
        <v>0</v>
      </c>
      <c r="W21" s="144">
        <f>O21*R21*$W$12</f>
        <v>0</v>
      </c>
      <c r="X21" s="145">
        <f>P21*T21*$W$12</f>
        <v>0</v>
      </c>
      <c r="Y21" s="144">
        <f>(O21*R21+U21+W21)*$Y$12</f>
        <v>315.63400809716603</v>
      </c>
      <c r="Z21" s="145">
        <f>(P21*T21+V21+X21)*$Z$12</f>
        <v>0</v>
      </c>
      <c r="AA21" s="144">
        <f>(O21*R21+U21)*$AA$12</f>
        <v>0</v>
      </c>
      <c r="AB21" s="145">
        <f>(P21*T21+V21)*$AA$12</f>
        <v>0</v>
      </c>
      <c r="AC21" s="143">
        <v>2.5</v>
      </c>
      <c r="AD21" s="144">
        <f>(O21*R21+U21+W21+Y21+AA21)*AC21</f>
        <v>8679.935222672064</v>
      </c>
      <c r="AE21" s="144">
        <f>(P21*T21+V21+X21+Z21+AB21)*AC21</f>
        <v>0</v>
      </c>
      <c r="AF21" s="121">
        <f t="shared" si="1"/>
        <v>1285.9163292847502</v>
      </c>
      <c r="AG21" s="152">
        <f t="shared" si="1"/>
        <v>0</v>
      </c>
      <c r="AH21" s="121">
        <f t="shared" si="2"/>
        <v>9965.851551956814</v>
      </c>
      <c r="AI21" s="121">
        <f t="shared" si="2"/>
        <v>0</v>
      </c>
      <c r="AJ21" s="121">
        <f t="shared" si="3"/>
        <v>3059.5164264507416</v>
      </c>
      <c r="AK21" s="152">
        <f t="shared" si="3"/>
        <v>0</v>
      </c>
      <c r="AL21" s="121">
        <f>AH21+AJ21</f>
        <v>13025.367978407556</v>
      </c>
      <c r="AM21" s="152">
        <f>AK21+AI21</f>
        <v>0</v>
      </c>
      <c r="AN21" s="150">
        <v>6.1</v>
      </c>
      <c r="AO21" s="148">
        <f>$AO$17</f>
        <v>0.84</v>
      </c>
      <c r="AP21" s="123">
        <f>(G21*AN21)*AO21/100</f>
        <v>1.0248</v>
      </c>
      <c r="AQ21" s="163" t="s">
        <v>186</v>
      </c>
      <c r="AR21" s="122">
        <f>'Исх.данные'!$G$85</f>
        <v>9559.371428571429</v>
      </c>
      <c r="AS21" s="115">
        <f>AP21*AR21</f>
        <v>9796.44384</v>
      </c>
      <c r="AT21" s="150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>
        <f>аморт!$H$10</f>
        <v>69.6969696969697</v>
      </c>
      <c r="BG21" s="115">
        <f>BF21*L21*$O$12</f>
        <v>1590.654959076012</v>
      </c>
      <c r="BH21" s="115">
        <f>аморт!$H$54</f>
        <v>43.453374999999994</v>
      </c>
      <c r="BI21" s="115">
        <f>BH21*L21*$O$12</f>
        <v>991.7120748987853</v>
      </c>
      <c r="BJ21" s="153">
        <f>'Исх.данные'!$E$89</f>
        <v>98.91196513535999</v>
      </c>
      <c r="BK21" s="115">
        <f>BJ21*BU21</f>
        <v>1441.2886348295312</v>
      </c>
      <c r="BL21" s="153">
        <f>'Исх.данные'!$E$94</f>
        <v>16.685392176959997</v>
      </c>
      <c r="BM21" s="115">
        <f>BL21*BU21</f>
        <v>243.13000029284566</v>
      </c>
      <c r="BN21" s="39">
        <f>'Исх.данные'!$E$99</f>
        <v>5.761862046719998</v>
      </c>
      <c r="BO21" s="115">
        <f>BN21*BU21</f>
        <v>83.95856125220568</v>
      </c>
      <c r="BP21" s="115">
        <f>аморт!$D$54*10%/аморт!$G$54*L21*O12</f>
        <v>793.3696599190283</v>
      </c>
      <c r="BQ21" s="115">
        <f>AL21+AM21+AS21+AW21+BA21+BE21+BG21+BI21+BK21+BM21+BO21+BP21</f>
        <v>27965.925708675968</v>
      </c>
      <c r="BR21" s="115">
        <f>BQ21/$D$7</f>
        <v>2796.592570867597</v>
      </c>
      <c r="BS21" s="153">
        <f>(O21+P21)/$D$7</f>
        <v>2.282244071717756</v>
      </c>
      <c r="BT21" s="153">
        <f>'Исх.данные'!$B$109</f>
        <v>5.1</v>
      </c>
      <c r="BU21" s="151">
        <f>BT21*L21</f>
        <v>14.571428571428571</v>
      </c>
    </row>
    <row r="22" spans="1:73" s="65" customFormat="1" ht="11.25">
      <c r="A22" s="62"/>
      <c r="B22" s="55" t="s">
        <v>22</v>
      </c>
      <c r="C22" s="64"/>
      <c r="D22" s="67"/>
      <c r="E22" s="61"/>
      <c r="F22" s="63"/>
      <c r="G22" s="64"/>
      <c r="H22" s="64"/>
      <c r="I22" s="64"/>
      <c r="J22" s="165">
        <f>SUM(J17:J21)</f>
        <v>9.2</v>
      </c>
      <c r="K22" s="165"/>
      <c r="L22" s="165">
        <f aca="true" t="shared" si="4" ref="L22:BM22">SUM(L17:L21)</f>
        <v>9.307760141093475</v>
      </c>
      <c r="M22" s="165">
        <f t="shared" si="4"/>
        <v>5.287809519131358</v>
      </c>
      <c r="N22" s="165">
        <f t="shared" si="4"/>
        <v>0</v>
      </c>
      <c r="O22" s="165">
        <f t="shared" si="4"/>
        <v>74.34903141043492</v>
      </c>
      <c r="P22" s="165">
        <f t="shared" si="4"/>
        <v>0</v>
      </c>
      <c r="Q22" s="165"/>
      <c r="R22" s="165"/>
      <c r="S22" s="165"/>
      <c r="T22" s="165"/>
      <c r="U22" s="165">
        <f t="shared" si="4"/>
        <v>0</v>
      </c>
      <c r="V22" s="165">
        <f t="shared" si="4"/>
        <v>0</v>
      </c>
      <c r="W22" s="165">
        <f t="shared" si="4"/>
        <v>0</v>
      </c>
      <c r="X22" s="165">
        <f t="shared" si="4"/>
        <v>0</v>
      </c>
      <c r="Y22" s="165">
        <f t="shared" si="4"/>
        <v>1186.45264957265</v>
      </c>
      <c r="Z22" s="165">
        <f t="shared" si="4"/>
        <v>0</v>
      </c>
      <c r="AA22" s="165">
        <f t="shared" si="4"/>
        <v>0</v>
      </c>
      <c r="AB22" s="165">
        <f t="shared" si="4"/>
        <v>0</v>
      </c>
      <c r="AC22" s="165"/>
      <c r="AD22" s="165">
        <f t="shared" si="4"/>
        <v>32627.447863247864</v>
      </c>
      <c r="AE22" s="165">
        <f t="shared" si="4"/>
        <v>0</v>
      </c>
      <c r="AF22" s="165">
        <f t="shared" si="4"/>
        <v>4833.695979740424</v>
      </c>
      <c r="AG22" s="165">
        <f t="shared" si="4"/>
        <v>0</v>
      </c>
      <c r="AH22" s="165">
        <f t="shared" si="4"/>
        <v>37461.143842988284</v>
      </c>
      <c r="AI22" s="165">
        <f t="shared" si="4"/>
        <v>0</v>
      </c>
      <c r="AJ22" s="165">
        <f t="shared" si="4"/>
        <v>11500.571159797406</v>
      </c>
      <c r="AK22" s="165">
        <f t="shared" si="4"/>
        <v>0</v>
      </c>
      <c r="AL22" s="165">
        <f t="shared" si="4"/>
        <v>48961.7150027857</v>
      </c>
      <c r="AM22" s="165">
        <f t="shared" si="4"/>
        <v>0</v>
      </c>
      <c r="AN22" s="190"/>
      <c r="AO22" s="165"/>
      <c r="AP22" s="165">
        <f t="shared" si="4"/>
        <v>7.5432</v>
      </c>
      <c r="AQ22" s="165"/>
      <c r="AR22" s="165"/>
      <c r="AS22" s="165">
        <f t="shared" si="4"/>
        <v>72174.10656</v>
      </c>
      <c r="AT22" s="165"/>
      <c r="AU22" s="165">
        <f t="shared" si="4"/>
        <v>0</v>
      </c>
      <c r="AV22" s="165"/>
      <c r="AW22" s="165">
        <f t="shared" si="4"/>
        <v>0</v>
      </c>
      <c r="AX22" s="165"/>
      <c r="AY22" s="165">
        <f t="shared" si="4"/>
        <v>0</v>
      </c>
      <c r="AZ22" s="165"/>
      <c r="BA22" s="165">
        <f t="shared" si="4"/>
        <v>0</v>
      </c>
      <c r="BB22" s="165"/>
      <c r="BC22" s="165">
        <f t="shared" si="4"/>
        <v>0</v>
      </c>
      <c r="BD22" s="165"/>
      <c r="BE22" s="165">
        <f t="shared" si="4"/>
        <v>0</v>
      </c>
      <c r="BF22" s="165"/>
      <c r="BG22" s="165">
        <f t="shared" si="4"/>
        <v>4932.128956805896</v>
      </c>
      <c r="BH22" s="165"/>
      <c r="BI22" s="165">
        <f t="shared" si="4"/>
        <v>5130.920703457838</v>
      </c>
      <c r="BJ22" s="165"/>
      <c r="BK22" s="165">
        <f t="shared" si="4"/>
        <v>7350.792468655119</v>
      </c>
      <c r="BL22" s="165"/>
      <c r="BM22" s="165">
        <f t="shared" si="4"/>
        <v>972.9662300341463</v>
      </c>
      <c r="BN22" s="165"/>
      <c r="BO22" s="165">
        <f aca="true" t="shared" si="5" ref="BO22:BU22">SUM(BO17:BO21)</f>
        <v>525.9917824063864</v>
      </c>
      <c r="BP22" s="165">
        <f t="shared" si="5"/>
        <v>3213.2354334956494</v>
      </c>
      <c r="BQ22" s="165">
        <f t="shared" si="5"/>
        <v>143261.85713764073</v>
      </c>
      <c r="BR22" s="165"/>
      <c r="BS22" s="165"/>
      <c r="BT22" s="165"/>
      <c r="BU22" s="165">
        <f t="shared" si="5"/>
        <v>73.14858906525573</v>
      </c>
    </row>
    <row r="23" spans="1:73" s="7" customFormat="1" ht="11.25">
      <c r="A23" s="21"/>
      <c r="B23" s="399" t="s">
        <v>98</v>
      </c>
      <c r="C23" s="399"/>
      <c r="D23" s="399"/>
      <c r="E23" s="399"/>
      <c r="F23" s="23"/>
      <c r="G23" s="24"/>
      <c r="H23" s="24"/>
      <c r="I23" s="24"/>
      <c r="J23" s="154"/>
      <c r="K23" s="154"/>
      <c r="L23" s="166"/>
      <c r="M23" s="154"/>
      <c r="N23" s="154"/>
      <c r="O23" s="167"/>
      <c r="P23" s="167"/>
      <c r="Q23" s="155"/>
      <c r="R23" s="154"/>
      <c r="S23" s="155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68"/>
      <c r="AH23" s="167"/>
      <c r="AI23" s="167"/>
      <c r="AJ23" s="167"/>
      <c r="AK23" s="167"/>
      <c r="AL23" s="167"/>
      <c r="AM23" s="167"/>
      <c r="AN23" s="154"/>
      <c r="AO23" s="154"/>
      <c r="AP23" s="169"/>
      <c r="AQ23" s="155"/>
      <c r="AR23" s="155"/>
      <c r="AS23" s="169"/>
      <c r="AT23" s="154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15">
        <f>BF23*L23</f>
        <v>0</v>
      </c>
      <c r="BH23" s="169"/>
      <c r="BI23" s="115">
        <f>BH23*L23</f>
        <v>0</v>
      </c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</row>
    <row r="24" spans="1:73" s="7" customFormat="1" ht="11.25">
      <c r="A24" s="19">
        <v>1</v>
      </c>
      <c r="B24" s="28" t="s">
        <v>93</v>
      </c>
      <c r="C24" s="30"/>
      <c r="D24" s="31" t="s">
        <v>508</v>
      </c>
      <c r="E24" s="32" t="s">
        <v>177</v>
      </c>
      <c r="F24" s="29" t="s">
        <v>479</v>
      </c>
      <c r="G24" s="37">
        <f>AY27</f>
        <v>900</v>
      </c>
      <c r="H24" s="209">
        <v>42552</v>
      </c>
      <c r="I24" s="209">
        <v>42597</v>
      </c>
      <c r="J24" s="160">
        <v>3</v>
      </c>
      <c r="K24" s="150">
        <v>300</v>
      </c>
      <c r="L24" s="148">
        <f aca="true" t="shared" si="6" ref="L24:L29">G24/K24</f>
        <v>3</v>
      </c>
      <c r="M24" s="149">
        <f>L24/J24</f>
        <v>1</v>
      </c>
      <c r="N24" s="154"/>
      <c r="O24" s="121">
        <f aca="true" t="shared" si="7" ref="O24:O29">IF(M24=0,0,L24*$O$12)</f>
        <v>23.963562753036438</v>
      </c>
      <c r="P24" s="121">
        <f aca="true" t="shared" si="8" ref="P24:P29">IF(N24=0,0,L24*$O$12)</f>
        <v>0</v>
      </c>
      <c r="Q24" s="155">
        <v>5</v>
      </c>
      <c r="R24" s="122">
        <f>IF(AND(O24&gt;0,Q24&gt;0),SUMIF('Исх.данные'!$C$14:H30,Q24,'Исх.данные'!$C$26:$H$26),IF(O24=0,0,IF(Q24=0,"РОТ")))</f>
        <v>219.30404460212878</v>
      </c>
      <c r="S24" s="155"/>
      <c r="T24" s="154"/>
      <c r="U24" s="144">
        <f>O24*R24*'Исх.данные'!$C$43%</f>
        <v>0</v>
      </c>
      <c r="V24" s="144">
        <f>P24*T24*'Исх.данные'!$C$44%</f>
        <v>0</v>
      </c>
      <c r="W24" s="144">
        <f aca="true" t="shared" si="9" ref="W24:W29">O24*R24*$W$12</f>
        <v>0</v>
      </c>
      <c r="X24" s="145">
        <f aca="true" t="shared" si="10" ref="X24:X29">P24*T24*$W$12</f>
        <v>0</v>
      </c>
      <c r="Y24" s="144">
        <f aca="true" t="shared" si="11" ref="Y24:Y29">(O24*R24+U24+W24)*$Y$12</f>
        <v>525.5306234817816</v>
      </c>
      <c r="Z24" s="145">
        <f aca="true" t="shared" si="12" ref="Z24:Z29">(P24*T24+V24+X24)*$Z$12</f>
        <v>0</v>
      </c>
      <c r="AA24" s="144">
        <f aca="true" t="shared" si="13" ref="AA24:AA29">(O24*R24+U24)*$AA$12</f>
        <v>0</v>
      </c>
      <c r="AB24" s="145">
        <f aca="true" t="shared" si="14" ref="AB24:AB29">(P24*T24+V24)*$AA$12</f>
        <v>0</v>
      </c>
      <c r="AC24" s="143">
        <v>2.5</v>
      </c>
      <c r="AD24" s="144">
        <f aca="true" t="shared" si="15" ref="AD24:AD29">(O24*R24+U24+W24+Y24+AA24)*AC24</f>
        <v>14452.092145748993</v>
      </c>
      <c r="AE24" s="144">
        <f aca="true" t="shared" si="16" ref="AE24:AE29">(P24*T24+V24+X24+Z24+AB24)*AC24</f>
        <v>0</v>
      </c>
      <c r="AF24" s="121">
        <f aca="true" t="shared" si="17" ref="AF24:AG29">AD24*$AF$12</f>
        <v>2141.05068825911</v>
      </c>
      <c r="AG24" s="152">
        <f t="shared" si="17"/>
        <v>0</v>
      </c>
      <c r="AH24" s="121">
        <f aca="true" t="shared" si="18" ref="AH24:AI29">AD24+AF24</f>
        <v>16593.142834008104</v>
      </c>
      <c r="AI24" s="121">
        <f t="shared" si="18"/>
        <v>0</v>
      </c>
      <c r="AJ24" s="121">
        <f aca="true" t="shared" si="19" ref="AJ24:AK29">AH24*$AJ$12</f>
        <v>5094.0948500404875</v>
      </c>
      <c r="AK24" s="152">
        <f t="shared" si="19"/>
        <v>0</v>
      </c>
      <c r="AL24" s="121">
        <f aca="true" t="shared" si="20" ref="AL24:AL29">AH24+AJ24</f>
        <v>21687.237684048592</v>
      </c>
      <c r="AM24" s="152">
        <f aca="true" t="shared" si="21" ref="AM24:AM29">AK24+AI24</f>
        <v>0</v>
      </c>
      <c r="AN24" s="150">
        <v>0.44</v>
      </c>
      <c r="AO24" s="148">
        <f aca="true" t="shared" si="22" ref="AO24:AO29">$AO$17</f>
        <v>0.84</v>
      </c>
      <c r="AP24" s="123">
        <f>(G24*AN24)*AO24/100</f>
        <v>3.3264</v>
      </c>
      <c r="AQ24" s="163" t="s">
        <v>186</v>
      </c>
      <c r="AR24" s="122">
        <f>'Исх.данные'!$F$85</f>
        <v>9573.371428571429</v>
      </c>
      <c r="AS24" s="115">
        <f>AP24*AR24</f>
        <v>31844.86272</v>
      </c>
      <c r="AT24" s="154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15">
        <f>аморт!$H$12</f>
        <v>61.781971818181816</v>
      </c>
      <c r="BG24" s="115">
        <f>BF24*L24*$O$12</f>
        <v>1480.5161586713284</v>
      </c>
      <c r="BH24" s="115">
        <f>аморт!H43</f>
        <v>73.44625</v>
      </c>
      <c r="BI24" s="115">
        <f>BH24*L24*$O$12</f>
        <v>1760.0338208502026</v>
      </c>
      <c r="BJ24" s="153">
        <f>'Исх.данные'!$C$89</f>
        <v>101.43277978079999</v>
      </c>
      <c r="BK24" s="115">
        <f aca="true" t="shared" si="23" ref="BK24:BK29">BJ24*BU24</f>
        <v>3529.8607363718393</v>
      </c>
      <c r="BL24" s="153">
        <f>'Исх.данные'!$C$94</f>
        <v>11.283646508159999</v>
      </c>
      <c r="BM24" s="115">
        <f aca="true" t="shared" si="24" ref="BM24:BM29">BL24*BU24</f>
        <v>392.6708984839679</v>
      </c>
      <c r="BN24" s="115">
        <f>'Исх.данные'!$C$99</f>
        <v>8.04259910688</v>
      </c>
      <c r="BO24" s="115">
        <f aca="true" t="shared" si="25" ref="BO24:BO29">BN24*BU24</f>
        <v>279.88244891942395</v>
      </c>
      <c r="BP24" s="115">
        <f>аморт!$D$43*10%/аморт!$G$43*L24*O12</f>
        <v>352.0067641700405</v>
      </c>
      <c r="BQ24" s="115">
        <f aca="true" t="shared" si="26" ref="BQ24:BQ29">AL24+AM24+AS24+AW24+BA24+BE24+BG24+BI24+BK24+BM24+BO24+BP24</f>
        <v>61327.07123151539</v>
      </c>
      <c r="BR24" s="115">
        <f aca="true" t="shared" si="27" ref="BR24:BR29">BQ24/$D$7</f>
        <v>6132.707123151538</v>
      </c>
      <c r="BS24" s="153">
        <f aca="true" t="shared" si="28" ref="BS24:BS29">(O24+P24)/$D$7</f>
        <v>2.396356275303644</v>
      </c>
      <c r="BT24" s="153">
        <f>'Исх.данные'!$B$113</f>
        <v>11.6</v>
      </c>
      <c r="BU24" s="151">
        <f>BT24*L24</f>
        <v>34.8</v>
      </c>
    </row>
    <row r="25" spans="1:73" s="7" customFormat="1" ht="22.5">
      <c r="A25" s="19">
        <v>2</v>
      </c>
      <c r="B25" s="28" t="s">
        <v>94</v>
      </c>
      <c r="C25" s="30"/>
      <c r="D25" s="31" t="s">
        <v>508</v>
      </c>
      <c r="E25" s="32" t="s">
        <v>163</v>
      </c>
      <c r="F25" s="29" t="s">
        <v>479</v>
      </c>
      <c r="G25" s="37">
        <f>G24</f>
        <v>900</v>
      </c>
      <c r="H25" s="209">
        <v>42597</v>
      </c>
      <c r="I25" s="209">
        <v>42633</v>
      </c>
      <c r="J25" s="160">
        <v>7.5</v>
      </c>
      <c r="K25" s="150">
        <v>120</v>
      </c>
      <c r="L25" s="148">
        <f t="shared" si="6"/>
        <v>7.5</v>
      </c>
      <c r="M25" s="149">
        <f>L25/J25</f>
        <v>1</v>
      </c>
      <c r="N25" s="154">
        <f>L25/J25</f>
        <v>1</v>
      </c>
      <c r="O25" s="121">
        <f t="shared" si="7"/>
        <v>59.90890688259109</v>
      </c>
      <c r="P25" s="121">
        <f t="shared" si="8"/>
        <v>59.90890688259109</v>
      </c>
      <c r="Q25" s="155">
        <v>5</v>
      </c>
      <c r="R25" s="122">
        <f>IF(AND(O25&gt;0,Q25&gt;0),SUMIF('Исх.данные'!$C$14:H31,Q25,'Исх.данные'!$C$26:$H$26),IF(O25=0,0,IF(Q25=0,"РОТ")))</f>
        <v>219.30404460212878</v>
      </c>
      <c r="S25" s="149">
        <v>4</v>
      </c>
      <c r="T25" s="122">
        <f>IF(AND(N25&gt;0,P25&gt;0),SUMIF('Исх.данные'!$C$14:$J$30,S25,'Исх.данные'!$C$34:$J$45),IF(N25=0,0,IF(S25=0,"РОТ")))</f>
        <v>123.48200709579322</v>
      </c>
      <c r="U25" s="144">
        <f>O25*R25*'Исх.данные'!$C$43%</f>
        <v>0</v>
      </c>
      <c r="V25" s="144">
        <f>P25*T25*'Исх.данные'!$C$44%</f>
        <v>0</v>
      </c>
      <c r="W25" s="144">
        <f t="shared" si="9"/>
        <v>0</v>
      </c>
      <c r="X25" s="145">
        <f t="shared" si="10"/>
        <v>0</v>
      </c>
      <c r="Y25" s="144">
        <f t="shared" si="11"/>
        <v>1313.8265587044536</v>
      </c>
      <c r="Z25" s="145">
        <f t="shared" si="12"/>
        <v>369.88360323886644</v>
      </c>
      <c r="AA25" s="144">
        <f t="shared" si="13"/>
        <v>0</v>
      </c>
      <c r="AB25" s="145">
        <f t="shared" si="14"/>
        <v>0</v>
      </c>
      <c r="AC25" s="143">
        <v>2.5</v>
      </c>
      <c r="AD25" s="144">
        <f t="shared" si="15"/>
        <v>36130.23036437247</v>
      </c>
      <c r="AE25" s="144">
        <f t="shared" si="16"/>
        <v>19418.889170040486</v>
      </c>
      <c r="AF25" s="121">
        <f t="shared" si="17"/>
        <v>5352.626720647773</v>
      </c>
      <c r="AG25" s="152">
        <f t="shared" si="17"/>
        <v>2876.8724696356276</v>
      </c>
      <c r="AH25" s="121">
        <f t="shared" si="18"/>
        <v>41482.857085020245</v>
      </c>
      <c r="AI25" s="121">
        <f t="shared" si="18"/>
        <v>22295.761639676115</v>
      </c>
      <c r="AJ25" s="121">
        <f t="shared" si="19"/>
        <v>12735.237125101215</v>
      </c>
      <c r="AK25" s="152">
        <f t="shared" si="19"/>
        <v>6844.798823380567</v>
      </c>
      <c r="AL25" s="121">
        <f t="shared" si="20"/>
        <v>54218.09421012146</v>
      </c>
      <c r="AM25" s="152">
        <f t="shared" si="21"/>
        <v>29140.56046305668</v>
      </c>
      <c r="AN25" s="150">
        <v>1.14</v>
      </c>
      <c r="AO25" s="148">
        <f t="shared" si="22"/>
        <v>0.84</v>
      </c>
      <c r="AP25" s="123">
        <f>(G25*AN25)*AO25/100</f>
        <v>8.6184</v>
      </c>
      <c r="AQ25" s="163" t="s">
        <v>186</v>
      </c>
      <c r="AR25" s="122">
        <f>'Исх.данные'!$F$85</f>
        <v>9573.371428571429</v>
      </c>
      <c r="AS25" s="115">
        <f>AP25*AR25</f>
        <v>82507.14431999999</v>
      </c>
      <c r="AT25" s="154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15">
        <f>аморт!$H$12</f>
        <v>61.781971818181816</v>
      </c>
      <c r="BG25" s="115">
        <f>BF25*L25*$O$12</f>
        <v>3701.290396678322</v>
      </c>
      <c r="BH25" s="115">
        <f>аморт!$H$69</f>
        <v>19.673123809523812</v>
      </c>
      <c r="BI25" s="115">
        <f>BH25*L25*$O$12</f>
        <v>1178.5953423944477</v>
      </c>
      <c r="BJ25" s="153">
        <f>'Исх.данные'!$C$89</f>
        <v>101.43277978079999</v>
      </c>
      <c r="BK25" s="115">
        <f t="shared" si="23"/>
        <v>8824.651840929599</v>
      </c>
      <c r="BL25" s="153">
        <f>'Исх.данные'!$C$94</f>
        <v>11.283646508159999</v>
      </c>
      <c r="BM25" s="115">
        <f t="shared" si="24"/>
        <v>981.6772462099199</v>
      </c>
      <c r="BN25" s="115">
        <f>'Исх.данные'!$C$99</f>
        <v>8.04259910688</v>
      </c>
      <c r="BO25" s="115">
        <f t="shared" si="25"/>
        <v>699.7061222985599</v>
      </c>
      <c r="BP25" s="115">
        <f>аморт!$D$69*10%/аморт!$G$69*L25*O12</f>
        <v>825.0167396761133</v>
      </c>
      <c r="BQ25" s="115">
        <f t="shared" si="26"/>
        <v>182076.73668136512</v>
      </c>
      <c r="BR25" s="115">
        <f t="shared" si="27"/>
        <v>18207.67366813651</v>
      </c>
      <c r="BS25" s="153">
        <f t="shared" si="28"/>
        <v>11.981781376518217</v>
      </c>
      <c r="BT25" s="153">
        <f>'Исх.данные'!$B$113</f>
        <v>11.6</v>
      </c>
      <c r="BU25" s="151">
        <f>BT25*L25</f>
        <v>87</v>
      </c>
    </row>
    <row r="26" spans="1:73" s="7" customFormat="1" ht="11.25">
      <c r="A26" s="19">
        <f>A25+1</f>
        <v>3</v>
      </c>
      <c r="B26" s="28" t="s">
        <v>95</v>
      </c>
      <c r="C26" s="30"/>
      <c r="D26" s="31" t="s">
        <v>133</v>
      </c>
      <c r="E26" s="32" t="s">
        <v>178</v>
      </c>
      <c r="F26" s="29" t="s">
        <v>479</v>
      </c>
      <c r="G26" s="37">
        <f>G25</f>
        <v>900</v>
      </c>
      <c r="H26" s="29"/>
      <c r="I26" s="29"/>
      <c r="J26" s="160">
        <v>30</v>
      </c>
      <c r="K26" s="150">
        <v>30</v>
      </c>
      <c r="L26" s="148">
        <f t="shared" si="6"/>
        <v>30</v>
      </c>
      <c r="M26" s="149">
        <f>L26/J26</f>
        <v>1</v>
      </c>
      <c r="N26" s="154">
        <f>L26/J26</f>
        <v>1</v>
      </c>
      <c r="O26" s="121">
        <f t="shared" si="7"/>
        <v>239.63562753036436</v>
      </c>
      <c r="P26" s="121">
        <f t="shared" si="8"/>
        <v>239.63562753036436</v>
      </c>
      <c r="Q26" s="155">
        <v>2</v>
      </c>
      <c r="R26" s="122">
        <f>IF(AND(O26&gt;0,Q26&gt;0),SUMIF('Исх.данные'!$C$14:H30,Q26,'Исх.данные'!$C$18:$H$18),IF(O26=0,0,IF(Q26=0,"РОТ")))</f>
        <v>128.66557526609228</v>
      </c>
      <c r="S26" s="155">
        <v>2</v>
      </c>
      <c r="T26" s="122">
        <f>IF(AND(N26&gt;0,P26&gt;0),SUMIF('Исх.данные'!$C$14:$J$30,S26,'Исх.данные'!$C$34:$J$45),IF(N26=0,0,IF(S26=0,"РОТ")))</f>
        <v>105.700598073999</v>
      </c>
      <c r="U26" s="144">
        <f>O26*R26*'Исх.данные'!$C$43%</f>
        <v>0</v>
      </c>
      <c r="V26" s="144">
        <f>P26*T26*'Исх.данные'!$C$44%</f>
        <v>0</v>
      </c>
      <c r="W26" s="144">
        <f t="shared" si="9"/>
        <v>0</v>
      </c>
      <c r="X26" s="145">
        <f t="shared" si="10"/>
        <v>0</v>
      </c>
      <c r="Y26" s="144">
        <f t="shared" si="11"/>
        <v>3083.285587044535</v>
      </c>
      <c r="Z26" s="145">
        <f t="shared" si="12"/>
        <v>1266.4814574898787</v>
      </c>
      <c r="AA26" s="144">
        <f t="shared" si="13"/>
        <v>0</v>
      </c>
      <c r="AB26" s="145">
        <f t="shared" si="14"/>
        <v>0</v>
      </c>
      <c r="AC26" s="143">
        <v>2.5</v>
      </c>
      <c r="AD26" s="144">
        <f t="shared" si="15"/>
        <v>84790.35364372472</v>
      </c>
      <c r="AE26" s="144">
        <f t="shared" si="16"/>
        <v>66490.27651821863</v>
      </c>
      <c r="AF26" s="121">
        <f t="shared" si="17"/>
        <v>12561.533873144403</v>
      </c>
      <c r="AG26" s="152">
        <f t="shared" si="17"/>
        <v>9850.411336032388</v>
      </c>
      <c r="AH26" s="121">
        <f t="shared" si="18"/>
        <v>97351.88751686913</v>
      </c>
      <c r="AI26" s="121">
        <f t="shared" si="18"/>
        <v>76340.68785425101</v>
      </c>
      <c r="AJ26" s="121">
        <f t="shared" si="19"/>
        <v>29887.02946767882</v>
      </c>
      <c r="AK26" s="152">
        <f t="shared" si="19"/>
        <v>23436.59117125506</v>
      </c>
      <c r="AL26" s="121">
        <f t="shared" si="20"/>
        <v>127238.91698454795</v>
      </c>
      <c r="AM26" s="152">
        <f t="shared" si="21"/>
        <v>99777.27902550607</v>
      </c>
      <c r="AN26" s="150">
        <v>2</v>
      </c>
      <c r="AO26" s="148">
        <f t="shared" si="22"/>
        <v>0.84</v>
      </c>
      <c r="AP26" s="123">
        <f>(G26*AN26)*AO26/100</f>
        <v>15.12</v>
      </c>
      <c r="AQ26" s="163" t="s">
        <v>186</v>
      </c>
      <c r="AR26" s="122">
        <f>'Исх.данные'!$G$85</f>
        <v>9559.371428571429</v>
      </c>
      <c r="AS26" s="115">
        <f>AP26*AR26</f>
        <v>144537.696</v>
      </c>
      <c r="AT26" s="154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15">
        <f>аморт!$H$10</f>
        <v>69.6969696969697</v>
      </c>
      <c r="BG26" s="115">
        <f>BF26*L26*$O$12</f>
        <v>16701.877070298124</v>
      </c>
      <c r="BH26" s="115">
        <f>аморт!$H$79</f>
        <v>25.41863076923077</v>
      </c>
      <c r="BI26" s="115">
        <f>BH26*L26*$O$12</f>
        <v>6091.209535347244</v>
      </c>
      <c r="BJ26" s="153">
        <f>'Исх.данные'!$E$89</f>
        <v>98.91196513535999</v>
      </c>
      <c r="BK26" s="115">
        <f t="shared" si="23"/>
        <v>15133.53066571008</v>
      </c>
      <c r="BL26" s="153">
        <f>'Исх.данные'!$E$94</f>
        <v>16.685392176959997</v>
      </c>
      <c r="BM26" s="115">
        <f t="shared" si="24"/>
        <v>2552.8650030748795</v>
      </c>
      <c r="BN26" s="39">
        <f>'Исх.данные'!$E$99</f>
        <v>5.761862046719998</v>
      </c>
      <c r="BO26" s="115">
        <f t="shared" si="25"/>
        <v>881.5648931481597</v>
      </c>
      <c r="BP26" s="115">
        <f>аморт!$D$79*10%/аморт!$G$79*L26*O12</f>
        <v>6091.209535347244</v>
      </c>
      <c r="BQ26" s="115">
        <f t="shared" si="26"/>
        <v>419006.14871297975</v>
      </c>
      <c r="BR26" s="115">
        <f t="shared" si="27"/>
        <v>41900.61487129798</v>
      </c>
      <c r="BS26" s="153">
        <f t="shared" si="28"/>
        <v>47.92712550607287</v>
      </c>
      <c r="BT26" s="153">
        <f>'Исх.данные'!$B$109</f>
        <v>5.1</v>
      </c>
      <c r="BU26" s="151">
        <f>BT26*L26</f>
        <v>153</v>
      </c>
    </row>
    <row r="27" spans="1:73" s="7" customFormat="1" ht="11.25">
      <c r="A27" s="19">
        <f>A26+1</f>
        <v>4</v>
      </c>
      <c r="B27" s="28" t="s">
        <v>96</v>
      </c>
      <c r="C27" s="30"/>
      <c r="D27" s="31" t="s">
        <v>133</v>
      </c>
      <c r="E27" s="32" t="s">
        <v>152</v>
      </c>
      <c r="F27" s="29" t="s">
        <v>479</v>
      </c>
      <c r="G27" s="37">
        <f>G26</f>
        <v>900</v>
      </c>
      <c r="H27" s="29"/>
      <c r="I27" s="29"/>
      <c r="J27" s="160">
        <v>28.8</v>
      </c>
      <c r="K27" s="150">
        <v>31.2</v>
      </c>
      <c r="L27" s="148">
        <f t="shared" si="6"/>
        <v>28.846153846153847</v>
      </c>
      <c r="M27" s="149">
        <f>L27/J27</f>
        <v>1.001602564102564</v>
      </c>
      <c r="N27" s="154"/>
      <c r="O27" s="121">
        <f t="shared" si="7"/>
        <v>230.41887262535036</v>
      </c>
      <c r="P27" s="121">
        <f t="shared" si="8"/>
        <v>0</v>
      </c>
      <c r="Q27" s="155">
        <v>5</v>
      </c>
      <c r="R27" s="122">
        <f>IF(AND(O27&gt;0,Q27&gt;0),SUMIF('Исх.данные'!$C$14:H30,Q27,'Исх.данные'!$C$18:$H$18),IF(O27=0,0,IF(Q27=0,"РОТ")))</f>
        <v>179.78980233147493</v>
      </c>
      <c r="S27" s="155"/>
      <c r="T27" s="154"/>
      <c r="U27" s="144">
        <f>O27*R27*'Исх.данные'!$C$43%</f>
        <v>0</v>
      </c>
      <c r="V27" s="144">
        <f>P27*T27*'Исх.данные'!$C$44%</f>
        <v>0</v>
      </c>
      <c r="W27" s="144">
        <f t="shared" si="9"/>
        <v>0</v>
      </c>
      <c r="X27" s="145">
        <f t="shared" si="10"/>
        <v>0</v>
      </c>
      <c r="Y27" s="144">
        <f t="shared" si="11"/>
        <v>4142.696356275304</v>
      </c>
      <c r="Z27" s="145">
        <f t="shared" si="12"/>
        <v>0</v>
      </c>
      <c r="AA27" s="144">
        <f t="shared" si="13"/>
        <v>0</v>
      </c>
      <c r="AB27" s="145">
        <f t="shared" si="14"/>
        <v>0</v>
      </c>
      <c r="AC27" s="143">
        <v>2.5</v>
      </c>
      <c r="AD27" s="144">
        <f t="shared" si="15"/>
        <v>113924.14979757086</v>
      </c>
      <c r="AE27" s="144">
        <f t="shared" si="16"/>
        <v>0</v>
      </c>
      <c r="AF27" s="121">
        <f t="shared" si="17"/>
        <v>16877.65182186235</v>
      </c>
      <c r="AG27" s="152">
        <f t="shared" si="17"/>
        <v>0</v>
      </c>
      <c r="AH27" s="121">
        <f t="shared" si="18"/>
        <v>130801.80161943322</v>
      </c>
      <c r="AI27" s="121">
        <f t="shared" si="18"/>
        <v>0</v>
      </c>
      <c r="AJ27" s="121">
        <f t="shared" si="19"/>
        <v>40156.153097165996</v>
      </c>
      <c r="AK27" s="152">
        <f t="shared" si="19"/>
        <v>0</v>
      </c>
      <c r="AL27" s="121">
        <f t="shared" si="20"/>
        <v>170957.9547165992</v>
      </c>
      <c r="AM27" s="152">
        <f t="shared" si="21"/>
        <v>0</v>
      </c>
      <c r="AN27" s="150">
        <v>1.89</v>
      </c>
      <c r="AO27" s="148">
        <f t="shared" si="22"/>
        <v>0.84</v>
      </c>
      <c r="AP27" s="123">
        <f>(G27*AN27)*AO27/100</f>
        <v>14.2884</v>
      </c>
      <c r="AQ27" s="163" t="s">
        <v>186</v>
      </c>
      <c r="AR27" s="122">
        <f>'Исх.данные'!$G$85</f>
        <v>9559.371428571429</v>
      </c>
      <c r="AS27" s="115">
        <f>AP27*AR27</f>
        <v>136588.12271999998</v>
      </c>
      <c r="AT27" s="154"/>
      <c r="AU27" s="169"/>
      <c r="AV27" s="169"/>
      <c r="AW27" s="169"/>
      <c r="AX27" s="115">
        <f>Нормы!C28</f>
        <v>900</v>
      </c>
      <c r="AY27" s="115">
        <f>AX27*D7/10</f>
        <v>900</v>
      </c>
      <c r="AZ27" s="123">
        <f>Нормы!D28</f>
        <v>1</v>
      </c>
      <c r="BA27" s="115">
        <f>AY27*AZ27*1000</f>
        <v>900000</v>
      </c>
      <c r="BB27" s="169"/>
      <c r="BC27" s="169"/>
      <c r="BD27" s="169"/>
      <c r="BE27" s="169"/>
      <c r="BF27" s="115">
        <f>аморт!$H$10</f>
        <v>69.6969696969697</v>
      </c>
      <c r="BG27" s="115">
        <f>BF27*L27*$O$12</f>
        <v>16059.497182978965</v>
      </c>
      <c r="BH27" s="115">
        <f>аморт!$H$82</f>
        <v>124.59645238095241</v>
      </c>
      <c r="BI27" s="115">
        <f>BH27*L27*$O$12</f>
        <v>28709.374090737205</v>
      </c>
      <c r="BJ27" s="153">
        <f>'Исх.данные'!$E$89</f>
        <v>98.91196513535999</v>
      </c>
      <c r="BK27" s="115">
        <f t="shared" si="23"/>
        <v>14551.471793951998</v>
      </c>
      <c r="BL27" s="153">
        <f>'Исх.данные'!$E$94</f>
        <v>16.685392176959997</v>
      </c>
      <c r="BM27" s="115">
        <f t="shared" si="24"/>
        <v>2454.6778875719997</v>
      </c>
      <c r="BN27" s="39">
        <f>'Исх.данные'!$E$99</f>
        <v>5.761862046719998</v>
      </c>
      <c r="BO27" s="115">
        <f t="shared" si="25"/>
        <v>847.6585511039998</v>
      </c>
      <c r="BP27" s="115">
        <f>аморт!$D$82*10%/аморт!$G$82*L27*O12</f>
        <v>17225.62445444232</v>
      </c>
      <c r="BQ27" s="115">
        <f t="shared" si="26"/>
        <v>1287394.3813973856</v>
      </c>
      <c r="BR27" s="115">
        <f t="shared" si="27"/>
        <v>128739.43813973856</v>
      </c>
      <c r="BS27" s="153">
        <f t="shared" si="28"/>
        <v>23.041887262535035</v>
      </c>
      <c r="BT27" s="153">
        <f>'Исх.данные'!$B$109</f>
        <v>5.1</v>
      </c>
      <c r="BU27" s="151">
        <f>BT27*L27</f>
        <v>147.1153846153846</v>
      </c>
    </row>
    <row r="28" spans="1:73" s="7" customFormat="1" ht="22.5">
      <c r="A28" s="19">
        <f>A27+1</f>
        <v>5</v>
      </c>
      <c r="B28" s="28" t="s">
        <v>23</v>
      </c>
      <c r="C28" s="30"/>
      <c r="D28" s="418" t="s">
        <v>143</v>
      </c>
      <c r="E28" s="419"/>
      <c r="F28" s="29" t="s">
        <v>479</v>
      </c>
      <c r="G28" s="37">
        <f>AY29</f>
        <v>6</v>
      </c>
      <c r="H28" s="209">
        <v>42485</v>
      </c>
      <c r="I28" s="209">
        <v>42500</v>
      </c>
      <c r="J28" s="160">
        <v>1.2</v>
      </c>
      <c r="K28" s="150">
        <v>5</v>
      </c>
      <c r="L28" s="148">
        <f t="shared" si="6"/>
        <v>1.2</v>
      </c>
      <c r="M28" s="154"/>
      <c r="N28" s="154">
        <f>L28/J28</f>
        <v>1</v>
      </c>
      <c r="O28" s="121">
        <f t="shared" si="7"/>
        <v>0</v>
      </c>
      <c r="P28" s="121">
        <f t="shared" si="8"/>
        <v>9.585425101214575</v>
      </c>
      <c r="Q28" s="155">
        <v>2</v>
      </c>
      <c r="R28" s="122">
        <f>IF(AND(O28&gt;0,Q28&gt;0),SUMIF('Исх.данные'!$C$14:H31,Q28,'Исх.данные'!$C$18:$H$18),IF(O28=0,0,IF(Q28=0,"РОТ")))</f>
        <v>0</v>
      </c>
      <c r="S28" s="155">
        <v>2</v>
      </c>
      <c r="T28" s="122">
        <f>IF(AND(N28&gt;0,P28&gt;0),SUMIF('Исх.данные'!$C$14:$J$30,S28,'Исх.данные'!$C$34:$J$45),IF(N28=0,0,IF(S28=0,"РОТ")))</f>
        <v>105.700598073999</v>
      </c>
      <c r="U28" s="144">
        <f>O28*R28*'Исх.данные'!$C$43%</f>
        <v>0</v>
      </c>
      <c r="V28" s="144">
        <f>P28*T28*'Исх.данные'!$C$44%</f>
        <v>0</v>
      </c>
      <c r="W28" s="144">
        <f t="shared" si="9"/>
        <v>0</v>
      </c>
      <c r="X28" s="145">
        <f t="shared" si="10"/>
        <v>0</v>
      </c>
      <c r="Y28" s="144">
        <f t="shared" si="11"/>
        <v>0</v>
      </c>
      <c r="Z28" s="145">
        <f t="shared" si="12"/>
        <v>50.65925829959516</v>
      </c>
      <c r="AA28" s="144">
        <f t="shared" si="13"/>
        <v>0</v>
      </c>
      <c r="AB28" s="145">
        <f t="shared" si="14"/>
        <v>0</v>
      </c>
      <c r="AC28" s="143">
        <v>2.5</v>
      </c>
      <c r="AD28" s="144">
        <f t="shared" si="15"/>
        <v>0</v>
      </c>
      <c r="AE28" s="144">
        <f t="shared" si="16"/>
        <v>2659.6110607287455</v>
      </c>
      <c r="AF28" s="121">
        <f t="shared" si="17"/>
        <v>0</v>
      </c>
      <c r="AG28" s="152">
        <f t="shared" si="17"/>
        <v>394.0164534412956</v>
      </c>
      <c r="AH28" s="121">
        <f t="shared" si="18"/>
        <v>0</v>
      </c>
      <c r="AI28" s="121">
        <f t="shared" si="18"/>
        <v>3053.627514170041</v>
      </c>
      <c r="AJ28" s="121">
        <f t="shared" si="19"/>
        <v>0</v>
      </c>
      <c r="AK28" s="152">
        <f t="shared" si="19"/>
        <v>937.4636468502026</v>
      </c>
      <c r="AL28" s="121">
        <f t="shared" si="20"/>
        <v>0</v>
      </c>
      <c r="AM28" s="152">
        <f t="shared" si="21"/>
        <v>3991.091161020244</v>
      </c>
      <c r="AN28" s="150"/>
      <c r="AO28" s="148">
        <f t="shared" si="22"/>
        <v>0.84</v>
      </c>
      <c r="AP28" s="169"/>
      <c r="AQ28" s="155"/>
      <c r="AR28" s="155"/>
      <c r="AS28" s="169"/>
      <c r="AT28" s="154"/>
      <c r="AU28" s="169"/>
      <c r="AV28" s="169"/>
      <c r="AW28" s="169"/>
      <c r="AX28" s="169"/>
      <c r="AY28" s="169"/>
      <c r="AZ28" s="169"/>
      <c r="BA28" s="115"/>
      <c r="BB28" s="169"/>
      <c r="BC28" s="169"/>
      <c r="BD28" s="169"/>
      <c r="BE28" s="169"/>
      <c r="BF28" s="115"/>
      <c r="BG28" s="115">
        <f>BF28*L28</f>
        <v>0</v>
      </c>
      <c r="BH28" s="115"/>
      <c r="BI28" s="115">
        <f>BH28*L28</f>
        <v>0</v>
      </c>
      <c r="BJ28" s="153"/>
      <c r="BK28" s="115"/>
      <c r="BL28" s="153"/>
      <c r="BM28" s="115"/>
      <c r="BN28" s="153"/>
      <c r="BO28" s="115"/>
      <c r="BP28" s="115"/>
      <c r="BQ28" s="115">
        <f t="shared" si="26"/>
        <v>3991.091161020244</v>
      </c>
      <c r="BR28" s="115">
        <f t="shared" si="27"/>
        <v>399.10911610202436</v>
      </c>
      <c r="BS28" s="153">
        <f t="shared" si="28"/>
        <v>0.9585425101214575</v>
      </c>
      <c r="BT28" s="153"/>
      <c r="BU28" s="151"/>
    </row>
    <row r="29" spans="1:73" s="7" customFormat="1" ht="22.5">
      <c r="A29" s="19">
        <f>A28+1</f>
        <v>6</v>
      </c>
      <c r="B29" s="28" t="s">
        <v>97</v>
      </c>
      <c r="C29" s="30"/>
      <c r="D29" s="31" t="s">
        <v>133</v>
      </c>
      <c r="E29" s="32" t="s">
        <v>179</v>
      </c>
      <c r="F29" s="29" t="s">
        <v>479</v>
      </c>
      <c r="G29" s="37">
        <f>G28</f>
        <v>6</v>
      </c>
      <c r="H29" s="24"/>
      <c r="I29" s="24"/>
      <c r="J29" s="160">
        <v>0.2</v>
      </c>
      <c r="K29" s="150">
        <v>34</v>
      </c>
      <c r="L29" s="148">
        <f t="shared" si="6"/>
        <v>0.17647058823529413</v>
      </c>
      <c r="M29" s="154">
        <v>1</v>
      </c>
      <c r="N29" s="164">
        <f>L29/J29</f>
        <v>0.8823529411764706</v>
      </c>
      <c r="O29" s="121">
        <f t="shared" si="7"/>
        <v>1.4096213384139082</v>
      </c>
      <c r="P29" s="121">
        <f t="shared" si="8"/>
        <v>1.4096213384139082</v>
      </c>
      <c r="Q29" s="155">
        <v>4</v>
      </c>
      <c r="R29" s="122">
        <f>IF(AND(O29&gt;0,Q29&gt;0),SUMIF('Исх.данные'!$C$14:H32,Q29,'Исх.данные'!$C$18:$H$18),IF(O29=0,0,IF(Q29=0,"РОТ")))</f>
        <v>156.08125696908263</v>
      </c>
      <c r="S29" s="155">
        <v>2</v>
      </c>
      <c r="T29" s="122">
        <f>IF(AND(N29&gt;0,P29&gt;0),SUMIF('Исх.данные'!$C$14:$J$30,S29,'Исх.данные'!$C$34:$J$45),IF(N29=0,0,IF(S29=0,"РОТ")))</f>
        <v>105.700598073999</v>
      </c>
      <c r="U29" s="144">
        <f>O29*R29*'Исх.данные'!$C$43%</f>
        <v>0</v>
      </c>
      <c r="V29" s="144">
        <f>P29*T29*'Исх.данные'!$C$44%</f>
        <v>0</v>
      </c>
      <c r="W29" s="144">
        <f t="shared" si="9"/>
        <v>0</v>
      </c>
      <c r="X29" s="145">
        <f t="shared" si="10"/>
        <v>0</v>
      </c>
      <c r="Y29" s="144">
        <f t="shared" si="11"/>
        <v>22.001547035008343</v>
      </c>
      <c r="Z29" s="145">
        <f t="shared" si="12"/>
        <v>7.449890926411053</v>
      </c>
      <c r="AA29" s="144">
        <f t="shared" si="13"/>
        <v>0</v>
      </c>
      <c r="AB29" s="145">
        <f t="shared" si="14"/>
        <v>0</v>
      </c>
      <c r="AC29" s="143">
        <v>2.5</v>
      </c>
      <c r="AD29" s="144">
        <f t="shared" si="15"/>
        <v>605.0425434627293</v>
      </c>
      <c r="AE29" s="144">
        <f t="shared" si="16"/>
        <v>391.11927363658026</v>
      </c>
      <c r="AF29" s="121">
        <f t="shared" si="17"/>
        <v>89.63593236484878</v>
      </c>
      <c r="AG29" s="152">
        <f t="shared" si="17"/>
        <v>57.943596094308184</v>
      </c>
      <c r="AH29" s="121">
        <f t="shared" si="18"/>
        <v>694.6784758275782</v>
      </c>
      <c r="AI29" s="121">
        <f t="shared" si="18"/>
        <v>449.06286973088845</v>
      </c>
      <c r="AJ29" s="121">
        <f t="shared" si="19"/>
        <v>213.2662920790665</v>
      </c>
      <c r="AK29" s="152">
        <f t="shared" si="19"/>
        <v>137.86230100738274</v>
      </c>
      <c r="AL29" s="121">
        <f t="shared" si="20"/>
        <v>907.9447679066446</v>
      </c>
      <c r="AM29" s="152">
        <f t="shared" si="21"/>
        <v>586.9251707382712</v>
      </c>
      <c r="AN29" s="150">
        <v>2.02</v>
      </c>
      <c r="AO29" s="148">
        <f t="shared" si="22"/>
        <v>0.84</v>
      </c>
      <c r="AP29" s="123">
        <f>(G29*AN29)*AO29/100</f>
        <v>0.101808</v>
      </c>
      <c r="AQ29" s="163" t="s">
        <v>186</v>
      </c>
      <c r="AR29" s="122">
        <f>'Исх.данные'!$G$85</f>
        <v>9559.371428571429</v>
      </c>
      <c r="AS29" s="115">
        <f>AP29*AR29</f>
        <v>973.2204863999999</v>
      </c>
      <c r="AT29" s="154"/>
      <c r="AU29" s="169"/>
      <c r="AV29" s="169"/>
      <c r="AW29" s="169"/>
      <c r="AX29" s="115">
        <f>Нормы!C27</f>
        <v>6</v>
      </c>
      <c r="AY29" s="115">
        <f>AX29*D7/10</f>
        <v>6</v>
      </c>
      <c r="AZ29" s="153">
        <f>Нормы!D27</f>
        <v>33.7</v>
      </c>
      <c r="BA29" s="115">
        <f>AY29*AZ29*1000</f>
        <v>202200.00000000003</v>
      </c>
      <c r="BB29" s="169"/>
      <c r="BC29" s="169"/>
      <c r="BD29" s="169"/>
      <c r="BE29" s="169"/>
      <c r="BF29" s="115">
        <f>аморт!$H$10</f>
        <v>69.6969696969697</v>
      </c>
      <c r="BG29" s="115">
        <f>BF29*L29*$O$12</f>
        <v>98.24633570763602</v>
      </c>
      <c r="BH29" s="115">
        <f>аморт!$H$83</f>
        <v>214.94602272727272</v>
      </c>
      <c r="BI29" s="115">
        <f>BH29*L29*$O$12</f>
        <v>302.99250024356445</v>
      </c>
      <c r="BJ29" s="153">
        <f>'Исх.данные'!$E$89</f>
        <v>98.91196513535999</v>
      </c>
      <c r="BK29" s="115">
        <f t="shared" si="23"/>
        <v>89.02076862182399</v>
      </c>
      <c r="BL29" s="153">
        <f>'Исх.данные'!$E$94</f>
        <v>16.685392176959997</v>
      </c>
      <c r="BM29" s="115">
        <f t="shared" si="24"/>
        <v>15.016852959263998</v>
      </c>
      <c r="BN29" s="39">
        <f>'Исх.данные'!$E$99</f>
        <v>5.761862046719998</v>
      </c>
      <c r="BO29" s="115">
        <f t="shared" si="25"/>
        <v>5.185675842047998</v>
      </c>
      <c r="BP29" s="115">
        <f>аморт!$D$83*10%/аморт!$G$83*L29*O12</f>
        <v>242.3940001948516</v>
      </c>
      <c r="BQ29" s="115">
        <f t="shared" si="26"/>
        <v>205420.94655861412</v>
      </c>
      <c r="BR29" s="115">
        <f t="shared" si="27"/>
        <v>20542.094655861412</v>
      </c>
      <c r="BS29" s="153">
        <f t="shared" si="28"/>
        <v>0.28192426768278167</v>
      </c>
      <c r="BT29" s="153">
        <f>'Исх.данные'!$B$109</f>
        <v>5.1</v>
      </c>
      <c r="BU29" s="151">
        <f>BT29*L29</f>
        <v>0.9</v>
      </c>
    </row>
    <row r="30" spans="1:73" s="56" customFormat="1" ht="11.25">
      <c r="A30" s="54"/>
      <c r="B30" s="55" t="s">
        <v>22</v>
      </c>
      <c r="C30" s="55"/>
      <c r="D30" s="55"/>
      <c r="E30" s="55"/>
      <c r="F30" s="57"/>
      <c r="G30" s="58"/>
      <c r="H30" s="58"/>
      <c r="I30" s="58"/>
      <c r="J30" s="158">
        <f>SUM(J24:J29)</f>
        <v>70.7</v>
      </c>
      <c r="K30" s="158"/>
      <c r="L30" s="158">
        <f aca="true" t="shared" si="29" ref="L30:BM30">SUM(L24:L29)</f>
        <v>70.72262443438913</v>
      </c>
      <c r="M30" s="158">
        <f t="shared" si="29"/>
        <v>5.001602564102564</v>
      </c>
      <c r="N30" s="158">
        <f t="shared" si="29"/>
        <v>3.8823529411764706</v>
      </c>
      <c r="O30" s="158">
        <f t="shared" si="29"/>
        <v>555.3365911297561</v>
      </c>
      <c r="P30" s="158">
        <f t="shared" si="29"/>
        <v>310.5395808525839</v>
      </c>
      <c r="Q30" s="158"/>
      <c r="R30" s="158"/>
      <c r="S30" s="158"/>
      <c r="T30" s="158"/>
      <c r="U30" s="158">
        <f t="shared" si="29"/>
        <v>0</v>
      </c>
      <c r="V30" s="158">
        <f t="shared" si="29"/>
        <v>0</v>
      </c>
      <c r="W30" s="158">
        <f t="shared" si="29"/>
        <v>0</v>
      </c>
      <c r="X30" s="158">
        <f t="shared" si="29"/>
        <v>0</v>
      </c>
      <c r="Y30" s="158">
        <f t="shared" si="29"/>
        <v>9087.340672541082</v>
      </c>
      <c r="Z30" s="158">
        <f t="shared" si="29"/>
        <v>1694.4742099547514</v>
      </c>
      <c r="AA30" s="158">
        <f t="shared" si="29"/>
        <v>0</v>
      </c>
      <c r="AB30" s="158">
        <f t="shared" si="29"/>
        <v>0</v>
      </c>
      <c r="AC30" s="158"/>
      <c r="AD30" s="158">
        <f t="shared" si="29"/>
        <v>249901.8684948798</v>
      </c>
      <c r="AE30" s="158">
        <f t="shared" si="29"/>
        <v>88959.89602262444</v>
      </c>
      <c r="AF30" s="158">
        <f t="shared" si="29"/>
        <v>37022.49903627849</v>
      </c>
      <c r="AG30" s="158">
        <f t="shared" si="29"/>
        <v>13179.24385520362</v>
      </c>
      <c r="AH30" s="158">
        <f t="shared" si="29"/>
        <v>286924.36753115826</v>
      </c>
      <c r="AI30" s="158">
        <f t="shared" si="29"/>
        <v>102139.13987782806</v>
      </c>
      <c r="AJ30" s="158">
        <f t="shared" si="29"/>
        <v>88085.78083206559</v>
      </c>
      <c r="AK30" s="158">
        <f t="shared" si="29"/>
        <v>31356.71594249321</v>
      </c>
      <c r="AL30" s="158">
        <f t="shared" si="29"/>
        <v>375010.1483632238</v>
      </c>
      <c r="AM30" s="158">
        <f t="shared" si="29"/>
        <v>133495.85582032127</v>
      </c>
      <c r="AN30" s="164"/>
      <c r="AO30" s="158"/>
      <c r="AP30" s="158">
        <f t="shared" si="29"/>
        <v>41.455008</v>
      </c>
      <c r="AQ30" s="158"/>
      <c r="AR30" s="158"/>
      <c r="AS30" s="158">
        <f t="shared" si="29"/>
        <v>396451.0462464</v>
      </c>
      <c r="AT30" s="158"/>
      <c r="AU30" s="158">
        <f t="shared" si="29"/>
        <v>0</v>
      </c>
      <c r="AV30" s="158"/>
      <c r="AW30" s="158">
        <f t="shared" si="29"/>
        <v>0</v>
      </c>
      <c r="AX30" s="158"/>
      <c r="AY30" s="158">
        <f t="shared" si="29"/>
        <v>906</v>
      </c>
      <c r="AZ30" s="158"/>
      <c r="BA30" s="158">
        <f t="shared" si="29"/>
        <v>1102200</v>
      </c>
      <c r="BB30" s="158"/>
      <c r="BC30" s="158">
        <f t="shared" si="29"/>
        <v>0</v>
      </c>
      <c r="BD30" s="158"/>
      <c r="BE30" s="158">
        <f t="shared" si="29"/>
        <v>0</v>
      </c>
      <c r="BF30" s="158"/>
      <c r="BG30" s="158">
        <f t="shared" si="29"/>
        <v>38041.427144334375</v>
      </c>
      <c r="BH30" s="158"/>
      <c r="BI30" s="158">
        <f t="shared" si="29"/>
        <v>38042.20528957267</v>
      </c>
      <c r="BJ30" s="158"/>
      <c r="BK30" s="158">
        <f t="shared" si="29"/>
        <v>42128.53580558534</v>
      </c>
      <c r="BL30" s="158"/>
      <c r="BM30" s="158">
        <f t="shared" si="29"/>
        <v>6396.90788830003</v>
      </c>
      <c r="BN30" s="158"/>
      <c r="BO30" s="158">
        <f aca="true" t="shared" si="30" ref="BO30:BU30">SUM(BO24:BO29)</f>
        <v>2713.9976913121914</v>
      </c>
      <c r="BP30" s="158">
        <f t="shared" si="30"/>
        <v>24736.25149383057</v>
      </c>
      <c r="BQ30" s="158">
        <f t="shared" si="30"/>
        <v>2159216.37574288</v>
      </c>
      <c r="BR30" s="158"/>
      <c r="BS30" s="158"/>
      <c r="BT30" s="158"/>
      <c r="BU30" s="158">
        <f t="shared" si="30"/>
        <v>422.8153846153846</v>
      </c>
    </row>
    <row r="31" spans="1:73" s="7" customFormat="1" ht="11.25">
      <c r="A31" s="21"/>
      <c r="B31" s="399" t="s">
        <v>105</v>
      </c>
      <c r="C31" s="399"/>
      <c r="D31" s="399"/>
      <c r="E31" s="399"/>
      <c r="F31" s="23"/>
      <c r="G31" s="24"/>
      <c r="H31" s="24"/>
      <c r="I31" s="24"/>
      <c r="J31" s="154"/>
      <c r="K31" s="154"/>
      <c r="L31" s="166"/>
      <c r="M31" s="154"/>
      <c r="N31" s="154"/>
      <c r="O31" s="167"/>
      <c r="P31" s="167"/>
      <c r="Q31" s="155"/>
      <c r="R31" s="154"/>
      <c r="S31" s="155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68"/>
      <c r="AH31" s="167"/>
      <c r="AI31" s="167"/>
      <c r="AJ31" s="167"/>
      <c r="AK31" s="167"/>
      <c r="AL31" s="167"/>
      <c r="AM31" s="167"/>
      <c r="AN31" s="154"/>
      <c r="AO31" s="154"/>
      <c r="AP31" s="169"/>
      <c r="AQ31" s="155"/>
      <c r="AR31" s="155"/>
      <c r="AS31" s="169"/>
      <c r="AT31" s="154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15">
        <f>BF31*L31</f>
        <v>0</v>
      </c>
      <c r="BH31" s="169"/>
      <c r="BI31" s="115">
        <f>BH31*L31</f>
        <v>0</v>
      </c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</row>
    <row r="32" spans="1:73" s="7" customFormat="1" ht="11.25">
      <c r="A32" s="19">
        <v>1</v>
      </c>
      <c r="B32" s="28" t="s">
        <v>99</v>
      </c>
      <c r="C32" s="30"/>
      <c r="D32" s="418" t="s">
        <v>143</v>
      </c>
      <c r="E32" s="419"/>
      <c r="F32" s="29" t="s">
        <v>181</v>
      </c>
      <c r="G32" s="37">
        <f>AU36</f>
        <v>300</v>
      </c>
      <c r="H32" s="209">
        <v>42526</v>
      </c>
      <c r="I32" s="209">
        <v>42536</v>
      </c>
      <c r="J32" s="160">
        <v>43</v>
      </c>
      <c r="K32" s="150">
        <v>7</v>
      </c>
      <c r="L32" s="148">
        <f aca="true" t="shared" si="31" ref="L32:L37">G32/K32</f>
        <v>42.857142857142854</v>
      </c>
      <c r="M32" s="154"/>
      <c r="N32" s="164">
        <f aca="true" t="shared" si="32" ref="N32:N37">L32/J32</f>
        <v>0.9966777408637874</v>
      </c>
      <c r="O32" s="121">
        <f aca="true" t="shared" si="33" ref="O32:O37">IF(M32=0,0,L32*$O$12)</f>
        <v>0</v>
      </c>
      <c r="P32" s="121">
        <f aca="true" t="shared" si="34" ref="P32:P37">IF(N32=0,0,L32*$O$12)</f>
        <v>342.3366107576634</v>
      </c>
      <c r="Q32" s="155"/>
      <c r="R32" s="154"/>
      <c r="S32" s="155">
        <v>2</v>
      </c>
      <c r="T32" s="122">
        <f>IF(AND(N32&gt;0,P32&gt;0),SUMIF('Исх.данные'!$C$14:$J$30,S32,'Исх.данные'!$C$34:$J$45),IF(N32=0,0,IF(S32=0,"РОТ")))</f>
        <v>105.700598073999</v>
      </c>
      <c r="U32" s="144">
        <f>O32*R32*'Исх.данные'!$C$43%</f>
        <v>0</v>
      </c>
      <c r="V32" s="144">
        <f>P32*T32*'Исх.данные'!$C$44%</f>
        <v>0</v>
      </c>
      <c r="W32" s="144">
        <f aca="true" t="shared" si="35" ref="W32:W37">O32*R32*$W$12</f>
        <v>0</v>
      </c>
      <c r="X32" s="145">
        <f aca="true" t="shared" si="36" ref="X32:X37">P32*T32*$W$12</f>
        <v>0</v>
      </c>
      <c r="Y32" s="144">
        <f aca="true" t="shared" si="37" ref="Y32:Y37">(O32*R32+U32+W32)*$Y$12</f>
        <v>0</v>
      </c>
      <c r="Z32" s="145">
        <f aca="true" t="shared" si="38" ref="Z32:Z37">(P32*T32+V32+X32)*$Z$12</f>
        <v>1809.259224985541</v>
      </c>
      <c r="AA32" s="144">
        <f aca="true" t="shared" si="39" ref="AA32:AA37">(O32*R32+U32)*$AA$12</f>
        <v>0</v>
      </c>
      <c r="AB32" s="145">
        <f aca="true" t="shared" si="40" ref="AB32:AB37">(P32*T32+V32)*$AA$12</f>
        <v>0</v>
      </c>
      <c r="AC32" s="143">
        <v>2.5</v>
      </c>
      <c r="AD32" s="144">
        <f aca="true" t="shared" si="41" ref="AD32:AD37">(O32*R32+U32+W32+Y32+AA32)*AC32</f>
        <v>0</v>
      </c>
      <c r="AE32" s="144">
        <f aca="true" t="shared" si="42" ref="AE32:AE37">(P32*T32+V32+X32+Z32+AB32)*AC32</f>
        <v>94986.1093117409</v>
      </c>
      <c r="AF32" s="121">
        <f aca="true" t="shared" si="43" ref="AF32:AG37">AD32*$AF$12</f>
        <v>0</v>
      </c>
      <c r="AG32" s="152">
        <f t="shared" si="43"/>
        <v>14072.016194331985</v>
      </c>
      <c r="AH32" s="121">
        <f aca="true" t="shared" si="44" ref="AH32:AI37">AD32+AF32</f>
        <v>0</v>
      </c>
      <c r="AI32" s="121">
        <f t="shared" si="44"/>
        <v>109058.12550607289</v>
      </c>
      <c r="AJ32" s="121">
        <f aca="true" t="shared" si="45" ref="AJ32:AK37">AH32*$AJ$12</f>
        <v>0</v>
      </c>
      <c r="AK32" s="152">
        <f t="shared" si="45"/>
        <v>33480.844530364375</v>
      </c>
      <c r="AL32" s="121">
        <f aca="true" t="shared" si="46" ref="AL32:AL37">AH32+AJ32</f>
        <v>0</v>
      </c>
      <c r="AM32" s="152">
        <f aca="true" t="shared" si="47" ref="AM32:AM37">AK32+AI32</f>
        <v>142538.97003643727</v>
      </c>
      <c r="AN32" s="154"/>
      <c r="AO32" s="154"/>
      <c r="AP32" s="169"/>
      <c r="AQ32" s="155"/>
      <c r="AR32" s="155"/>
      <c r="AS32" s="169"/>
      <c r="AT32" s="154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15">
        <f>BF32*L32</f>
        <v>0</v>
      </c>
      <c r="BH32" s="115"/>
      <c r="BI32" s="115">
        <f>BH32*L32</f>
        <v>0</v>
      </c>
      <c r="BJ32" s="169"/>
      <c r="BK32" s="169"/>
      <c r="BL32" s="169"/>
      <c r="BM32" s="169"/>
      <c r="BN32" s="169"/>
      <c r="BO32" s="169"/>
      <c r="BP32" s="169"/>
      <c r="BQ32" s="115">
        <f aca="true" t="shared" si="48" ref="BQ32:BQ37">AL32+AM32+AS32+AW32+BA32+BE32+BG32+BI32+BK32+BM32+BO32+BP32</f>
        <v>142538.97003643727</v>
      </c>
      <c r="BR32" s="115">
        <f aca="true" t="shared" si="49" ref="BR32:BR37">BQ32/$D$7</f>
        <v>14253.897003643728</v>
      </c>
      <c r="BS32" s="153">
        <f aca="true" t="shared" si="50" ref="BS32:BS37">(O32+P32)/$D$7</f>
        <v>34.233661075766335</v>
      </c>
      <c r="BT32" s="169"/>
      <c r="BU32" s="169"/>
    </row>
    <row r="33" spans="1:73" s="7" customFormat="1" ht="11.25">
      <c r="A33" s="19">
        <v>2</v>
      </c>
      <c r="B33" s="28" t="s">
        <v>100</v>
      </c>
      <c r="C33" s="30"/>
      <c r="D33" s="418" t="s">
        <v>143</v>
      </c>
      <c r="E33" s="419"/>
      <c r="F33" s="29" t="s">
        <v>181</v>
      </c>
      <c r="G33" s="37">
        <f>G32</f>
        <v>300</v>
      </c>
      <c r="H33" s="209">
        <v>42526</v>
      </c>
      <c r="I33" s="209">
        <v>42536</v>
      </c>
      <c r="J33" s="160">
        <v>38</v>
      </c>
      <c r="K33" s="150">
        <v>8</v>
      </c>
      <c r="L33" s="148">
        <f t="shared" si="31"/>
        <v>37.5</v>
      </c>
      <c r="M33" s="154"/>
      <c r="N33" s="164">
        <f t="shared" si="32"/>
        <v>0.9868421052631579</v>
      </c>
      <c r="O33" s="121">
        <f t="shared" si="33"/>
        <v>0</v>
      </c>
      <c r="P33" s="121">
        <f t="shared" si="34"/>
        <v>299.54453441295544</v>
      </c>
      <c r="Q33" s="155">
        <v>2</v>
      </c>
      <c r="R33" s="122">
        <f>IF(AND(O33&gt;0,Q33&gt;0),SUMIF('Исх.данные'!$C$14:H34,Q33,'Исх.данные'!$C$18:$H$18),IF(O33=0,0,IF(Q33=0,"РОТ")))</f>
        <v>0</v>
      </c>
      <c r="S33" s="155">
        <v>2</v>
      </c>
      <c r="T33" s="122">
        <f>IF(AND(N33&gt;0,P33&gt;0),SUMIF('Исх.данные'!$C$14:$J$30,S33,'Исх.данные'!$C$34:$J$45),IF(N33=0,0,IF(S33=0,"РОТ")))</f>
        <v>105.700598073999</v>
      </c>
      <c r="U33" s="144">
        <f>O33*R33*'Исх.данные'!$C$43%</f>
        <v>0</v>
      </c>
      <c r="V33" s="144">
        <f>P33*T33*'Исх.данные'!$C$44%</f>
        <v>0</v>
      </c>
      <c r="W33" s="144">
        <f t="shared" si="35"/>
        <v>0</v>
      </c>
      <c r="X33" s="145">
        <f t="shared" si="36"/>
        <v>0</v>
      </c>
      <c r="Y33" s="144">
        <f t="shared" si="37"/>
        <v>0</v>
      </c>
      <c r="Z33" s="145">
        <f t="shared" si="38"/>
        <v>1583.1018218623485</v>
      </c>
      <c r="AA33" s="144">
        <f t="shared" si="39"/>
        <v>0</v>
      </c>
      <c r="AB33" s="145">
        <f t="shared" si="40"/>
        <v>0</v>
      </c>
      <c r="AC33" s="143">
        <v>2.5</v>
      </c>
      <c r="AD33" s="144">
        <f t="shared" si="41"/>
        <v>0</v>
      </c>
      <c r="AE33" s="144">
        <f t="shared" si="42"/>
        <v>83112.84564777328</v>
      </c>
      <c r="AF33" s="121">
        <f t="shared" si="43"/>
        <v>0</v>
      </c>
      <c r="AG33" s="152">
        <f t="shared" si="43"/>
        <v>12313.014170040486</v>
      </c>
      <c r="AH33" s="121">
        <f t="shared" si="44"/>
        <v>0</v>
      </c>
      <c r="AI33" s="121">
        <f t="shared" si="44"/>
        <v>95425.85981781376</v>
      </c>
      <c r="AJ33" s="121">
        <f t="shared" si="45"/>
        <v>0</v>
      </c>
      <c r="AK33" s="152">
        <f t="shared" si="45"/>
        <v>29295.738964068823</v>
      </c>
      <c r="AL33" s="121">
        <f t="shared" si="46"/>
        <v>0</v>
      </c>
      <c r="AM33" s="152">
        <f t="shared" si="47"/>
        <v>124721.59878188258</v>
      </c>
      <c r="AN33" s="154"/>
      <c r="AO33" s="154"/>
      <c r="AP33" s="169"/>
      <c r="AQ33" s="155"/>
      <c r="AR33" s="155"/>
      <c r="AS33" s="169"/>
      <c r="AT33" s="154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15"/>
      <c r="BG33" s="115">
        <f>BF33*L33</f>
        <v>0</v>
      </c>
      <c r="BH33" s="156"/>
      <c r="BI33" s="115">
        <f>BH33*L33</f>
        <v>0</v>
      </c>
      <c r="BJ33" s="153"/>
      <c r="BK33" s="115"/>
      <c r="BL33" s="153"/>
      <c r="BM33" s="115"/>
      <c r="BN33" s="153"/>
      <c r="BO33" s="115"/>
      <c r="BP33" s="115"/>
      <c r="BQ33" s="115">
        <f t="shared" si="48"/>
        <v>124721.59878188258</v>
      </c>
      <c r="BR33" s="115">
        <f t="shared" si="49"/>
        <v>12472.159878188259</v>
      </c>
      <c r="BS33" s="153">
        <f t="shared" si="50"/>
        <v>29.954453441295545</v>
      </c>
      <c r="BT33" s="153"/>
      <c r="BU33" s="151"/>
    </row>
    <row r="34" spans="1:73" s="7" customFormat="1" ht="11.25">
      <c r="A34" s="19">
        <v>3</v>
      </c>
      <c r="B34" s="28" t="s">
        <v>101</v>
      </c>
      <c r="C34" s="30"/>
      <c r="D34" s="31" t="s">
        <v>133</v>
      </c>
      <c r="E34" s="32" t="s">
        <v>140</v>
      </c>
      <c r="F34" s="29" t="s">
        <v>181</v>
      </c>
      <c r="G34" s="37">
        <f>G33</f>
        <v>300</v>
      </c>
      <c r="H34" s="209">
        <v>42526</v>
      </c>
      <c r="I34" s="209">
        <v>42536</v>
      </c>
      <c r="J34" s="160">
        <v>10</v>
      </c>
      <c r="K34" s="150">
        <v>30</v>
      </c>
      <c r="L34" s="148">
        <f t="shared" si="31"/>
        <v>10</v>
      </c>
      <c r="M34" s="154">
        <v>1</v>
      </c>
      <c r="N34" s="164">
        <f t="shared" si="32"/>
        <v>1</v>
      </c>
      <c r="O34" s="121">
        <f t="shared" si="33"/>
        <v>79.87854251012146</v>
      </c>
      <c r="P34" s="121">
        <f t="shared" si="34"/>
        <v>79.87854251012146</v>
      </c>
      <c r="Q34" s="155">
        <v>2</v>
      </c>
      <c r="R34" s="122">
        <f>IF(AND(O34&gt;0,Q34&gt;0),SUMIF('Исх.данные'!$C$14:H40,Q34,'Исх.данные'!$C$18:$H$18),IF(O34=0,0,IF(Q34=0,"РОТ")))</f>
        <v>128.66557526609228</v>
      </c>
      <c r="S34" s="155">
        <v>2</v>
      </c>
      <c r="T34" s="122">
        <f>IF(AND(N34&gt;0,P34&gt;0),SUMIF('Исх.данные'!$C$14:$J$30,S34,'Исх.данные'!$C$34:$J$45),IF(N34=0,0,IF(S34=0,"РОТ")))</f>
        <v>105.700598073999</v>
      </c>
      <c r="U34" s="144">
        <f>O34*R34*'Исх.данные'!$C$43%</f>
        <v>0</v>
      </c>
      <c r="V34" s="144">
        <f>P34*T34*'Исх.данные'!$C$44%</f>
        <v>0</v>
      </c>
      <c r="W34" s="144">
        <f t="shared" si="35"/>
        <v>0</v>
      </c>
      <c r="X34" s="145">
        <f t="shared" si="36"/>
        <v>0</v>
      </c>
      <c r="Y34" s="144">
        <f t="shared" si="37"/>
        <v>1027.7618623481785</v>
      </c>
      <c r="Z34" s="145">
        <f t="shared" si="38"/>
        <v>422.16048582995967</v>
      </c>
      <c r="AA34" s="144">
        <f t="shared" si="39"/>
        <v>0</v>
      </c>
      <c r="AB34" s="145">
        <f t="shared" si="40"/>
        <v>0</v>
      </c>
      <c r="AC34" s="143">
        <v>2.5</v>
      </c>
      <c r="AD34" s="144">
        <f t="shared" si="41"/>
        <v>28263.451214574907</v>
      </c>
      <c r="AE34" s="144">
        <f t="shared" si="42"/>
        <v>22163.425506072883</v>
      </c>
      <c r="AF34" s="121">
        <f t="shared" si="43"/>
        <v>4187.177957714801</v>
      </c>
      <c r="AG34" s="152">
        <f t="shared" si="43"/>
        <v>3283.4704453441304</v>
      </c>
      <c r="AH34" s="121">
        <f t="shared" si="44"/>
        <v>32450.629172289708</v>
      </c>
      <c r="AI34" s="121">
        <f t="shared" si="44"/>
        <v>25446.895951417013</v>
      </c>
      <c r="AJ34" s="121">
        <f t="shared" si="45"/>
        <v>9962.34315589294</v>
      </c>
      <c r="AK34" s="152">
        <f t="shared" si="45"/>
        <v>7812.197057085023</v>
      </c>
      <c r="AL34" s="121">
        <f t="shared" si="46"/>
        <v>42412.972328182645</v>
      </c>
      <c r="AM34" s="152">
        <f t="shared" si="47"/>
        <v>33259.09300850204</v>
      </c>
      <c r="AN34" s="150">
        <v>1.4</v>
      </c>
      <c r="AO34" s="148">
        <f>$AO$17</f>
        <v>0.84</v>
      </c>
      <c r="AP34" s="123">
        <f>(G34*AN34)*AO34/100</f>
        <v>3.528</v>
      </c>
      <c r="AQ34" s="163" t="s">
        <v>186</v>
      </c>
      <c r="AR34" s="122">
        <f>'Исх.данные'!$G$85</f>
        <v>9559.371428571429</v>
      </c>
      <c r="AS34" s="115">
        <f>AP34*AR34</f>
        <v>33725.462400000004</v>
      </c>
      <c r="AT34" s="154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15">
        <f>аморт!$H$10</f>
        <v>69.6969696969697</v>
      </c>
      <c r="BG34" s="115">
        <f>BF34*L34*$O$12</f>
        <v>5567.292356766041</v>
      </c>
      <c r="BH34" s="156">
        <f>аморт!$H$25</f>
        <v>12.519247457627118</v>
      </c>
      <c r="BI34" s="115">
        <f>BH34*L34*$O$12</f>
        <v>1000.0192402387977</v>
      </c>
      <c r="BJ34" s="153">
        <f>'Исх.данные'!$E$89</f>
        <v>98.91196513535999</v>
      </c>
      <c r="BK34" s="115">
        <f>BJ34*BU34</f>
        <v>5044.51022190336</v>
      </c>
      <c r="BL34" s="153">
        <f>'Исх.данные'!$E$94</f>
        <v>16.685392176959997</v>
      </c>
      <c r="BM34" s="115">
        <f>BL34*BU34</f>
        <v>850.9550010249599</v>
      </c>
      <c r="BN34" s="39">
        <f>'Исх.данные'!$E$99</f>
        <v>5.761862046719998</v>
      </c>
      <c r="BO34" s="115">
        <f>BN34*BU34</f>
        <v>293.8549643827199</v>
      </c>
      <c r="BP34" s="115">
        <f>аморт!$D$25*10%/аморт!$G$25*L34*O12</f>
        <v>1000.0192402387977</v>
      </c>
      <c r="BQ34" s="115">
        <f t="shared" si="48"/>
        <v>123154.17876123935</v>
      </c>
      <c r="BR34" s="115">
        <f t="shared" si="49"/>
        <v>12315.417876123935</v>
      </c>
      <c r="BS34" s="153">
        <f t="shared" si="50"/>
        <v>15.975708502024293</v>
      </c>
      <c r="BT34" s="153">
        <f>'Исх.данные'!$B$109</f>
        <v>5.1</v>
      </c>
      <c r="BU34" s="151">
        <f>BT34*L34</f>
        <v>51</v>
      </c>
    </row>
    <row r="35" spans="1:73" s="7" customFormat="1" ht="11.25">
      <c r="A35" s="19">
        <v>4</v>
      </c>
      <c r="B35" s="28" t="s">
        <v>102</v>
      </c>
      <c r="C35" s="30"/>
      <c r="D35" s="418" t="s">
        <v>143</v>
      </c>
      <c r="E35" s="419"/>
      <c r="F35" s="29" t="s">
        <v>181</v>
      </c>
      <c r="G35" s="37">
        <f>G34</f>
        <v>300</v>
      </c>
      <c r="H35" s="209">
        <v>42526</v>
      </c>
      <c r="I35" s="209">
        <v>42536</v>
      </c>
      <c r="J35" s="160">
        <v>10</v>
      </c>
      <c r="K35" s="150">
        <v>30</v>
      </c>
      <c r="L35" s="148">
        <f t="shared" si="31"/>
        <v>10</v>
      </c>
      <c r="M35" s="154"/>
      <c r="N35" s="164">
        <f t="shared" si="32"/>
        <v>1</v>
      </c>
      <c r="O35" s="121">
        <f t="shared" si="33"/>
        <v>0</v>
      </c>
      <c r="P35" s="121">
        <f t="shared" si="34"/>
        <v>79.87854251012146</v>
      </c>
      <c r="Q35" s="155">
        <v>2</v>
      </c>
      <c r="R35" s="122">
        <f>IF(AND(O35&gt;0,Q35&gt;0),SUMIF('Исх.данные'!$C$14:H40,Q35,'Исх.данные'!$C$18:$H$18),IF(O35=0,0,IF(Q35=0,"РОТ")))</f>
        <v>0</v>
      </c>
      <c r="S35" s="155">
        <v>2</v>
      </c>
      <c r="T35" s="122">
        <f>IF(AND(N35&gt;0,P35&gt;0),SUMIF('Исх.данные'!$C$14:$J$30,S35,'Исх.данные'!$C$34:$J$45),IF(N35=0,0,IF(S35=0,"РОТ")))</f>
        <v>105.700598073999</v>
      </c>
      <c r="U35" s="144">
        <f>O35*R35*'Исх.данные'!$C$43%</f>
        <v>0</v>
      </c>
      <c r="V35" s="144">
        <f>P35*T35*'Исх.данные'!$C$44%</f>
        <v>0</v>
      </c>
      <c r="W35" s="144">
        <f t="shared" si="35"/>
        <v>0</v>
      </c>
      <c r="X35" s="145">
        <f t="shared" si="36"/>
        <v>0</v>
      </c>
      <c r="Y35" s="144">
        <f t="shared" si="37"/>
        <v>0</v>
      </c>
      <c r="Z35" s="145">
        <f t="shared" si="38"/>
        <v>422.16048582995967</v>
      </c>
      <c r="AA35" s="144">
        <f t="shared" si="39"/>
        <v>0</v>
      </c>
      <c r="AB35" s="145">
        <f t="shared" si="40"/>
        <v>0</v>
      </c>
      <c r="AC35" s="143">
        <v>2.5</v>
      </c>
      <c r="AD35" s="144">
        <f t="shared" si="41"/>
        <v>0</v>
      </c>
      <c r="AE35" s="144">
        <f t="shared" si="42"/>
        <v>22163.425506072883</v>
      </c>
      <c r="AF35" s="121">
        <f t="shared" si="43"/>
        <v>0</v>
      </c>
      <c r="AG35" s="152">
        <f t="shared" si="43"/>
        <v>3283.4704453441304</v>
      </c>
      <c r="AH35" s="121">
        <f t="shared" si="44"/>
        <v>0</v>
      </c>
      <c r="AI35" s="121">
        <f t="shared" si="44"/>
        <v>25446.895951417013</v>
      </c>
      <c r="AJ35" s="121">
        <f t="shared" si="45"/>
        <v>0</v>
      </c>
      <c r="AK35" s="152">
        <f t="shared" si="45"/>
        <v>7812.197057085023</v>
      </c>
      <c r="AL35" s="121">
        <f t="shared" si="46"/>
        <v>0</v>
      </c>
      <c r="AM35" s="152">
        <f t="shared" si="47"/>
        <v>33259.09300850204</v>
      </c>
      <c r="AN35" s="150"/>
      <c r="AO35" s="148">
        <f>$AO$17</f>
        <v>0.84</v>
      </c>
      <c r="AP35" s="169"/>
      <c r="AQ35" s="155"/>
      <c r="AR35" s="155"/>
      <c r="AS35" s="169"/>
      <c r="AT35" s="154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15"/>
      <c r="BG35" s="115">
        <f>BF35*L35</f>
        <v>0</v>
      </c>
      <c r="BH35" s="156"/>
      <c r="BI35" s="115">
        <f>BH35*L35</f>
        <v>0</v>
      </c>
      <c r="BJ35" s="153"/>
      <c r="BK35" s="115"/>
      <c r="BL35" s="153"/>
      <c r="BM35" s="115"/>
      <c r="BN35" s="153"/>
      <c r="BO35" s="115"/>
      <c r="BP35" s="115"/>
      <c r="BQ35" s="115">
        <f t="shared" si="48"/>
        <v>33259.09300850204</v>
      </c>
      <c r="BR35" s="115">
        <f t="shared" si="49"/>
        <v>3325.9093008502036</v>
      </c>
      <c r="BS35" s="153">
        <f t="shared" si="50"/>
        <v>7.987854251012147</v>
      </c>
      <c r="BT35" s="153"/>
      <c r="BU35" s="151"/>
    </row>
    <row r="36" spans="1:73" s="7" customFormat="1" ht="11.25">
      <c r="A36" s="19">
        <v>5</v>
      </c>
      <c r="B36" s="28" t="s">
        <v>103</v>
      </c>
      <c r="C36" s="30"/>
      <c r="D36" s="31" t="s">
        <v>133</v>
      </c>
      <c r="E36" s="32" t="s">
        <v>180</v>
      </c>
      <c r="F36" s="29" t="s">
        <v>134</v>
      </c>
      <c r="G36" s="30">
        <f>D7</f>
        <v>10</v>
      </c>
      <c r="H36" s="209">
        <v>42526</v>
      </c>
      <c r="I36" s="209">
        <v>42536</v>
      </c>
      <c r="J36" s="160">
        <v>10</v>
      </c>
      <c r="K36" s="150">
        <v>1</v>
      </c>
      <c r="L36" s="148">
        <f t="shared" si="31"/>
        <v>10</v>
      </c>
      <c r="M36" s="154">
        <v>1</v>
      </c>
      <c r="N36" s="164">
        <f t="shared" si="32"/>
        <v>1</v>
      </c>
      <c r="O36" s="121">
        <f t="shared" si="33"/>
        <v>79.87854251012146</v>
      </c>
      <c r="P36" s="121">
        <f t="shared" si="34"/>
        <v>79.87854251012146</v>
      </c>
      <c r="Q36" s="155">
        <v>2</v>
      </c>
      <c r="R36" s="122">
        <f>IF(AND(O36&gt;0,Q36&gt;0),SUMIF('Исх.данные'!$C$14:H41,Q36,'Исх.данные'!$C$18:$H$18),IF(O36=0,0,IF(Q36=0,"РОТ")))</f>
        <v>128.66557526609228</v>
      </c>
      <c r="S36" s="155">
        <v>3</v>
      </c>
      <c r="T36" s="122">
        <f>IF(AND(N36&gt;0,P36&gt;0),SUMIF('Исх.данные'!$C$14:$J$30,S36,'Исх.данные'!$C$34:$J$45),IF(N36=0,0,IF(S36=0,"РОТ")))</f>
        <v>113.60344652812975</v>
      </c>
      <c r="U36" s="144">
        <f>O36*R36*'Исх.данные'!$C$43%</f>
        <v>0</v>
      </c>
      <c r="V36" s="144">
        <f>P36*T36*'Исх.данные'!$C$44%</f>
        <v>0</v>
      </c>
      <c r="W36" s="144">
        <f t="shared" si="35"/>
        <v>0</v>
      </c>
      <c r="X36" s="145">
        <f t="shared" si="36"/>
        <v>0</v>
      </c>
      <c r="Y36" s="144">
        <f t="shared" si="37"/>
        <v>1027.7618623481785</v>
      </c>
      <c r="Z36" s="145">
        <f t="shared" si="38"/>
        <v>453.72388663967615</v>
      </c>
      <c r="AA36" s="144">
        <f t="shared" si="39"/>
        <v>0</v>
      </c>
      <c r="AB36" s="145">
        <f t="shared" si="40"/>
        <v>0</v>
      </c>
      <c r="AC36" s="143">
        <v>2.5</v>
      </c>
      <c r="AD36" s="144">
        <f t="shared" si="41"/>
        <v>28263.451214574907</v>
      </c>
      <c r="AE36" s="144">
        <f t="shared" si="42"/>
        <v>23820.504048582996</v>
      </c>
      <c r="AF36" s="121">
        <f t="shared" si="43"/>
        <v>4187.177957714801</v>
      </c>
      <c r="AG36" s="152">
        <f t="shared" si="43"/>
        <v>3528.963562753036</v>
      </c>
      <c r="AH36" s="121">
        <f t="shared" si="44"/>
        <v>32450.629172289708</v>
      </c>
      <c r="AI36" s="121">
        <f t="shared" si="44"/>
        <v>27349.467611336033</v>
      </c>
      <c r="AJ36" s="121">
        <f t="shared" si="45"/>
        <v>9962.34315589294</v>
      </c>
      <c r="AK36" s="152">
        <f t="shared" si="45"/>
        <v>8396.286556680161</v>
      </c>
      <c r="AL36" s="121">
        <f t="shared" si="46"/>
        <v>42412.972328182645</v>
      </c>
      <c r="AM36" s="152">
        <f t="shared" si="47"/>
        <v>35745.754168016196</v>
      </c>
      <c r="AN36" s="150">
        <v>38.5</v>
      </c>
      <c r="AO36" s="148">
        <f>$AO$17</f>
        <v>0.84</v>
      </c>
      <c r="AP36" s="123">
        <f>(G36*AN36)*AO36/100</f>
        <v>3.234</v>
      </c>
      <c r="AQ36" s="163" t="s">
        <v>186</v>
      </c>
      <c r="AR36" s="122">
        <f>'Исх.данные'!$G$85</f>
        <v>9559.371428571429</v>
      </c>
      <c r="AS36" s="115">
        <f>AP36*AR36</f>
        <v>30915.0072</v>
      </c>
      <c r="AT36" s="146">
        <f>Нормы!C26</f>
        <v>30</v>
      </c>
      <c r="AU36" s="115">
        <f>AT36*D7</f>
        <v>300</v>
      </c>
      <c r="AV36" s="115">
        <f>'О-РСсеб'!B30</f>
        <v>9162.58578517017</v>
      </c>
      <c r="AW36" s="115">
        <f>AU36*AV36</f>
        <v>2748775.735551051</v>
      </c>
      <c r="AX36" s="115"/>
      <c r="AY36" s="115"/>
      <c r="AZ36" s="115"/>
      <c r="BA36" s="115"/>
      <c r="BB36" s="169"/>
      <c r="BC36" s="169"/>
      <c r="BD36" s="169"/>
      <c r="BE36" s="169"/>
      <c r="BF36" s="115">
        <f>аморт!$H$10</f>
        <v>69.6969696969697</v>
      </c>
      <c r="BG36" s="115">
        <f>BF36*L36*$O$12</f>
        <v>5567.292356766041</v>
      </c>
      <c r="BH36" s="115">
        <f>аморт!$H$88</f>
        <v>114.406775</v>
      </c>
      <c r="BI36" s="115">
        <f>BH36*L36*$O$12</f>
        <v>9138.6464402834</v>
      </c>
      <c r="BJ36" s="153">
        <f>'Исх.данные'!$E$89</f>
        <v>98.91196513535999</v>
      </c>
      <c r="BK36" s="115">
        <f>BJ36*BU36</f>
        <v>5044.51022190336</v>
      </c>
      <c r="BL36" s="153">
        <f>'Исх.данные'!$E$94</f>
        <v>16.685392176959997</v>
      </c>
      <c r="BM36" s="115">
        <f>BL36*BU36</f>
        <v>850.9550010249599</v>
      </c>
      <c r="BN36" s="39">
        <f>'Исх.данные'!$E$99</f>
        <v>5.761862046719998</v>
      </c>
      <c r="BO36" s="115">
        <f>BN36*BU36</f>
        <v>293.8549643827199</v>
      </c>
      <c r="BP36" s="115"/>
      <c r="BQ36" s="115">
        <f t="shared" si="48"/>
        <v>2878744.7282316103</v>
      </c>
      <c r="BR36" s="115">
        <f t="shared" si="49"/>
        <v>287874.47282316105</v>
      </c>
      <c r="BS36" s="153">
        <f t="shared" si="50"/>
        <v>15.975708502024293</v>
      </c>
      <c r="BT36" s="153">
        <f>'Исх.данные'!$B$109</f>
        <v>5.1</v>
      </c>
      <c r="BU36" s="151">
        <f>BT36*L36</f>
        <v>51</v>
      </c>
    </row>
    <row r="37" spans="1:73" s="7" customFormat="1" ht="11.25">
      <c r="A37" s="19">
        <v>6</v>
      </c>
      <c r="B37" s="28" t="s">
        <v>104</v>
      </c>
      <c r="C37" s="30"/>
      <c r="D37" s="418" t="s">
        <v>143</v>
      </c>
      <c r="E37" s="419"/>
      <c r="F37" s="29" t="s">
        <v>134</v>
      </c>
      <c r="G37" s="30">
        <f>G36</f>
        <v>10</v>
      </c>
      <c r="H37" s="209">
        <v>42526</v>
      </c>
      <c r="I37" s="209">
        <v>42536</v>
      </c>
      <c r="J37" s="160">
        <v>29</v>
      </c>
      <c r="K37" s="150">
        <v>0.35</v>
      </c>
      <c r="L37" s="148">
        <f t="shared" si="31"/>
        <v>28.571428571428573</v>
      </c>
      <c r="M37" s="154"/>
      <c r="N37" s="164">
        <f t="shared" si="32"/>
        <v>0.9852216748768473</v>
      </c>
      <c r="O37" s="121">
        <f t="shared" si="33"/>
        <v>0</v>
      </c>
      <c r="P37" s="121">
        <f t="shared" si="34"/>
        <v>228.2244071717756</v>
      </c>
      <c r="Q37" s="155"/>
      <c r="R37" s="154"/>
      <c r="S37" s="155">
        <v>3</v>
      </c>
      <c r="T37" s="122">
        <f>IF(AND(N37&gt;0,P37&gt;0),SUMIF('Исх.данные'!$C$14:$J$30,S37,'Исх.данные'!$C$34:$J$45),IF(N37=0,0,IF(S37=0,"РОТ")))</f>
        <v>113.60344652812975</v>
      </c>
      <c r="U37" s="144">
        <f>O37*R37*'Исх.данные'!$C$43%</f>
        <v>0</v>
      </c>
      <c r="V37" s="144">
        <f>P37*T37*'Исх.данные'!$C$44%</f>
        <v>0</v>
      </c>
      <c r="W37" s="144">
        <f t="shared" si="35"/>
        <v>0</v>
      </c>
      <c r="X37" s="145">
        <f t="shared" si="36"/>
        <v>0</v>
      </c>
      <c r="Y37" s="144">
        <f t="shared" si="37"/>
        <v>0</v>
      </c>
      <c r="Z37" s="145">
        <f t="shared" si="38"/>
        <v>1296.3539618276461</v>
      </c>
      <c r="AA37" s="144">
        <f t="shared" si="39"/>
        <v>0</v>
      </c>
      <c r="AB37" s="145">
        <f t="shared" si="40"/>
        <v>0</v>
      </c>
      <c r="AC37" s="143">
        <v>2.5</v>
      </c>
      <c r="AD37" s="144">
        <f t="shared" si="41"/>
        <v>0</v>
      </c>
      <c r="AE37" s="144">
        <f t="shared" si="42"/>
        <v>68058.58299595141</v>
      </c>
      <c r="AF37" s="121">
        <f t="shared" si="43"/>
        <v>0</v>
      </c>
      <c r="AG37" s="152">
        <f t="shared" si="43"/>
        <v>10082.753036437245</v>
      </c>
      <c r="AH37" s="121">
        <f t="shared" si="44"/>
        <v>0</v>
      </c>
      <c r="AI37" s="121">
        <f t="shared" si="44"/>
        <v>78141.33603238866</v>
      </c>
      <c r="AJ37" s="121">
        <f t="shared" si="45"/>
        <v>0</v>
      </c>
      <c r="AK37" s="152">
        <f t="shared" si="45"/>
        <v>23989.390161943316</v>
      </c>
      <c r="AL37" s="121">
        <f t="shared" si="46"/>
        <v>0</v>
      </c>
      <c r="AM37" s="152">
        <f t="shared" si="47"/>
        <v>102130.72619433198</v>
      </c>
      <c r="AN37" s="154"/>
      <c r="AO37" s="154"/>
      <c r="AP37" s="169"/>
      <c r="AQ37" s="155"/>
      <c r="AR37" s="155"/>
      <c r="AS37" s="169"/>
      <c r="AT37" s="154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15">
        <f>BF37*L37</f>
        <v>0</v>
      </c>
      <c r="BH37" s="115"/>
      <c r="BI37" s="115">
        <f>BH37*L37</f>
        <v>0</v>
      </c>
      <c r="BJ37" s="169"/>
      <c r="BK37" s="169"/>
      <c r="BL37" s="169"/>
      <c r="BM37" s="169"/>
      <c r="BN37" s="169"/>
      <c r="BO37" s="169"/>
      <c r="BP37" s="169"/>
      <c r="BQ37" s="115">
        <f t="shared" si="48"/>
        <v>102130.72619433198</v>
      </c>
      <c r="BR37" s="115">
        <f t="shared" si="49"/>
        <v>10213.072619433198</v>
      </c>
      <c r="BS37" s="153">
        <f t="shared" si="50"/>
        <v>22.82244071717756</v>
      </c>
      <c r="BT37" s="169"/>
      <c r="BU37" s="169"/>
    </row>
    <row r="38" spans="1:73" s="56" customFormat="1" ht="11.25">
      <c r="A38" s="54"/>
      <c r="B38" s="55" t="s">
        <v>22</v>
      </c>
      <c r="C38" s="55"/>
      <c r="D38" s="55"/>
      <c r="E38" s="55"/>
      <c r="F38" s="57"/>
      <c r="G38" s="58"/>
      <c r="H38" s="58"/>
      <c r="I38" s="58"/>
      <c r="J38" s="158">
        <f>SUM(J32:J37)</f>
        <v>140</v>
      </c>
      <c r="K38" s="158"/>
      <c r="L38" s="158">
        <f aca="true" t="shared" si="51" ref="L38:BM38">SUM(L32:L37)</f>
        <v>138.92857142857144</v>
      </c>
      <c r="M38" s="158">
        <f t="shared" si="51"/>
        <v>2</v>
      </c>
      <c r="N38" s="158">
        <f t="shared" si="51"/>
        <v>5.968741521003793</v>
      </c>
      <c r="O38" s="158">
        <f t="shared" si="51"/>
        <v>159.75708502024293</v>
      </c>
      <c r="P38" s="158">
        <f t="shared" si="51"/>
        <v>1109.7411798727585</v>
      </c>
      <c r="Q38" s="158"/>
      <c r="R38" s="158"/>
      <c r="S38" s="158"/>
      <c r="T38" s="158"/>
      <c r="U38" s="158">
        <f t="shared" si="51"/>
        <v>0</v>
      </c>
      <c r="V38" s="158">
        <f t="shared" si="51"/>
        <v>0</v>
      </c>
      <c r="W38" s="158">
        <f t="shared" si="51"/>
        <v>0</v>
      </c>
      <c r="X38" s="158">
        <f t="shared" si="51"/>
        <v>0</v>
      </c>
      <c r="Y38" s="158">
        <f t="shared" si="51"/>
        <v>2055.523724696357</v>
      </c>
      <c r="Z38" s="158">
        <f t="shared" si="51"/>
        <v>5986.759866975131</v>
      </c>
      <c r="AA38" s="158">
        <f t="shared" si="51"/>
        <v>0</v>
      </c>
      <c r="AB38" s="158">
        <f t="shared" si="51"/>
        <v>0</v>
      </c>
      <c r="AC38" s="158"/>
      <c r="AD38" s="158">
        <f t="shared" si="51"/>
        <v>56526.90242914981</v>
      </c>
      <c r="AE38" s="158">
        <f t="shared" si="51"/>
        <v>314304.89301619434</v>
      </c>
      <c r="AF38" s="158">
        <f t="shared" si="51"/>
        <v>8374.355915429602</v>
      </c>
      <c r="AG38" s="158">
        <f t="shared" si="51"/>
        <v>46563.68785425101</v>
      </c>
      <c r="AH38" s="158">
        <f t="shared" si="51"/>
        <v>64901.258344579415</v>
      </c>
      <c r="AI38" s="158">
        <f t="shared" si="51"/>
        <v>360868.5808704454</v>
      </c>
      <c r="AJ38" s="158">
        <f t="shared" si="51"/>
        <v>19924.68631178588</v>
      </c>
      <c r="AK38" s="158">
        <f t="shared" si="51"/>
        <v>110786.65432722673</v>
      </c>
      <c r="AL38" s="158">
        <f t="shared" si="51"/>
        <v>84825.94465636529</v>
      </c>
      <c r="AM38" s="158">
        <f t="shared" si="51"/>
        <v>471655.23519767204</v>
      </c>
      <c r="AN38" s="164"/>
      <c r="AO38" s="158"/>
      <c r="AP38" s="158">
        <f t="shared" si="51"/>
        <v>6.7620000000000005</v>
      </c>
      <c r="AQ38" s="158"/>
      <c r="AR38" s="158"/>
      <c r="AS38" s="158">
        <f t="shared" si="51"/>
        <v>64640.469600000004</v>
      </c>
      <c r="AT38" s="158"/>
      <c r="AU38" s="158">
        <f t="shared" si="51"/>
        <v>300</v>
      </c>
      <c r="AV38" s="158"/>
      <c r="AW38" s="158">
        <f t="shared" si="51"/>
        <v>2748775.735551051</v>
      </c>
      <c r="AX38" s="158"/>
      <c r="AY38" s="158">
        <f t="shared" si="51"/>
        <v>0</v>
      </c>
      <c r="AZ38" s="158"/>
      <c r="BA38" s="158">
        <f t="shared" si="51"/>
        <v>0</v>
      </c>
      <c r="BB38" s="158"/>
      <c r="BC38" s="158">
        <f t="shared" si="51"/>
        <v>0</v>
      </c>
      <c r="BD38" s="158"/>
      <c r="BE38" s="158">
        <f t="shared" si="51"/>
        <v>0</v>
      </c>
      <c r="BF38" s="158"/>
      <c r="BG38" s="158">
        <f t="shared" si="51"/>
        <v>11134.584713532082</v>
      </c>
      <c r="BH38" s="158"/>
      <c r="BI38" s="158">
        <f t="shared" si="51"/>
        <v>10138.6656805222</v>
      </c>
      <c r="BJ38" s="158"/>
      <c r="BK38" s="158">
        <f t="shared" si="51"/>
        <v>10089.02044380672</v>
      </c>
      <c r="BL38" s="158"/>
      <c r="BM38" s="158">
        <f t="shared" si="51"/>
        <v>1701.9100020499197</v>
      </c>
      <c r="BN38" s="158"/>
      <c r="BO38" s="158">
        <f aca="true" t="shared" si="52" ref="BO38:BU38">SUM(BO32:BO37)</f>
        <v>587.7099287654398</v>
      </c>
      <c r="BP38" s="158">
        <f t="shared" si="52"/>
        <v>1000.0192402387977</v>
      </c>
      <c r="BQ38" s="158">
        <f t="shared" si="52"/>
        <v>3404549.2950140033</v>
      </c>
      <c r="BR38" s="158"/>
      <c r="BS38" s="158"/>
      <c r="BT38" s="158"/>
      <c r="BU38" s="158">
        <f t="shared" si="52"/>
        <v>102</v>
      </c>
    </row>
    <row r="39" spans="1:73" s="7" customFormat="1" ht="11.25">
      <c r="A39" s="21"/>
      <c r="B39" s="399" t="s">
        <v>109</v>
      </c>
      <c r="C39" s="399"/>
      <c r="D39" s="399"/>
      <c r="E39" s="399"/>
      <c r="F39" s="23"/>
      <c r="G39" s="24"/>
      <c r="H39" s="24"/>
      <c r="I39" s="24"/>
      <c r="J39" s="154"/>
      <c r="K39" s="154"/>
      <c r="L39" s="166"/>
      <c r="M39" s="154"/>
      <c r="N39" s="154"/>
      <c r="O39" s="167"/>
      <c r="P39" s="167"/>
      <c r="Q39" s="155"/>
      <c r="R39" s="154"/>
      <c r="S39" s="155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68"/>
      <c r="AH39" s="167"/>
      <c r="AI39" s="167"/>
      <c r="AJ39" s="167"/>
      <c r="AK39" s="167"/>
      <c r="AL39" s="167"/>
      <c r="AM39" s="167"/>
      <c r="AN39" s="154"/>
      <c r="AO39" s="154"/>
      <c r="AP39" s="169"/>
      <c r="AQ39" s="155"/>
      <c r="AR39" s="155"/>
      <c r="AS39" s="169"/>
      <c r="AT39" s="154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15">
        <f>BF39*L39</f>
        <v>0</v>
      </c>
      <c r="BH39" s="169"/>
      <c r="BI39" s="115">
        <f>BH39*L39</f>
        <v>0</v>
      </c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</row>
    <row r="40" spans="1:73" s="7" customFormat="1" ht="11.25">
      <c r="A40" s="19">
        <v>1</v>
      </c>
      <c r="B40" s="28" t="s">
        <v>53</v>
      </c>
      <c r="C40" s="22"/>
      <c r="D40" s="434" t="s">
        <v>220</v>
      </c>
      <c r="E40" s="435"/>
      <c r="F40" s="29" t="s">
        <v>167</v>
      </c>
      <c r="G40" s="30">
        <f>SUM(G41:G44)</f>
        <v>24000</v>
      </c>
      <c r="H40" s="209">
        <v>42526</v>
      </c>
      <c r="I40" s="209">
        <v>42536</v>
      </c>
      <c r="J40" s="160">
        <v>32</v>
      </c>
      <c r="K40" s="150">
        <v>756</v>
      </c>
      <c r="L40" s="148">
        <f>G40/K40</f>
        <v>31.746031746031747</v>
      </c>
      <c r="M40" s="154"/>
      <c r="N40" s="164">
        <f>L40/J40</f>
        <v>0.9920634920634921</v>
      </c>
      <c r="O40" s="121">
        <f>IF(M40=0,0,L40*$O$12)</f>
        <v>0</v>
      </c>
      <c r="P40" s="121">
        <f>IF(N40=0,0,L40*$O$12)</f>
        <v>253.58267463530623</v>
      </c>
      <c r="Q40" s="155">
        <v>5</v>
      </c>
      <c r="R40" s="122">
        <f>IF(AND(O40&gt;0,Q40&gt;0),SUMIF('Исх.данные'!$C$14:H45,Q40,'Исх.данные'!$C$26:$H$26),IF(O40=0,0,IF(Q40=0,"РОТ")))</f>
        <v>0</v>
      </c>
      <c r="S40" s="155">
        <v>5</v>
      </c>
      <c r="T40" s="122">
        <f>IF(AND(N40&gt;0,P40&gt;0),SUMIF('Исх.данные'!$C$14:$J$30,S40,'Исх.данные'!$C$34:$J$45),IF(N40=0,0,IF(S40=0,"РОТ")))</f>
        <v>136.3241358337557</v>
      </c>
      <c r="U40" s="144">
        <f>O40*R40*'Исх.данные'!$C$43%</f>
        <v>0</v>
      </c>
      <c r="V40" s="144">
        <f>P40*T40*'Исх.данные'!$C$44%</f>
        <v>0</v>
      </c>
      <c r="W40" s="144">
        <f>O40*R40*$W$12</f>
        <v>0</v>
      </c>
      <c r="X40" s="145">
        <f>P40*T40*$W$12</f>
        <v>0</v>
      </c>
      <c r="Y40" s="144">
        <f>(O40*R40+U40+W40)*$Y$12</f>
        <v>0</v>
      </c>
      <c r="Z40" s="145">
        <f>(P40*T40+V40+X40)*$Z$12</f>
        <v>1728.4719491035282</v>
      </c>
      <c r="AA40" s="144">
        <f>(O40*R40+U40)*$AA$12</f>
        <v>0</v>
      </c>
      <c r="AB40" s="145">
        <f>(P40*T40+V40)*$AA$12</f>
        <v>0</v>
      </c>
      <c r="AC40" s="143">
        <v>2.5</v>
      </c>
      <c r="AD40" s="144">
        <f>(O40*R40+U40+W40+Y40+AA40)*AC40</f>
        <v>0</v>
      </c>
      <c r="AE40" s="144">
        <f>(P40*T40+V40+X40+Z40+AB40)*AC40</f>
        <v>90744.77732793523</v>
      </c>
      <c r="AF40" s="121">
        <f aca="true" t="shared" si="53" ref="AF40:AG44">AD40*$AF$12</f>
        <v>0</v>
      </c>
      <c r="AG40" s="152">
        <f t="shared" si="53"/>
        <v>13443.670715249662</v>
      </c>
      <c r="AH40" s="121">
        <f aca="true" t="shared" si="54" ref="AH40:AI44">AD40+AF40</f>
        <v>0</v>
      </c>
      <c r="AI40" s="121">
        <f t="shared" si="54"/>
        <v>104188.4480431849</v>
      </c>
      <c r="AJ40" s="121">
        <f aca="true" t="shared" si="55" ref="AJ40:AK44">AH40*$AJ$12</f>
        <v>0</v>
      </c>
      <c r="AK40" s="152">
        <f t="shared" si="55"/>
        <v>31985.85354925776</v>
      </c>
      <c r="AL40" s="121">
        <f>AH40+AJ40</f>
        <v>0</v>
      </c>
      <c r="AM40" s="152">
        <f>AK40+AI40</f>
        <v>136174.30159244264</v>
      </c>
      <c r="AN40" s="150">
        <v>0.185</v>
      </c>
      <c r="AO40" s="148">
        <f>$AO$17</f>
        <v>0.84</v>
      </c>
      <c r="AP40" s="123">
        <f>(G40*AN40)*AO40/100</f>
        <v>37.296</v>
      </c>
      <c r="AQ40" s="163" t="s">
        <v>186</v>
      </c>
      <c r="AR40" s="122">
        <f>'Исх.данные'!$F$85</f>
        <v>9573.371428571429</v>
      </c>
      <c r="AS40" s="115">
        <f>AP40*AR40</f>
        <v>357048.4608</v>
      </c>
      <c r="AT40" s="154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15">
        <f>BF40*L40</f>
        <v>0</v>
      </c>
      <c r="BH40" s="115">
        <f>аморт!$H$90</f>
        <v>29.328248977777776</v>
      </c>
      <c r="BI40" s="115">
        <f>BH40*L40*$O$12</f>
        <v>7437.135818155074</v>
      </c>
      <c r="BJ40" s="169"/>
      <c r="BK40" s="169"/>
      <c r="BL40" s="169"/>
      <c r="BM40" s="169"/>
      <c r="BN40" s="169"/>
      <c r="BO40" s="169"/>
      <c r="BP40" s="115">
        <f>аморт!$D$90*10%/аморт!$G$90*L40*O12</f>
        <v>6700.122358698265</v>
      </c>
      <c r="BQ40" s="115">
        <f>AL40+AM40+AS40+AW40+BA40+BE40+BG40+BI40+BK40+BM40+BO40+BP40</f>
        <v>507360.02056929603</v>
      </c>
      <c r="BR40" s="115">
        <f>BQ40/$D$7</f>
        <v>50736.0020569296</v>
      </c>
      <c r="BS40" s="153">
        <f>(O40+P40)/$D$7</f>
        <v>25.358267463530623</v>
      </c>
      <c r="BT40" s="169"/>
      <c r="BU40" s="169"/>
    </row>
    <row r="41" spans="1:73" s="7" customFormat="1" ht="11.25">
      <c r="A41" s="19">
        <v>2</v>
      </c>
      <c r="B41" s="28" t="s">
        <v>106</v>
      </c>
      <c r="C41" s="22"/>
      <c r="D41" s="31" t="s">
        <v>508</v>
      </c>
      <c r="E41" s="32" t="s">
        <v>157</v>
      </c>
      <c r="F41" s="29" t="s">
        <v>167</v>
      </c>
      <c r="G41" s="30">
        <f>D7*Нормы!D8*Нормы!E8</f>
        <v>1500</v>
      </c>
      <c r="H41" s="209">
        <v>42526</v>
      </c>
      <c r="I41" s="209">
        <v>42536</v>
      </c>
      <c r="J41" s="160">
        <v>1.5</v>
      </c>
      <c r="K41" s="150">
        <v>1134</v>
      </c>
      <c r="L41" s="148">
        <f>G41/K41</f>
        <v>1.3227513227513228</v>
      </c>
      <c r="M41" s="154">
        <v>1</v>
      </c>
      <c r="N41" s="164">
        <f>L41/J41</f>
        <v>0.8818342151675486</v>
      </c>
      <c r="O41" s="121">
        <f>IF(M41=0,0,L41*$O$12)</f>
        <v>10.565944776471092</v>
      </c>
      <c r="P41" s="121">
        <f>IF(N41=0,0,L41*$O$12)</f>
        <v>10.565944776471092</v>
      </c>
      <c r="Q41" s="155">
        <v>5</v>
      </c>
      <c r="R41" s="122">
        <f>IF(AND(O41&gt;0,Q41&gt;0),SUMIF('Исх.данные'!$C$14:H46,Q41,'Исх.данные'!$C$26:$H$26),IF(O41=0,0,IF(Q41=0,"РОТ")))</f>
        <v>219.30404460212878</v>
      </c>
      <c r="S41" s="155">
        <v>5</v>
      </c>
      <c r="T41" s="122">
        <f>IF(AND(N41&gt;0,P41&gt;0),SUMIF('Исх.данные'!$C$14:$J$30,S41,'Исх.данные'!$C$34:$J$45),IF(N41=0,0,IF(S41=0,"РОТ")))</f>
        <v>136.3241358337557</v>
      </c>
      <c r="U41" s="144">
        <f>O41*R41*'Исх.данные'!$C$43%</f>
        <v>0</v>
      </c>
      <c r="V41" s="144">
        <f>P41*T41*'Исх.данные'!$C$44%</f>
        <v>0</v>
      </c>
      <c r="W41" s="144">
        <f>O41*R41*$W$12</f>
        <v>0</v>
      </c>
      <c r="X41" s="145">
        <f>P41*T41*$W$12</f>
        <v>0</v>
      </c>
      <c r="Y41" s="144">
        <f>(O41*R41+U41+W41)*$Y$12</f>
        <v>231.7154424522846</v>
      </c>
      <c r="Z41" s="145">
        <f>(P41*T41+V41+X41)*$Z$12</f>
        <v>72.01966454598032</v>
      </c>
      <c r="AA41" s="144">
        <f>(O41*R41+U41)*$AA$12</f>
        <v>0</v>
      </c>
      <c r="AB41" s="145">
        <f>(P41*T41+V41)*$AA$12</f>
        <v>0</v>
      </c>
      <c r="AC41" s="143">
        <v>2.5</v>
      </c>
      <c r="AD41" s="144">
        <f>(O41*R41+U41+W41+Y41+AA41)*AC41</f>
        <v>6372.174667437826</v>
      </c>
      <c r="AE41" s="144">
        <f>(P41*T41+V41+X41+Z41+AB41)*AC41</f>
        <v>3781.0323886639667</v>
      </c>
      <c r="AF41" s="121">
        <f t="shared" si="53"/>
        <v>944.0258766574557</v>
      </c>
      <c r="AG41" s="152">
        <f t="shared" si="53"/>
        <v>560.1529464687358</v>
      </c>
      <c r="AH41" s="121">
        <f t="shared" si="54"/>
        <v>7316.200544095282</v>
      </c>
      <c r="AI41" s="121">
        <f t="shared" si="54"/>
        <v>4341.185335132703</v>
      </c>
      <c r="AJ41" s="121">
        <f t="shared" si="55"/>
        <v>2246.0735670372515</v>
      </c>
      <c r="AK41" s="152">
        <f t="shared" si="55"/>
        <v>1332.7438978857397</v>
      </c>
      <c r="AL41" s="121">
        <f>AH41+AJ41</f>
        <v>9562.274111132534</v>
      </c>
      <c r="AM41" s="152">
        <f>AK41+AI41</f>
        <v>5673.929233018443</v>
      </c>
      <c r="AN41" s="148">
        <v>0.11619047619047618</v>
      </c>
      <c r="AO41" s="148">
        <f>$AO$17</f>
        <v>0.84</v>
      </c>
      <c r="AP41" s="123">
        <f>(G41*AN41)*AO41/100</f>
        <v>1.4639999999999997</v>
      </c>
      <c r="AQ41" s="163" t="s">
        <v>186</v>
      </c>
      <c r="AR41" s="122">
        <f>'Исх.данные'!$F$85</f>
        <v>9573.371428571429</v>
      </c>
      <c r="AS41" s="115">
        <f>AP41*AR41</f>
        <v>14015.415771428568</v>
      </c>
      <c r="AT41" s="154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15">
        <f>аморт!$H$12</f>
        <v>61.781971818181816</v>
      </c>
      <c r="BG41" s="115">
        <f>BF41*L41*$O$12</f>
        <v>652.7849024124024</v>
      </c>
      <c r="BH41" s="115">
        <f>аморт!$H$44</f>
        <v>14.767357037037037</v>
      </c>
      <c r="BI41" s="115">
        <f>BH41*L41*$O$12</f>
        <v>156.0310789477651</v>
      </c>
      <c r="BJ41" s="153">
        <f>'Исх.данные'!$C$89</f>
        <v>101.43277978079999</v>
      </c>
      <c r="BK41" s="115">
        <f>BJ41*BU41</f>
        <v>1556.375986054603</v>
      </c>
      <c r="BL41" s="153">
        <f>'Исх.данные'!$C$94</f>
        <v>11.283646508159999</v>
      </c>
      <c r="BM41" s="115">
        <f>BL41*BU41</f>
        <v>173.13531679187298</v>
      </c>
      <c r="BN41" s="115">
        <f>'Исх.данные'!$C$99</f>
        <v>8.04259910688</v>
      </c>
      <c r="BO41" s="115">
        <f>BN41*BU41</f>
        <v>123.40495984101585</v>
      </c>
      <c r="BP41" s="115">
        <f>аморт!$D$44*10%/аморт!$G$44*L41*O12</f>
        <v>156.0310789477651</v>
      </c>
      <c r="BQ41" s="115">
        <f>AL41+AM41+AS41+AW41+BA41+BE41+BG41+BI41+BK41+BM41+BO41+BP41</f>
        <v>32069.38243857497</v>
      </c>
      <c r="BR41" s="115">
        <f>BQ41/$D$7</f>
        <v>3206.9382438574967</v>
      </c>
      <c r="BS41" s="153">
        <f>(O41+P41)/$D$7</f>
        <v>2.1131889552942185</v>
      </c>
      <c r="BT41" s="153">
        <f>'Исх.данные'!$B$113</f>
        <v>11.6</v>
      </c>
      <c r="BU41" s="151">
        <f>BT41*L41</f>
        <v>15.343915343915343</v>
      </c>
    </row>
    <row r="42" spans="1:73" s="7" customFormat="1" ht="11.25">
      <c r="A42" s="19">
        <v>3</v>
      </c>
      <c r="B42" s="28" t="s">
        <v>107</v>
      </c>
      <c r="C42" s="22"/>
      <c r="D42" s="31" t="s">
        <v>508</v>
      </c>
      <c r="E42" s="32" t="s">
        <v>157</v>
      </c>
      <c r="F42" s="29" t="s">
        <v>167</v>
      </c>
      <c r="G42" s="30">
        <f>D7*Нормы!E9*Нормы!D9</f>
        <v>1500</v>
      </c>
      <c r="H42" s="209">
        <v>42526</v>
      </c>
      <c r="I42" s="209">
        <v>42536</v>
      </c>
      <c r="J42" s="160">
        <v>1.5</v>
      </c>
      <c r="K42" s="150">
        <v>1134</v>
      </c>
      <c r="L42" s="148">
        <f>G42/K42</f>
        <v>1.3227513227513228</v>
      </c>
      <c r="M42" s="154">
        <v>1</v>
      </c>
      <c r="N42" s="164">
        <f>L42/J42</f>
        <v>0.8818342151675486</v>
      </c>
      <c r="O42" s="121">
        <f>IF(M42=0,0,L42*$O$12)</f>
        <v>10.565944776471092</v>
      </c>
      <c r="P42" s="121">
        <f>IF(N42=0,0,L42*$O$12)</f>
        <v>10.565944776471092</v>
      </c>
      <c r="Q42" s="155">
        <v>5</v>
      </c>
      <c r="R42" s="122">
        <f>IF(AND(O42&gt;0,Q42&gt;0),SUMIF('Исх.данные'!$C$14:H47,Q42,'Исх.данные'!$C$26:$H$26),IF(O42=0,0,IF(Q42=0,"РОТ")))</f>
        <v>219.30404460212878</v>
      </c>
      <c r="S42" s="155">
        <v>5</v>
      </c>
      <c r="T42" s="122">
        <f>IF(AND(N42&gt;0,P42&gt;0),SUMIF('Исх.данные'!$C$14:$J$30,S42,'Исх.данные'!$C$34:$J$45),IF(N42=0,0,IF(S42=0,"РОТ")))</f>
        <v>136.3241358337557</v>
      </c>
      <c r="U42" s="144">
        <f>O42*R42*'Исх.данные'!$C$43%</f>
        <v>0</v>
      </c>
      <c r="V42" s="144">
        <f>P42*T42*'Исх.данные'!$C$44%</f>
        <v>0</v>
      </c>
      <c r="W42" s="144">
        <f>O42*R42*$W$12</f>
        <v>0</v>
      </c>
      <c r="X42" s="145">
        <f>P42*T42*$W$12</f>
        <v>0</v>
      </c>
      <c r="Y42" s="144">
        <f>(O42*R42+U42+W42)*$Y$12</f>
        <v>231.7154424522846</v>
      </c>
      <c r="Z42" s="145">
        <f>(P42*T42+V42+X42)*$Z$12</f>
        <v>72.01966454598032</v>
      </c>
      <c r="AA42" s="144">
        <f>(O42*R42+U42)*$AA$12</f>
        <v>0</v>
      </c>
      <c r="AB42" s="145">
        <f>(P42*T42+V42)*$AA$12</f>
        <v>0</v>
      </c>
      <c r="AC42" s="143">
        <v>2.5</v>
      </c>
      <c r="AD42" s="144">
        <f>(O42*R42+U42+W42+Y42+AA42)*AC42</f>
        <v>6372.174667437826</v>
      </c>
      <c r="AE42" s="144">
        <f>(P42*T42+V42+X42+Z42+AB42)*AC42</f>
        <v>3781.0323886639667</v>
      </c>
      <c r="AF42" s="121">
        <f t="shared" si="53"/>
        <v>944.0258766574557</v>
      </c>
      <c r="AG42" s="152">
        <f t="shared" si="53"/>
        <v>560.1529464687358</v>
      </c>
      <c r="AH42" s="121">
        <f t="shared" si="54"/>
        <v>7316.200544095282</v>
      </c>
      <c r="AI42" s="121">
        <f t="shared" si="54"/>
        <v>4341.185335132703</v>
      </c>
      <c r="AJ42" s="121">
        <f t="shared" si="55"/>
        <v>2246.0735670372515</v>
      </c>
      <c r="AK42" s="152">
        <f t="shared" si="55"/>
        <v>1332.7438978857397</v>
      </c>
      <c r="AL42" s="121">
        <f>AH42+AJ42</f>
        <v>9562.274111132534</v>
      </c>
      <c r="AM42" s="152">
        <f>AK42+AI42</f>
        <v>5673.929233018443</v>
      </c>
      <c r="AN42" s="148">
        <v>0.11619047619047618</v>
      </c>
      <c r="AO42" s="148">
        <f>$AO$17</f>
        <v>0.84</v>
      </c>
      <c r="AP42" s="123">
        <f>(G42*AN42)*AO42/100</f>
        <v>1.4639999999999997</v>
      </c>
      <c r="AQ42" s="163" t="s">
        <v>186</v>
      </c>
      <c r="AR42" s="122">
        <f>'Исх.данные'!$F$85</f>
        <v>9573.371428571429</v>
      </c>
      <c r="AS42" s="115">
        <f>AP42*AR42</f>
        <v>14015.415771428568</v>
      </c>
      <c r="AT42" s="154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15">
        <f>аморт!$H$12</f>
        <v>61.781971818181816</v>
      </c>
      <c r="BG42" s="115">
        <f>BF42*L42*$O$12</f>
        <v>652.7849024124024</v>
      </c>
      <c r="BH42" s="115">
        <f>аморт!$H$44</f>
        <v>14.767357037037037</v>
      </c>
      <c r="BI42" s="115">
        <f>BH42*L42*$O$12</f>
        <v>156.0310789477651</v>
      </c>
      <c r="BJ42" s="153">
        <f>'Исх.данные'!$C$89</f>
        <v>101.43277978079999</v>
      </c>
      <c r="BK42" s="115">
        <f>BJ42*BU42</f>
        <v>1556.375986054603</v>
      </c>
      <c r="BL42" s="153">
        <f>'Исх.данные'!$C$94</f>
        <v>11.283646508159999</v>
      </c>
      <c r="BM42" s="115">
        <f>BL42*BU42</f>
        <v>173.13531679187298</v>
      </c>
      <c r="BN42" s="115">
        <f>'Исх.данные'!$C$99</f>
        <v>8.04259910688</v>
      </c>
      <c r="BO42" s="115">
        <f>BN42*BU42</f>
        <v>123.40495984101585</v>
      </c>
      <c r="BP42" s="115">
        <f>аморт!$D$44*10%/аморт!$G$44*L42*O12</f>
        <v>156.0310789477651</v>
      </c>
      <c r="BQ42" s="115">
        <f>AL42+AM42+AS42+AW42+BA42+BE42+BG42+BI42+BK42+BM42+BO42+BP42</f>
        <v>32069.38243857497</v>
      </c>
      <c r="BR42" s="115">
        <f>BQ42/$D$7</f>
        <v>3206.9382438574967</v>
      </c>
      <c r="BS42" s="153">
        <f>(O42+P42)/$D$7</f>
        <v>2.1131889552942185</v>
      </c>
      <c r="BT42" s="153">
        <f>'Исх.данные'!$B$113</f>
        <v>11.6</v>
      </c>
      <c r="BU42" s="151">
        <f>BT42*L42</f>
        <v>15.343915343915343</v>
      </c>
    </row>
    <row r="43" spans="1:73" s="7" customFormat="1" ht="11.25">
      <c r="A43" s="19">
        <v>4</v>
      </c>
      <c r="B43" s="28" t="s">
        <v>54</v>
      </c>
      <c r="C43" s="22"/>
      <c r="D43" s="31" t="s">
        <v>508</v>
      </c>
      <c r="E43" s="32" t="s">
        <v>157</v>
      </c>
      <c r="F43" s="29" t="s">
        <v>167</v>
      </c>
      <c r="G43" s="30">
        <f>D7*Нормы!D10*Нормы!E10</f>
        <v>15000</v>
      </c>
      <c r="H43" s="29" t="s">
        <v>492</v>
      </c>
      <c r="I43" s="29" t="s">
        <v>493</v>
      </c>
      <c r="J43" s="160">
        <v>13.2</v>
      </c>
      <c r="K43" s="150">
        <v>1134</v>
      </c>
      <c r="L43" s="148">
        <f>G43/K43</f>
        <v>13.227513227513228</v>
      </c>
      <c r="M43" s="154">
        <v>1</v>
      </c>
      <c r="N43" s="164">
        <f>L43/J43</f>
        <v>1.0020843354176687</v>
      </c>
      <c r="O43" s="121">
        <f>IF(M43=0,0,L43*$O$12)</f>
        <v>105.65944776471092</v>
      </c>
      <c r="P43" s="121">
        <f>IF(N43=0,0,L43*$O$12)</f>
        <v>105.65944776471092</v>
      </c>
      <c r="Q43" s="155">
        <v>5</v>
      </c>
      <c r="R43" s="122">
        <f>IF(AND(O43&gt;0,Q43&gt;0),SUMIF('Исх.данные'!$C$14:H48,Q43,'Исх.данные'!$C$26:$H$26),IF(O43=0,0,IF(Q43=0,"РОТ")))</f>
        <v>219.30404460212878</v>
      </c>
      <c r="S43" s="155">
        <v>5</v>
      </c>
      <c r="T43" s="122">
        <f>IF(AND(N43&gt;0,P43&gt;0),SUMIF('Исх.данные'!$C$14:$J$30,S43,'Исх.данные'!$C$34:$J$45),IF(N43=0,0,IF(S43=0,"РОТ")))</f>
        <v>136.3241358337557</v>
      </c>
      <c r="U43" s="144">
        <f>O43*R43*'Исх.данные'!$C$43%</f>
        <v>0</v>
      </c>
      <c r="V43" s="144">
        <f>P43*T43*'Исх.данные'!$C$44%</f>
        <v>0</v>
      </c>
      <c r="W43" s="144">
        <f>O43*R43*$W$12</f>
        <v>0</v>
      </c>
      <c r="X43" s="145">
        <f>P43*T43*$W$12</f>
        <v>0</v>
      </c>
      <c r="Y43" s="144">
        <f>(O43*R43+U43+W43)*$Y$12</f>
        <v>2317.154424522846</v>
      </c>
      <c r="Z43" s="145">
        <f>(P43*T43+V43+X43)*$Z$12</f>
        <v>720.1966454598032</v>
      </c>
      <c r="AA43" s="144">
        <f>(O43*R43+U43)*$AA$12</f>
        <v>0</v>
      </c>
      <c r="AB43" s="145">
        <f>(P43*T43+V43)*$AA$12</f>
        <v>0</v>
      </c>
      <c r="AC43" s="143">
        <v>2.5</v>
      </c>
      <c r="AD43" s="144">
        <f>(O43*R43+U43+W43+Y43+AA43)*AC43</f>
        <v>63721.746674378264</v>
      </c>
      <c r="AE43" s="144">
        <f>(P43*T43+V43+X43+Z43+AB43)*AC43</f>
        <v>37810.32388663967</v>
      </c>
      <c r="AF43" s="121">
        <f t="shared" si="53"/>
        <v>9440.258766574558</v>
      </c>
      <c r="AG43" s="152">
        <f t="shared" si="53"/>
        <v>5601.529464687358</v>
      </c>
      <c r="AH43" s="121">
        <f t="shared" si="54"/>
        <v>73162.00544095282</v>
      </c>
      <c r="AI43" s="121">
        <f t="shared" si="54"/>
        <v>43411.85335132703</v>
      </c>
      <c r="AJ43" s="121">
        <f t="shared" si="55"/>
        <v>22460.735670372516</v>
      </c>
      <c r="AK43" s="152">
        <f t="shared" si="55"/>
        <v>13327.438978857399</v>
      </c>
      <c r="AL43" s="121">
        <f>AH43+AJ43</f>
        <v>95622.74111132533</v>
      </c>
      <c r="AM43" s="152">
        <f>AK43+AI43</f>
        <v>56739.29233018443</v>
      </c>
      <c r="AN43" s="148">
        <v>0.11619047619047618</v>
      </c>
      <c r="AO43" s="148">
        <f>$AO$17</f>
        <v>0.84</v>
      </c>
      <c r="AP43" s="123">
        <f>(G43*AN43)*AO43/100</f>
        <v>14.639999999999997</v>
      </c>
      <c r="AQ43" s="163" t="s">
        <v>186</v>
      </c>
      <c r="AR43" s="122">
        <f>'Исх.данные'!$F$85</f>
        <v>9573.371428571429</v>
      </c>
      <c r="AS43" s="115">
        <f>AP43*AR43</f>
        <v>140154.15771428568</v>
      </c>
      <c r="AT43" s="154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15">
        <f>аморт!$H$12</f>
        <v>61.781971818181816</v>
      </c>
      <c r="BG43" s="115">
        <f>BF43*L43*$O$12</f>
        <v>6527.849024124024</v>
      </c>
      <c r="BH43" s="115">
        <f>аморт!$H$44</f>
        <v>14.767357037037037</v>
      </c>
      <c r="BI43" s="115">
        <f>BH43*L43*$O$12</f>
        <v>1560.310789477651</v>
      </c>
      <c r="BJ43" s="153">
        <f>'Исх.данные'!$C$89</f>
        <v>101.43277978079999</v>
      </c>
      <c r="BK43" s="115">
        <f>BJ43*BU43</f>
        <v>15563.75986054603</v>
      </c>
      <c r="BL43" s="153">
        <f>'Исх.данные'!$C$94</f>
        <v>11.283646508159999</v>
      </c>
      <c r="BM43" s="115">
        <f>BL43*BU43</f>
        <v>1731.35316791873</v>
      </c>
      <c r="BN43" s="115">
        <f>'Исх.данные'!$C$99</f>
        <v>8.04259910688</v>
      </c>
      <c r="BO43" s="115">
        <f>BN43*BU43</f>
        <v>1234.0495984101585</v>
      </c>
      <c r="BP43" s="115">
        <f>аморт!$D$44*10%/аморт!$G$44*L43*O12</f>
        <v>1560.310789477651</v>
      </c>
      <c r="BQ43" s="115">
        <f>AL43+AM43+AS43+AW43+BA43+BE43+BG43+BI43+BK43+BM43+BO43+BP43</f>
        <v>320693.82438574976</v>
      </c>
      <c r="BR43" s="115">
        <f>BQ43/$D$7</f>
        <v>32069.382438574976</v>
      </c>
      <c r="BS43" s="153">
        <f>(O43+P43)/$D$7</f>
        <v>21.131889552942184</v>
      </c>
      <c r="BT43" s="153">
        <f>'Исх.данные'!$B$113</f>
        <v>11.6</v>
      </c>
      <c r="BU43" s="151">
        <f>BT43*L43</f>
        <v>153.43915343915344</v>
      </c>
    </row>
    <row r="44" spans="1:73" s="7" customFormat="1" ht="11.25">
      <c r="A44" s="19">
        <v>5</v>
      </c>
      <c r="B44" s="28" t="s">
        <v>108</v>
      </c>
      <c r="C44" s="22"/>
      <c r="D44" s="31" t="s">
        <v>508</v>
      </c>
      <c r="E44" s="32" t="s">
        <v>157</v>
      </c>
      <c r="F44" s="29" t="s">
        <v>167</v>
      </c>
      <c r="G44" s="30">
        <f>D7*Нормы!D11*Нормы!E11</f>
        <v>6000</v>
      </c>
      <c r="H44" s="29" t="s">
        <v>492</v>
      </c>
      <c r="I44" s="29"/>
      <c r="J44" s="160">
        <v>5.3</v>
      </c>
      <c r="K44" s="150">
        <v>1134</v>
      </c>
      <c r="L44" s="148">
        <f>G44/K44</f>
        <v>5.291005291005291</v>
      </c>
      <c r="M44" s="154">
        <v>1</v>
      </c>
      <c r="N44" s="164">
        <f>L44/J44</f>
        <v>0.9983028850953379</v>
      </c>
      <c r="O44" s="121">
        <f>IF(M44=0,0,L44*$O$12)</f>
        <v>42.26377910588437</v>
      </c>
      <c r="P44" s="121">
        <f>IF(N44=0,0,L44*$O$12)</f>
        <v>42.26377910588437</v>
      </c>
      <c r="Q44" s="155">
        <v>5</v>
      </c>
      <c r="R44" s="122">
        <f>IF(AND(O44&gt;0,Q44&gt;0),SUMIF('Исх.данные'!$C$14:H49,Q44,'Исх.данные'!$C$26:$H$26),IF(O44=0,0,IF(Q44=0,"РОТ")))</f>
        <v>219.30404460212878</v>
      </c>
      <c r="S44" s="155">
        <v>5</v>
      </c>
      <c r="T44" s="122">
        <f>IF(AND(N44&gt;0,P44&gt;0),SUMIF('Исх.данные'!$C$14:$J$30,S44,'Исх.данные'!$C$34:$J$45),IF(N44=0,0,IF(S44=0,"РОТ")))</f>
        <v>136.3241358337557</v>
      </c>
      <c r="U44" s="144">
        <f>O44*R44*'Исх.данные'!$C$43%</f>
        <v>0</v>
      </c>
      <c r="V44" s="144">
        <f>P44*T44*'Исх.данные'!$C$44%</f>
        <v>0</v>
      </c>
      <c r="W44" s="144">
        <f>O44*R44*$W$12</f>
        <v>0</v>
      </c>
      <c r="X44" s="145">
        <f>P44*T44*$W$12</f>
        <v>0</v>
      </c>
      <c r="Y44" s="144">
        <f>(O44*R44+U44+W44)*$Y$12</f>
        <v>926.8617698091384</v>
      </c>
      <c r="Z44" s="145">
        <f>(P44*T44+V44+X44)*$Z$12</f>
        <v>288.0786581839213</v>
      </c>
      <c r="AA44" s="144">
        <f>(O44*R44+U44)*$AA$12</f>
        <v>0</v>
      </c>
      <c r="AB44" s="145">
        <f>(P44*T44+V44)*$AA$12</f>
        <v>0</v>
      </c>
      <c r="AC44" s="143">
        <v>2.5</v>
      </c>
      <c r="AD44" s="144">
        <f>(O44*R44+U44+W44+Y44+AA44)*AC44</f>
        <v>25488.698669751306</v>
      </c>
      <c r="AE44" s="144">
        <f>(P44*T44+V44+X44+Z44+AB44)*AC44</f>
        <v>15124.129554655867</v>
      </c>
      <c r="AF44" s="121">
        <f t="shared" si="53"/>
        <v>3776.1035066298227</v>
      </c>
      <c r="AG44" s="152">
        <f t="shared" si="53"/>
        <v>2240.611785874943</v>
      </c>
      <c r="AH44" s="121">
        <f t="shared" si="54"/>
        <v>29264.802176381127</v>
      </c>
      <c r="AI44" s="121">
        <f t="shared" si="54"/>
        <v>17364.74134053081</v>
      </c>
      <c r="AJ44" s="121">
        <f t="shared" si="55"/>
        <v>8984.294268149006</v>
      </c>
      <c r="AK44" s="152">
        <f t="shared" si="55"/>
        <v>5330.975591542959</v>
      </c>
      <c r="AL44" s="121">
        <f>AH44+AJ44</f>
        <v>38249.096444530136</v>
      </c>
      <c r="AM44" s="152">
        <f>AK44+AI44</f>
        <v>22695.71693207377</v>
      </c>
      <c r="AN44" s="148">
        <v>0.11619047619047618</v>
      </c>
      <c r="AO44" s="148">
        <f>$AO$17</f>
        <v>0.84</v>
      </c>
      <c r="AP44" s="123">
        <f>(G44*AN44)*AO44/100</f>
        <v>5.855999999999999</v>
      </c>
      <c r="AQ44" s="163" t="s">
        <v>186</v>
      </c>
      <c r="AR44" s="122">
        <f>'Исх.данные'!$F$85</f>
        <v>9573.371428571429</v>
      </c>
      <c r="AS44" s="115">
        <f>AP44*AR44</f>
        <v>56061.66308571427</v>
      </c>
      <c r="AT44" s="154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15">
        <f>аморт!$H$12</f>
        <v>61.781971818181816</v>
      </c>
      <c r="BG44" s="115">
        <f>BF44*L44*$O$12</f>
        <v>2611.1396096496096</v>
      </c>
      <c r="BH44" s="115">
        <f>аморт!$H$44</f>
        <v>14.767357037037037</v>
      </c>
      <c r="BI44" s="115">
        <f>BH44*L44*$O$12</f>
        <v>624.1243157910604</v>
      </c>
      <c r="BJ44" s="153">
        <f>'Исх.данные'!$C$89</f>
        <v>101.43277978079999</v>
      </c>
      <c r="BK44" s="115">
        <f>BJ44*BU44</f>
        <v>6225.503944218412</v>
      </c>
      <c r="BL44" s="153">
        <f>'Исх.данные'!$C$94</f>
        <v>11.283646508159999</v>
      </c>
      <c r="BM44" s="115">
        <f>BL44*BU44</f>
        <v>692.5412671674919</v>
      </c>
      <c r="BN44" s="115">
        <f>'Исх.данные'!$C$99</f>
        <v>8.04259910688</v>
      </c>
      <c r="BO44" s="115">
        <f>BN44*BU44</f>
        <v>493.6198393640634</v>
      </c>
      <c r="BP44" s="115">
        <f>аморт!$D$44*10%/аморт!$G$44*L44*O12</f>
        <v>624.1243157910604</v>
      </c>
      <c r="BQ44" s="115">
        <f>AL44+AM44+AS44+AW44+BA44+BE44+BG44+BI44+BK44+BM44+BO44+BP44</f>
        <v>128277.52975429987</v>
      </c>
      <c r="BR44" s="115">
        <f>BQ44/$D$7</f>
        <v>12827.752975429987</v>
      </c>
      <c r="BS44" s="153">
        <f>(O44+P44)/$D$7</f>
        <v>8.452755821176874</v>
      </c>
      <c r="BT44" s="153">
        <f>'Исх.данные'!$B$113</f>
        <v>11.6</v>
      </c>
      <c r="BU44" s="151">
        <f>BT44*L44</f>
        <v>61.37566137566137</v>
      </c>
    </row>
    <row r="45" spans="1:73" s="56" customFormat="1" ht="11.25">
      <c r="A45" s="54"/>
      <c r="B45" s="55" t="s">
        <v>22</v>
      </c>
      <c r="C45" s="55"/>
      <c r="D45" s="55"/>
      <c r="E45" s="55"/>
      <c r="F45" s="57"/>
      <c r="G45" s="58"/>
      <c r="H45" s="58"/>
      <c r="I45" s="58"/>
      <c r="J45" s="158">
        <f>SUM(J40:J44)</f>
        <v>53.5</v>
      </c>
      <c r="K45" s="158"/>
      <c r="L45" s="158">
        <f aca="true" t="shared" si="56" ref="L45:BM45">SUM(L40:L44)</f>
        <v>52.91005291005291</v>
      </c>
      <c r="M45" s="158">
        <f t="shared" si="56"/>
        <v>4</v>
      </c>
      <c r="N45" s="158">
        <f t="shared" si="56"/>
        <v>4.756119142911596</v>
      </c>
      <c r="O45" s="158">
        <f t="shared" si="56"/>
        <v>169.05511642353747</v>
      </c>
      <c r="P45" s="158">
        <f t="shared" si="56"/>
        <v>422.63779105884373</v>
      </c>
      <c r="Q45" s="158"/>
      <c r="R45" s="158"/>
      <c r="S45" s="158"/>
      <c r="T45" s="158"/>
      <c r="U45" s="158">
        <f t="shared" si="56"/>
        <v>0</v>
      </c>
      <c r="V45" s="158">
        <f t="shared" si="56"/>
        <v>0</v>
      </c>
      <c r="W45" s="158">
        <f t="shared" si="56"/>
        <v>0</v>
      </c>
      <c r="X45" s="158">
        <f t="shared" si="56"/>
        <v>0</v>
      </c>
      <c r="Y45" s="158">
        <f t="shared" si="56"/>
        <v>3707.4470792365537</v>
      </c>
      <c r="Z45" s="158">
        <f t="shared" si="56"/>
        <v>2880.786581839213</v>
      </c>
      <c r="AA45" s="158">
        <f t="shared" si="56"/>
        <v>0</v>
      </c>
      <c r="AB45" s="158">
        <f t="shared" si="56"/>
        <v>0</v>
      </c>
      <c r="AC45" s="158"/>
      <c r="AD45" s="158">
        <f t="shared" si="56"/>
        <v>101954.79467900522</v>
      </c>
      <c r="AE45" s="158">
        <f t="shared" si="56"/>
        <v>151241.2955465587</v>
      </c>
      <c r="AF45" s="158">
        <f t="shared" si="56"/>
        <v>15104.414026519293</v>
      </c>
      <c r="AG45" s="158">
        <f t="shared" si="56"/>
        <v>22406.117858749432</v>
      </c>
      <c r="AH45" s="158">
        <f t="shared" si="56"/>
        <v>117059.20870552452</v>
      </c>
      <c r="AI45" s="158">
        <f t="shared" si="56"/>
        <v>173647.41340530812</v>
      </c>
      <c r="AJ45" s="158">
        <f t="shared" si="56"/>
        <v>35937.17707259602</v>
      </c>
      <c r="AK45" s="158">
        <f t="shared" si="56"/>
        <v>53309.755915429596</v>
      </c>
      <c r="AL45" s="158">
        <f t="shared" si="56"/>
        <v>152996.38577812054</v>
      </c>
      <c r="AM45" s="158">
        <f t="shared" si="56"/>
        <v>226957.16932073774</v>
      </c>
      <c r="AN45" s="164"/>
      <c r="AO45" s="158"/>
      <c r="AP45" s="158">
        <f t="shared" si="56"/>
        <v>60.71999999999999</v>
      </c>
      <c r="AQ45" s="158"/>
      <c r="AR45" s="158"/>
      <c r="AS45" s="158">
        <f t="shared" si="56"/>
        <v>581295.1131428571</v>
      </c>
      <c r="AT45" s="158"/>
      <c r="AU45" s="158">
        <f t="shared" si="56"/>
        <v>0</v>
      </c>
      <c r="AV45" s="158"/>
      <c r="AW45" s="158">
        <f t="shared" si="56"/>
        <v>0</v>
      </c>
      <c r="AX45" s="158"/>
      <c r="AY45" s="158">
        <f t="shared" si="56"/>
        <v>0</v>
      </c>
      <c r="AZ45" s="158"/>
      <c r="BA45" s="158">
        <f t="shared" si="56"/>
        <v>0</v>
      </c>
      <c r="BB45" s="158"/>
      <c r="BC45" s="158">
        <f t="shared" si="56"/>
        <v>0</v>
      </c>
      <c r="BD45" s="158"/>
      <c r="BE45" s="158">
        <f t="shared" si="56"/>
        <v>0</v>
      </c>
      <c r="BF45" s="158"/>
      <c r="BG45" s="158">
        <f t="shared" si="56"/>
        <v>10444.558438598438</v>
      </c>
      <c r="BH45" s="158"/>
      <c r="BI45" s="158">
        <f t="shared" si="56"/>
        <v>9933.633081319316</v>
      </c>
      <c r="BJ45" s="158"/>
      <c r="BK45" s="158">
        <f t="shared" si="56"/>
        <v>24902.015776873646</v>
      </c>
      <c r="BL45" s="158"/>
      <c r="BM45" s="158">
        <f t="shared" si="56"/>
        <v>2770.1650686699677</v>
      </c>
      <c r="BN45" s="158"/>
      <c r="BO45" s="158">
        <f aca="true" t="shared" si="57" ref="BO45:BU45">SUM(BO40:BO44)</f>
        <v>1974.4793574562536</v>
      </c>
      <c r="BP45" s="158">
        <f t="shared" si="57"/>
        <v>9196.619621862508</v>
      </c>
      <c r="BQ45" s="158">
        <f t="shared" si="57"/>
        <v>1020470.1395864956</v>
      </c>
      <c r="BR45" s="158"/>
      <c r="BS45" s="158"/>
      <c r="BT45" s="158"/>
      <c r="BU45" s="158">
        <f t="shared" si="57"/>
        <v>245.5026455026455</v>
      </c>
    </row>
    <row r="46" spans="1:73" s="7" customFormat="1" ht="11.25">
      <c r="A46" s="21"/>
      <c r="B46" s="399" t="s">
        <v>56</v>
      </c>
      <c r="C46" s="399"/>
      <c r="D46" s="399"/>
      <c r="E46" s="399"/>
      <c r="F46" s="23"/>
      <c r="G46" s="24"/>
      <c r="H46" s="24"/>
      <c r="I46" s="24"/>
      <c r="J46" s="154"/>
      <c r="K46" s="154"/>
      <c r="L46" s="166"/>
      <c r="M46" s="154"/>
      <c r="N46" s="154"/>
      <c r="O46" s="167"/>
      <c r="P46" s="167"/>
      <c r="Q46" s="155"/>
      <c r="R46" s="154"/>
      <c r="S46" s="155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68"/>
      <c r="AH46" s="167"/>
      <c r="AI46" s="167"/>
      <c r="AJ46" s="167"/>
      <c r="AK46" s="167"/>
      <c r="AL46" s="167"/>
      <c r="AM46" s="167"/>
      <c r="AN46" s="154"/>
      <c r="AO46" s="154"/>
      <c r="AP46" s="169"/>
      <c r="AQ46" s="155"/>
      <c r="AR46" s="155"/>
      <c r="AS46" s="169"/>
      <c r="AT46" s="154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15">
        <f>BF46*L46</f>
        <v>0</v>
      </c>
      <c r="BH46" s="169"/>
      <c r="BI46" s="115">
        <f>BH46*L46</f>
        <v>0</v>
      </c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</row>
    <row r="47" spans="1:73" s="7" customFormat="1" ht="11.25">
      <c r="A47" s="19">
        <v>1</v>
      </c>
      <c r="B47" s="28" t="s">
        <v>455</v>
      </c>
      <c r="C47" s="22"/>
      <c r="D47" s="31" t="s">
        <v>133</v>
      </c>
      <c r="E47" s="32" t="s">
        <v>137</v>
      </c>
      <c r="F47" s="29" t="s">
        <v>134</v>
      </c>
      <c r="G47" s="30">
        <f>D7</f>
        <v>10</v>
      </c>
      <c r="H47" s="29" t="s">
        <v>494</v>
      </c>
      <c r="I47" s="29" t="s">
        <v>486</v>
      </c>
      <c r="J47" s="160">
        <v>0.3</v>
      </c>
      <c r="K47" s="150">
        <v>35</v>
      </c>
      <c r="L47" s="148">
        <f>G47/K47</f>
        <v>0.2857142857142857</v>
      </c>
      <c r="M47" s="154">
        <v>1</v>
      </c>
      <c r="N47" s="164">
        <f>L47/J47</f>
        <v>0.9523809523809523</v>
      </c>
      <c r="O47" s="121">
        <f>IF(M47=0,0,L47*$O$12)</f>
        <v>2.2822440717177557</v>
      </c>
      <c r="P47" s="121">
        <f>IF(N47=0,0,L47*$O$12)</f>
        <v>2.2822440717177557</v>
      </c>
      <c r="Q47" s="155">
        <v>5</v>
      </c>
      <c r="R47" s="122">
        <f>IF(AND(O47&gt;0,Q47&gt;0),SUMIF('Исх.данные'!$C$14:H50,Q47,'Исх.данные'!$C$18:$H$18),IF(O47=0,0,IF(Q47=0,"РОТ")))</f>
        <v>179.78980233147493</v>
      </c>
      <c r="S47" s="155">
        <v>5</v>
      </c>
      <c r="T47" s="122">
        <f>IF(AND(N47&gt;0,P47&gt;0),SUMIF('Исх.данные'!$C$14:$J$30,S47,'Исх.данные'!$C$34:$J$45),IF(N47=0,0,IF(S47=0,"РОТ")))</f>
        <v>136.3241358337557</v>
      </c>
      <c r="U47" s="144">
        <f>O47*R47*'Исх.данные'!$C$43%</f>
        <v>0</v>
      </c>
      <c r="V47" s="144">
        <f>P47*T47*'Исх.данные'!$C$44%</f>
        <v>0</v>
      </c>
      <c r="W47" s="144">
        <f>O47*R47*$W$12</f>
        <v>0</v>
      </c>
      <c r="X47" s="145">
        <f>P47*T47*$W$12</f>
        <v>0</v>
      </c>
      <c r="Y47" s="144">
        <f>(O47*R47+U47+W47)*$Y$12</f>
        <v>41.03242105263158</v>
      </c>
      <c r="Z47" s="145">
        <f>(P47*T47+V47+X47)*$Z$12</f>
        <v>15.556247541931752</v>
      </c>
      <c r="AA47" s="144">
        <f>(O47*R47+U47)*$AA$12</f>
        <v>0</v>
      </c>
      <c r="AB47" s="145">
        <f>(P47*T47+V47)*$AA$12</f>
        <v>0</v>
      </c>
      <c r="AC47" s="143">
        <v>2.5</v>
      </c>
      <c r="AD47" s="144">
        <f>(O47*R47+U47+W47+Y47+AA47)*AC47</f>
        <v>1128.3915789473685</v>
      </c>
      <c r="AE47" s="144">
        <f>(P47*T47+V47+X47+Z47+AB47)*AC47</f>
        <v>816.7029959514168</v>
      </c>
      <c r="AF47" s="121">
        <f aca="true" t="shared" si="58" ref="AF47:AG50">AD47*$AF$12</f>
        <v>167.16912280701754</v>
      </c>
      <c r="AG47" s="152">
        <f t="shared" si="58"/>
        <v>120.99303643724693</v>
      </c>
      <c r="AH47" s="121">
        <f aca="true" t="shared" si="59" ref="AH47:AI50">AD47+AF47</f>
        <v>1295.5607017543862</v>
      </c>
      <c r="AI47" s="121">
        <f t="shared" si="59"/>
        <v>937.6960323886638</v>
      </c>
      <c r="AJ47" s="121">
        <f aca="true" t="shared" si="60" ref="AJ47:AK50">AH47*$AJ$12</f>
        <v>397.73713543859657</v>
      </c>
      <c r="AK47" s="152">
        <f t="shared" si="60"/>
        <v>287.8726819433198</v>
      </c>
      <c r="AL47" s="121">
        <f>AH47+AJ47</f>
        <v>1693.2978371929828</v>
      </c>
      <c r="AM47" s="152">
        <f>AK47+AI47</f>
        <v>1225.5687143319835</v>
      </c>
      <c r="AN47" s="150">
        <v>1.3</v>
      </c>
      <c r="AO47" s="148">
        <f>$AO$17</f>
        <v>0.84</v>
      </c>
      <c r="AP47" s="123">
        <f>(G47*AN47)*AO47/100</f>
        <v>0.1092</v>
      </c>
      <c r="AQ47" s="163" t="s">
        <v>186</v>
      </c>
      <c r="AR47" s="122">
        <f>'Исх.данные'!$G$85</f>
        <v>9559.371428571429</v>
      </c>
      <c r="AS47" s="115">
        <f>AP47*AR47</f>
        <v>1043.88336</v>
      </c>
      <c r="AT47" s="154"/>
      <c r="AU47" s="169"/>
      <c r="AV47" s="169"/>
      <c r="AW47" s="169"/>
      <c r="AX47" s="169"/>
      <c r="AY47" s="169"/>
      <c r="AZ47" s="169"/>
      <c r="BA47" s="169"/>
      <c r="BB47" s="183">
        <v>0.5</v>
      </c>
      <c r="BC47" s="183">
        <f>BB47*G47</f>
        <v>5</v>
      </c>
      <c r="BD47" s="208">
        <f>356*1.045*1.054</f>
        <v>392.10908</v>
      </c>
      <c r="BE47" s="120">
        <f>BC47*BD47</f>
        <v>1960.5454</v>
      </c>
      <c r="BF47" s="115">
        <f>аморт!$H$10</f>
        <v>69.6969696969697</v>
      </c>
      <c r="BG47" s="115">
        <f>BF47*L47*$O$12</f>
        <v>159.0654959076012</v>
      </c>
      <c r="BH47" s="115">
        <f>аморт!$H$66</f>
        <v>196.73123809523813</v>
      </c>
      <c r="BI47" s="115">
        <f>BH47*L47*$O$12</f>
        <v>448.98870186455156</v>
      </c>
      <c r="BJ47" s="153">
        <f>'Исх.данные'!$E$89</f>
        <v>98.91196513535999</v>
      </c>
      <c r="BK47" s="115">
        <f>BJ47*BU47</f>
        <v>144.1288634829531</v>
      </c>
      <c r="BL47" s="153">
        <f>'Исх.данные'!$E$94</f>
        <v>16.685392176959997</v>
      </c>
      <c r="BM47" s="115">
        <f>BL47*BU47</f>
        <v>24.313000029284563</v>
      </c>
      <c r="BN47" s="39">
        <f>'Исх.данные'!$E$99</f>
        <v>5.761862046719998</v>
      </c>
      <c r="BO47" s="115">
        <f>BN47*BU47</f>
        <v>8.395856125220567</v>
      </c>
      <c r="BP47" s="115">
        <f>аморт!$D$66*10%/аморт!$G$66*L47*O12</f>
        <v>269.3932211187309</v>
      </c>
      <c r="BQ47" s="115">
        <f>AL47+AM47+AS47+AW47+BA47+BE47+BG47+BI47+BK47+BM47+BO47+BP47</f>
        <v>6977.580450053309</v>
      </c>
      <c r="BR47" s="115">
        <f>BQ47/$D$7</f>
        <v>697.7580450053308</v>
      </c>
      <c r="BS47" s="153">
        <f>(O47+P47)/$D$7</f>
        <v>0.4564488143435511</v>
      </c>
      <c r="BT47" s="153">
        <f>'Исх.данные'!$B$109</f>
        <v>5.1</v>
      </c>
      <c r="BU47" s="151">
        <f>BT47*L47</f>
        <v>1.4571428571428569</v>
      </c>
    </row>
    <row r="48" spans="1:73" s="7" customFormat="1" ht="22.5">
      <c r="A48" s="19">
        <v>2</v>
      </c>
      <c r="B48" s="28" t="s">
        <v>110</v>
      </c>
      <c r="C48" s="22"/>
      <c r="D48" s="31" t="s">
        <v>133</v>
      </c>
      <c r="E48" s="32" t="s">
        <v>182</v>
      </c>
      <c r="F48" s="29" t="s">
        <v>479</v>
      </c>
      <c r="G48" s="30">
        <f>600*D7/1000</f>
        <v>6</v>
      </c>
      <c r="H48" s="29" t="s">
        <v>495</v>
      </c>
      <c r="I48" s="29" t="s">
        <v>496</v>
      </c>
      <c r="J48" s="160">
        <v>0.1</v>
      </c>
      <c r="K48" s="150">
        <v>48</v>
      </c>
      <c r="L48" s="148">
        <f>G48/K48</f>
        <v>0.125</v>
      </c>
      <c r="M48" s="154">
        <v>1</v>
      </c>
      <c r="N48" s="164">
        <f>L48/J48</f>
        <v>1.25</v>
      </c>
      <c r="O48" s="121">
        <f>IF(M48=0,0,L48*$O$12)</f>
        <v>0.9984817813765182</v>
      </c>
      <c r="P48" s="121">
        <f>IF(N48=0,0,L48*$O$12)</f>
        <v>0.9984817813765182</v>
      </c>
      <c r="Q48" s="155">
        <v>5</v>
      </c>
      <c r="R48" s="122">
        <f>IF(AND(O48&gt;0,Q48&gt;0),SUMIF('Исх.данные'!$C$14:H51,Q48,'Исх.данные'!$C$18:$H$18),IF(O48=0,0,IF(Q48=0,"РОТ")))</f>
        <v>179.78980233147493</v>
      </c>
      <c r="S48" s="155">
        <v>4</v>
      </c>
      <c r="T48" s="122">
        <f>IF(AND(N48&gt;0,P48&gt;0),SUMIF('Исх.данные'!$C$14:$J$30,S48,'Исх.данные'!$C$34:$J$45),IF(N48=0,0,IF(S48=0,"РОТ")))</f>
        <v>123.48200709579322</v>
      </c>
      <c r="U48" s="144">
        <f>O48*R48*'Исх.данные'!$C$43%</f>
        <v>0</v>
      </c>
      <c r="V48" s="144">
        <f>P48*T48*'Исх.данные'!$C$44%</f>
        <v>0</v>
      </c>
      <c r="W48" s="144">
        <f>O48*R48*$W$12</f>
        <v>0</v>
      </c>
      <c r="X48" s="145">
        <f>P48*T48*$W$12</f>
        <v>0</v>
      </c>
      <c r="Y48" s="144">
        <f>(O48*R48+U48+W48)*$Y$12</f>
        <v>17.95168421052632</v>
      </c>
      <c r="Z48" s="145">
        <f>(P48*T48+V48+X48)*$Z$12</f>
        <v>6.164726720647774</v>
      </c>
      <c r="AA48" s="144">
        <f>(O48*R48+U48)*$AA$12</f>
        <v>0</v>
      </c>
      <c r="AB48" s="145">
        <f>(P48*T48+V48)*$AA$12</f>
        <v>0</v>
      </c>
      <c r="AC48" s="143">
        <v>2.5</v>
      </c>
      <c r="AD48" s="144">
        <f>(O48*R48+U48+W48+Y48+AA48)*AC48</f>
        <v>493.67131578947374</v>
      </c>
      <c r="AE48" s="144">
        <f>(P48*T48+V48+X48+Z48+AB48)*AC48</f>
        <v>323.64815283400816</v>
      </c>
      <c r="AF48" s="121">
        <f t="shared" si="58"/>
        <v>73.13649122807018</v>
      </c>
      <c r="AG48" s="152">
        <f t="shared" si="58"/>
        <v>47.94787449392713</v>
      </c>
      <c r="AH48" s="121">
        <f t="shared" si="59"/>
        <v>566.807807017544</v>
      </c>
      <c r="AI48" s="121">
        <f t="shared" si="59"/>
        <v>371.5960273279353</v>
      </c>
      <c r="AJ48" s="121">
        <f t="shared" si="60"/>
        <v>174.00999675438598</v>
      </c>
      <c r="AK48" s="152">
        <f t="shared" si="60"/>
        <v>114.07998038967614</v>
      </c>
      <c r="AL48" s="121">
        <f>AH48+AJ48</f>
        <v>740.8178037719299</v>
      </c>
      <c r="AM48" s="152">
        <f>AK48+AI48</f>
        <v>485.67600771761147</v>
      </c>
      <c r="AN48" s="150">
        <v>1.3</v>
      </c>
      <c r="AO48" s="148">
        <f>$AO$17</f>
        <v>0.84</v>
      </c>
      <c r="AP48" s="123">
        <f>(G48*AN48)*AO48/100</f>
        <v>0.06552000000000001</v>
      </c>
      <c r="AQ48" s="163" t="s">
        <v>186</v>
      </c>
      <c r="AR48" s="122">
        <f>'Исх.данные'!$G$85</f>
        <v>9559.371428571429</v>
      </c>
      <c r="AS48" s="115">
        <f>AP48*AR48</f>
        <v>626.3300160000001</v>
      </c>
      <c r="AT48" s="154"/>
      <c r="AU48" s="169"/>
      <c r="AV48" s="169"/>
      <c r="AW48" s="169"/>
      <c r="AX48" s="169"/>
      <c r="AY48" s="169"/>
      <c r="AZ48" s="169"/>
      <c r="BA48" s="169"/>
      <c r="BB48" s="44"/>
      <c r="BC48" s="44"/>
      <c r="BD48" s="44"/>
      <c r="BE48" s="44"/>
      <c r="BF48" s="115">
        <f>аморт!$H$10</f>
        <v>69.6969696969697</v>
      </c>
      <c r="BG48" s="115">
        <f>BF48*L48*$O$12</f>
        <v>69.59115445957552</v>
      </c>
      <c r="BH48" s="115">
        <f>аморт!H32</f>
        <v>119.49152083333334</v>
      </c>
      <c r="BI48" s="115">
        <f>BH48*L48*$O$12</f>
        <v>119.31010658105602</v>
      </c>
      <c r="BJ48" s="153">
        <f>'Исх.данные'!$E$89</f>
        <v>98.91196513535999</v>
      </c>
      <c r="BK48" s="115">
        <f>BJ48*BU48</f>
        <v>63.05637777379199</v>
      </c>
      <c r="BL48" s="153">
        <f>'Исх.данные'!$E$94</f>
        <v>16.685392176959997</v>
      </c>
      <c r="BM48" s="115">
        <f>BL48*BU48</f>
        <v>10.636937512811997</v>
      </c>
      <c r="BN48" s="39">
        <f>'Исх.данные'!$E$99</f>
        <v>5.761862046719998</v>
      </c>
      <c r="BO48" s="115">
        <f>BN48*BU48</f>
        <v>3.6731870547839987</v>
      </c>
      <c r="BP48" s="115">
        <f>аморт!$D$32*10%/аморт!$G$32*L48*O12</f>
        <v>95.44808526484482</v>
      </c>
      <c r="BQ48" s="115">
        <f>AL48+AM48+AS48+AW48+BA48+BE48+BG48+BI48+BK48+BM48+BO48+BP48</f>
        <v>2214.539676136406</v>
      </c>
      <c r="BR48" s="115">
        <f>BQ48/$D$7</f>
        <v>221.4539676136406</v>
      </c>
      <c r="BS48" s="153">
        <f>(O48+P48)/$D$7</f>
        <v>0.19969635627530363</v>
      </c>
      <c r="BT48" s="153">
        <f>'Исх.данные'!$B$109</f>
        <v>5.1</v>
      </c>
      <c r="BU48" s="151">
        <f>BT48*L48</f>
        <v>0.6375</v>
      </c>
    </row>
    <row r="49" spans="1:73" s="7" customFormat="1" ht="22.5">
      <c r="A49" s="19">
        <v>3</v>
      </c>
      <c r="B49" s="28" t="s">
        <v>456</v>
      </c>
      <c r="C49" s="22"/>
      <c r="D49" s="31" t="s">
        <v>133</v>
      </c>
      <c r="E49" s="32" t="s">
        <v>137</v>
      </c>
      <c r="F49" s="29" t="s">
        <v>134</v>
      </c>
      <c r="G49" s="30">
        <f>D7*2</f>
        <v>20</v>
      </c>
      <c r="H49" s="29" t="s">
        <v>497</v>
      </c>
      <c r="I49" s="29" t="s">
        <v>498</v>
      </c>
      <c r="J49" s="160">
        <v>0.6</v>
      </c>
      <c r="K49" s="150">
        <v>35</v>
      </c>
      <c r="L49" s="148">
        <f>G49/K49</f>
        <v>0.5714285714285714</v>
      </c>
      <c r="M49" s="154">
        <v>1</v>
      </c>
      <c r="N49" s="154">
        <v>0</v>
      </c>
      <c r="O49" s="121">
        <f>IF(M49=0,0,L49*$O$12)</f>
        <v>4.564488143435511</v>
      </c>
      <c r="P49" s="121">
        <f>IF(N49=0,0,L49*$O$12)</f>
        <v>0</v>
      </c>
      <c r="Q49" s="155">
        <v>5</v>
      </c>
      <c r="R49" s="122">
        <f>IF(AND(O49&gt;0,Q49&gt;0),SUMIF('Исх.данные'!$C$14:H52,Q49,'Исх.данные'!$C$18:$H$18),IF(O49=0,0,IF(Q49=0,"РОТ")))</f>
        <v>179.78980233147493</v>
      </c>
      <c r="S49" s="155">
        <v>5</v>
      </c>
      <c r="T49" s="122">
        <f>IF(AND(N49&gt;0,P49&gt;0),SUMIF('Исх.данные'!$C$14:$J$30,S49,'Исх.данные'!$C$34:$J$45),IF(N49=0,0,IF(S49=0,"РОТ")))</f>
        <v>0</v>
      </c>
      <c r="U49" s="144">
        <f>O49*R49*'Исх.данные'!$C$43%</f>
        <v>0</v>
      </c>
      <c r="V49" s="144">
        <f>P49*T49*'Исх.данные'!$C$44%</f>
        <v>0</v>
      </c>
      <c r="W49" s="144">
        <f>O49*R49*$W$12</f>
        <v>0</v>
      </c>
      <c r="X49" s="145">
        <f>P49*T49*$W$12</f>
        <v>0</v>
      </c>
      <c r="Y49" s="144">
        <f>(O49*R49+U49+W49)*$Y$12</f>
        <v>82.06484210526315</v>
      </c>
      <c r="Z49" s="145">
        <f>(P49*T49+V49+X49)*$Z$12</f>
        <v>0</v>
      </c>
      <c r="AA49" s="144">
        <f>(O49*R49+U49)*$AA$12</f>
        <v>0</v>
      </c>
      <c r="AB49" s="145">
        <f>(P49*T49+V49)*$AA$12</f>
        <v>0</v>
      </c>
      <c r="AC49" s="143">
        <v>2.5</v>
      </c>
      <c r="AD49" s="144">
        <f>(O49*R49+U49+W49+Y49+AA49)*AC49</f>
        <v>2256.783157894737</v>
      </c>
      <c r="AE49" s="144">
        <f>(P49*T49+V49+X49+Z49+AB49)*AC49</f>
        <v>0</v>
      </c>
      <c r="AF49" s="121">
        <f t="shared" si="58"/>
        <v>334.3382456140351</v>
      </c>
      <c r="AG49" s="152">
        <f t="shared" si="58"/>
        <v>0</v>
      </c>
      <c r="AH49" s="121">
        <f t="shared" si="59"/>
        <v>2591.1214035087723</v>
      </c>
      <c r="AI49" s="121">
        <f t="shared" si="59"/>
        <v>0</v>
      </c>
      <c r="AJ49" s="121">
        <f t="shared" si="60"/>
        <v>795.4742708771931</v>
      </c>
      <c r="AK49" s="152">
        <f t="shared" si="60"/>
        <v>0</v>
      </c>
      <c r="AL49" s="121">
        <f>AH49+AJ49</f>
        <v>3386.5956743859656</v>
      </c>
      <c r="AM49" s="152">
        <f>AK49+AI49</f>
        <v>0</v>
      </c>
      <c r="AN49" s="150">
        <v>1.3</v>
      </c>
      <c r="AO49" s="148">
        <f>$AO$17</f>
        <v>0.84</v>
      </c>
      <c r="AP49" s="123">
        <f>(G49*AN49)*AO49/100</f>
        <v>0.2184</v>
      </c>
      <c r="AQ49" s="163" t="s">
        <v>186</v>
      </c>
      <c r="AR49" s="122">
        <f>'Исх.данные'!$G$85</f>
        <v>9559.371428571429</v>
      </c>
      <c r="AS49" s="115">
        <f>AP49*AR49</f>
        <v>2087.76672</v>
      </c>
      <c r="AT49" s="154"/>
      <c r="AU49" s="169"/>
      <c r="AV49" s="169"/>
      <c r="AW49" s="169"/>
      <c r="AX49" s="169"/>
      <c r="AY49" s="169"/>
      <c r="AZ49" s="169"/>
      <c r="BA49" s="169"/>
      <c r="BB49" s="120">
        <f>Нормы!C29</f>
        <v>1.2</v>
      </c>
      <c r="BC49" s="120">
        <f>BB49*G49</f>
        <v>24</v>
      </c>
      <c r="BD49" s="120">
        <f>Нормы!D29</f>
        <v>297</v>
      </c>
      <c r="BE49" s="120">
        <f>BC49*BD49</f>
        <v>7128</v>
      </c>
      <c r="BF49" s="115">
        <f>аморт!$H$10</f>
        <v>69.6969696969697</v>
      </c>
      <c r="BG49" s="115">
        <f>BF49*L49*$O$12</f>
        <v>318.1309918152024</v>
      </c>
      <c r="BH49" s="115">
        <f>аморт!$H$66</f>
        <v>196.73123809523813</v>
      </c>
      <c r="BI49" s="115">
        <f>BH49*L49*$O$12</f>
        <v>897.9774037291031</v>
      </c>
      <c r="BJ49" s="153">
        <f>'Исх.данные'!$E$89</f>
        <v>98.91196513535999</v>
      </c>
      <c r="BK49" s="115">
        <f>BJ49*BU49</f>
        <v>288.2577269659062</v>
      </c>
      <c r="BL49" s="153">
        <f>'Исх.данные'!$E$94</f>
        <v>16.685392176959997</v>
      </c>
      <c r="BM49" s="115">
        <f>BL49*BU49</f>
        <v>48.626000058569126</v>
      </c>
      <c r="BN49" s="39">
        <f>'Исх.данные'!$E$99</f>
        <v>5.761862046719998</v>
      </c>
      <c r="BO49" s="115">
        <f>BN49*BU49</f>
        <v>16.791712250441133</v>
      </c>
      <c r="BP49" s="115">
        <f>аморт!$D$66*10%/аморт!$G$66*L49*O12</f>
        <v>538.7864422374618</v>
      </c>
      <c r="BQ49" s="115">
        <f>AL49+AM49+AS49+AW49+BA49+BE49+BG49+BI49+BK49+BM49+BO49+BP49</f>
        <v>14710.93267144265</v>
      </c>
      <c r="BR49" s="115">
        <f>BQ49/$D$7</f>
        <v>1471.093267144265</v>
      </c>
      <c r="BS49" s="153">
        <f>(O49+P49)/$D$7</f>
        <v>0.4564488143435511</v>
      </c>
      <c r="BT49" s="153">
        <f>'Исх.данные'!$B$109</f>
        <v>5.1</v>
      </c>
      <c r="BU49" s="151">
        <f>BT49*L49</f>
        <v>2.9142857142857137</v>
      </c>
    </row>
    <row r="50" spans="1:73" s="7" customFormat="1" ht="22.5">
      <c r="A50" s="19">
        <v>4</v>
      </c>
      <c r="B50" s="28" t="s">
        <v>512</v>
      </c>
      <c r="C50" s="22"/>
      <c r="D50" s="31" t="s">
        <v>133</v>
      </c>
      <c r="E50" s="32" t="s">
        <v>137</v>
      </c>
      <c r="F50" s="29" t="s">
        <v>134</v>
      </c>
      <c r="G50" s="30">
        <f>D7</f>
        <v>10</v>
      </c>
      <c r="H50" s="29" t="s">
        <v>492</v>
      </c>
      <c r="I50" s="29" t="s">
        <v>493</v>
      </c>
      <c r="J50" s="160">
        <v>0.3</v>
      </c>
      <c r="K50" s="150">
        <v>35</v>
      </c>
      <c r="L50" s="148">
        <f>G50/K50</f>
        <v>0.2857142857142857</v>
      </c>
      <c r="M50" s="154">
        <v>1</v>
      </c>
      <c r="N50" s="154">
        <v>0</v>
      </c>
      <c r="O50" s="121">
        <f>IF(M50=0,0,L50*$O$12)</f>
        <v>2.2822440717177557</v>
      </c>
      <c r="P50" s="121">
        <f>IF(N50=0,0,L50*$O$12)</f>
        <v>0</v>
      </c>
      <c r="Q50" s="155">
        <v>5</v>
      </c>
      <c r="R50" s="122">
        <f>IF(AND(O50&gt;0,Q50&gt;0),SUMIF('Исх.данные'!$C$14:H53,Q50,'Исх.данные'!$C$18:$H$18),IF(O50=0,0,IF(Q50=0,"РОТ")))</f>
        <v>179.78980233147493</v>
      </c>
      <c r="S50" s="155">
        <v>5</v>
      </c>
      <c r="T50" s="122">
        <f>IF(AND(N50&gt;0,P50&gt;0),SUMIF('Исх.данные'!$C$14:$J$30,S50,'Исх.данные'!$C$34:$J$45),IF(N50=0,0,IF(S50=0,"РОТ")))</f>
        <v>0</v>
      </c>
      <c r="U50" s="144">
        <f>O50*R50*'Исх.данные'!$C$43%</f>
        <v>0</v>
      </c>
      <c r="V50" s="144">
        <f>P50*T50*'Исх.данные'!$C$44%</f>
        <v>0</v>
      </c>
      <c r="W50" s="144">
        <f>O50*R50*$W$12</f>
        <v>0</v>
      </c>
      <c r="X50" s="145">
        <f>P50*T50*$W$12</f>
        <v>0</v>
      </c>
      <c r="Y50" s="144">
        <f>(O50*R50+U50+W50)*$Y$12</f>
        <v>41.03242105263158</v>
      </c>
      <c r="Z50" s="145">
        <f>(P50*T50+V50+X50)*$Z$12</f>
        <v>0</v>
      </c>
      <c r="AA50" s="144">
        <f>(O50*R50+U50)*$AA$12</f>
        <v>0</v>
      </c>
      <c r="AB50" s="145">
        <f>(P50*T50+V50)*$AA$12</f>
        <v>0</v>
      </c>
      <c r="AC50" s="143">
        <v>2.5</v>
      </c>
      <c r="AD50" s="144">
        <f>(O50*R50+U50+W50+Y50+AA50)*AC50</f>
        <v>1128.3915789473685</v>
      </c>
      <c r="AE50" s="144">
        <f>(P50*T50+V50+X50+Z50+AB50)*AC50</f>
        <v>0</v>
      </c>
      <c r="AF50" s="121">
        <f t="shared" si="58"/>
        <v>167.16912280701754</v>
      </c>
      <c r="AG50" s="152">
        <f t="shared" si="58"/>
        <v>0</v>
      </c>
      <c r="AH50" s="121">
        <f t="shared" si="59"/>
        <v>1295.5607017543862</v>
      </c>
      <c r="AI50" s="121">
        <f t="shared" si="59"/>
        <v>0</v>
      </c>
      <c r="AJ50" s="121">
        <f t="shared" si="60"/>
        <v>397.73713543859657</v>
      </c>
      <c r="AK50" s="152">
        <f t="shared" si="60"/>
        <v>0</v>
      </c>
      <c r="AL50" s="121">
        <f>AH50+AJ50</f>
        <v>1693.2978371929828</v>
      </c>
      <c r="AM50" s="152">
        <f>AK50+AI50</f>
        <v>0</v>
      </c>
      <c r="AN50" s="150">
        <v>1.3</v>
      </c>
      <c r="AO50" s="148">
        <f>$AO$17</f>
        <v>0.84</v>
      </c>
      <c r="AP50" s="123">
        <f>(G50*AN50)*AO50/100</f>
        <v>0.1092</v>
      </c>
      <c r="AQ50" s="163" t="s">
        <v>186</v>
      </c>
      <c r="AR50" s="122">
        <f>'Исх.данные'!$G$85</f>
        <v>9559.371428571429</v>
      </c>
      <c r="AS50" s="115">
        <f>AP50*AR50</f>
        <v>1043.88336</v>
      </c>
      <c r="AT50" s="154"/>
      <c r="AU50" s="169"/>
      <c r="AV50" s="169"/>
      <c r="AW50" s="169"/>
      <c r="AX50" s="169"/>
      <c r="AY50" s="169"/>
      <c r="AZ50" s="169"/>
      <c r="BA50" s="169"/>
      <c r="BB50" s="184">
        <v>0.03</v>
      </c>
      <c r="BC50" s="184">
        <f>BB50*G50</f>
        <v>0.3</v>
      </c>
      <c r="BD50" s="120">
        <f>2048*1.045*1.054</f>
        <v>2255.72864</v>
      </c>
      <c r="BE50" s="120">
        <f>BC50*BD50</f>
        <v>676.718592</v>
      </c>
      <c r="BF50" s="115">
        <f>аморт!$H$10</f>
        <v>69.6969696969697</v>
      </c>
      <c r="BG50" s="115">
        <f>BF50*L50*$O$12</f>
        <v>159.0654959076012</v>
      </c>
      <c r="BH50" s="115">
        <f>аморт!$H$66</f>
        <v>196.73123809523813</v>
      </c>
      <c r="BI50" s="115">
        <f>BH50*L50*$O$12</f>
        <v>448.98870186455156</v>
      </c>
      <c r="BJ50" s="153">
        <f>'Исх.данные'!$E$89</f>
        <v>98.91196513535999</v>
      </c>
      <c r="BK50" s="115">
        <f>BJ50*BU50</f>
        <v>144.1288634829531</v>
      </c>
      <c r="BL50" s="153">
        <f>'Исх.данные'!$E$94</f>
        <v>16.685392176959997</v>
      </c>
      <c r="BM50" s="115">
        <f>BL50*BU50</f>
        <v>24.313000029284563</v>
      </c>
      <c r="BN50" s="39">
        <f>'Исх.данные'!$E$99</f>
        <v>5.761862046719998</v>
      </c>
      <c r="BO50" s="115">
        <f>BN50*BU50</f>
        <v>8.395856125220567</v>
      </c>
      <c r="BP50" s="115">
        <f>аморт!$D$66*10%/аморт!$G$66*L50*O12</f>
        <v>269.3932211187309</v>
      </c>
      <c r="BQ50" s="115">
        <f>AL50+AM50+AS50+AW50+BA50+BE50+BG50+BI50+BK50+BM50+BO50+BP50</f>
        <v>4468.184927721325</v>
      </c>
      <c r="BR50" s="115">
        <f>BQ50/$D$7</f>
        <v>446.8184927721325</v>
      </c>
      <c r="BS50" s="153">
        <f>(O50+P50)/$D$7</f>
        <v>0.22822440717177556</v>
      </c>
      <c r="BT50" s="153">
        <f>'Исх.данные'!$B$109</f>
        <v>5.1</v>
      </c>
      <c r="BU50" s="151">
        <f>BT50*L50</f>
        <v>1.4571428571428569</v>
      </c>
    </row>
    <row r="51" spans="1:73" s="56" customFormat="1" ht="11.25">
      <c r="A51" s="54"/>
      <c r="B51" s="55" t="s">
        <v>22</v>
      </c>
      <c r="C51" s="55"/>
      <c r="D51" s="55"/>
      <c r="E51" s="55"/>
      <c r="F51" s="57"/>
      <c r="G51" s="58"/>
      <c r="H51" s="58"/>
      <c r="I51" s="58"/>
      <c r="J51" s="158">
        <f>SUM(J47:J50)</f>
        <v>1.3</v>
      </c>
      <c r="K51" s="158"/>
      <c r="L51" s="158">
        <f aca="true" t="shared" si="61" ref="L51:BM51">SUM(L47:L50)</f>
        <v>1.2678571428571428</v>
      </c>
      <c r="M51" s="158">
        <f t="shared" si="61"/>
        <v>4</v>
      </c>
      <c r="N51" s="158">
        <f t="shared" si="61"/>
        <v>2.2023809523809526</v>
      </c>
      <c r="O51" s="158">
        <f t="shared" si="61"/>
        <v>10.127458068247542</v>
      </c>
      <c r="P51" s="158">
        <f t="shared" si="61"/>
        <v>3.280725853094274</v>
      </c>
      <c r="Q51" s="158"/>
      <c r="R51" s="158"/>
      <c r="S51" s="158"/>
      <c r="T51" s="158"/>
      <c r="U51" s="158">
        <f t="shared" si="61"/>
        <v>0</v>
      </c>
      <c r="V51" s="158">
        <f t="shared" si="61"/>
        <v>0</v>
      </c>
      <c r="W51" s="158">
        <f t="shared" si="61"/>
        <v>0</v>
      </c>
      <c r="X51" s="158">
        <f t="shared" si="61"/>
        <v>0</v>
      </c>
      <c r="Y51" s="158">
        <f t="shared" si="61"/>
        <v>182.08136842105264</v>
      </c>
      <c r="Z51" s="158">
        <f t="shared" si="61"/>
        <v>21.720974262579524</v>
      </c>
      <c r="AA51" s="158">
        <f t="shared" si="61"/>
        <v>0</v>
      </c>
      <c r="AB51" s="158">
        <f t="shared" si="61"/>
        <v>0</v>
      </c>
      <c r="AC51" s="158"/>
      <c r="AD51" s="158">
        <f t="shared" si="61"/>
        <v>5007.237631578948</v>
      </c>
      <c r="AE51" s="158">
        <f t="shared" si="61"/>
        <v>1140.351148785425</v>
      </c>
      <c r="AF51" s="158">
        <f t="shared" si="61"/>
        <v>741.8129824561403</v>
      </c>
      <c r="AG51" s="158">
        <f t="shared" si="61"/>
        <v>168.94091093117407</v>
      </c>
      <c r="AH51" s="158">
        <f t="shared" si="61"/>
        <v>5749.050614035088</v>
      </c>
      <c r="AI51" s="158">
        <f t="shared" si="61"/>
        <v>1309.292059716599</v>
      </c>
      <c r="AJ51" s="158">
        <f t="shared" si="61"/>
        <v>1764.9585385087723</v>
      </c>
      <c r="AK51" s="158">
        <f t="shared" si="61"/>
        <v>401.95266233299594</v>
      </c>
      <c r="AL51" s="158">
        <f t="shared" si="61"/>
        <v>7514.009152543861</v>
      </c>
      <c r="AM51" s="158">
        <f t="shared" si="61"/>
        <v>1711.244722049595</v>
      </c>
      <c r="AN51" s="164"/>
      <c r="AO51" s="158"/>
      <c r="AP51" s="158">
        <f t="shared" si="61"/>
        <v>0.50232</v>
      </c>
      <c r="AQ51" s="158"/>
      <c r="AR51" s="158"/>
      <c r="AS51" s="158">
        <f t="shared" si="61"/>
        <v>4801.863456</v>
      </c>
      <c r="AT51" s="158"/>
      <c r="AU51" s="158">
        <f t="shared" si="61"/>
        <v>0</v>
      </c>
      <c r="AV51" s="158"/>
      <c r="AW51" s="158">
        <f t="shared" si="61"/>
        <v>0</v>
      </c>
      <c r="AX51" s="158"/>
      <c r="AY51" s="158">
        <f t="shared" si="61"/>
        <v>0</v>
      </c>
      <c r="AZ51" s="158"/>
      <c r="BA51" s="158">
        <f t="shared" si="61"/>
        <v>0</v>
      </c>
      <c r="BB51" s="158"/>
      <c r="BC51" s="158">
        <f t="shared" si="61"/>
        <v>29.3</v>
      </c>
      <c r="BD51" s="158"/>
      <c r="BE51" s="158">
        <f t="shared" si="61"/>
        <v>9765.263991999998</v>
      </c>
      <c r="BF51" s="158"/>
      <c r="BG51" s="158">
        <f t="shared" si="61"/>
        <v>705.8531380899803</v>
      </c>
      <c r="BH51" s="158"/>
      <c r="BI51" s="158">
        <f t="shared" si="61"/>
        <v>1915.2649140392623</v>
      </c>
      <c r="BJ51" s="158"/>
      <c r="BK51" s="158">
        <f t="shared" si="61"/>
        <v>639.5718317056044</v>
      </c>
      <c r="BL51" s="158"/>
      <c r="BM51" s="158">
        <f t="shared" si="61"/>
        <v>107.88893762995026</v>
      </c>
      <c r="BN51" s="158"/>
      <c r="BO51" s="158">
        <f aca="true" t="shared" si="62" ref="BO51:BU51">SUM(BO47:BO50)</f>
        <v>37.25661155566627</v>
      </c>
      <c r="BP51" s="158">
        <f t="shared" si="62"/>
        <v>1173.0209697397684</v>
      </c>
      <c r="BQ51" s="158">
        <f t="shared" si="62"/>
        <v>28371.23772535369</v>
      </c>
      <c r="BR51" s="158"/>
      <c r="BS51" s="158"/>
      <c r="BT51" s="158"/>
      <c r="BU51" s="158">
        <f t="shared" si="62"/>
        <v>6.466071428571427</v>
      </c>
    </row>
    <row r="52" spans="1:73" s="7" customFormat="1" ht="11.25">
      <c r="A52" s="21"/>
      <c r="B52" s="399" t="s">
        <v>116</v>
      </c>
      <c r="C52" s="399"/>
      <c r="D52" s="399"/>
      <c r="E52" s="399"/>
      <c r="F52" s="23"/>
      <c r="G52" s="24"/>
      <c r="H52" s="24"/>
      <c r="I52" s="24"/>
      <c r="J52" s="154"/>
      <c r="K52" s="154"/>
      <c r="L52" s="166"/>
      <c r="M52" s="154"/>
      <c r="N52" s="154"/>
      <c r="O52" s="167"/>
      <c r="P52" s="167"/>
      <c r="Q52" s="155"/>
      <c r="R52" s="154"/>
      <c r="S52" s="155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68"/>
      <c r="AH52" s="167"/>
      <c r="AI52" s="167"/>
      <c r="AJ52" s="167"/>
      <c r="AK52" s="167"/>
      <c r="AL52" s="167"/>
      <c r="AM52" s="167"/>
      <c r="AN52" s="154"/>
      <c r="AO52" s="154"/>
      <c r="AP52" s="169"/>
      <c r="AQ52" s="155"/>
      <c r="AR52" s="155"/>
      <c r="AS52" s="169"/>
      <c r="AT52" s="154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15">
        <f>BF52*L52</f>
        <v>0</v>
      </c>
      <c r="BH52" s="169"/>
      <c r="BI52" s="115">
        <f>BH52*L52</f>
        <v>0</v>
      </c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</row>
    <row r="53" spans="1:73" s="7" customFormat="1" ht="11.25">
      <c r="A53" s="19">
        <v>1</v>
      </c>
      <c r="B53" s="28" t="s">
        <v>111</v>
      </c>
      <c r="C53" s="22"/>
      <c r="D53" s="31" t="s">
        <v>133</v>
      </c>
      <c r="E53" s="32" t="s">
        <v>155</v>
      </c>
      <c r="F53" s="29" t="s">
        <v>134</v>
      </c>
      <c r="G53" s="30">
        <f>D7</f>
        <v>10</v>
      </c>
      <c r="H53" s="29" t="s">
        <v>499</v>
      </c>
      <c r="I53" s="29" t="s">
        <v>500</v>
      </c>
      <c r="J53" s="160">
        <v>1.4</v>
      </c>
      <c r="K53" s="150">
        <v>7.1</v>
      </c>
      <c r="L53" s="148">
        <f>G53/K53</f>
        <v>1.4084507042253522</v>
      </c>
      <c r="M53" s="154">
        <v>1</v>
      </c>
      <c r="N53" s="154"/>
      <c r="O53" s="121">
        <f>IF(M53=0,0,L53*$O$12)</f>
        <v>11.25049894508753</v>
      </c>
      <c r="P53" s="121">
        <f>IF(N53=0,0,L53*$O$12)</f>
        <v>0</v>
      </c>
      <c r="Q53" s="155">
        <v>4</v>
      </c>
      <c r="R53" s="122">
        <f>IF(AND(O53&gt;0,Q53&gt;0),SUMIF('Исх.данные'!$C$14:H56,Q53,'Исх.данные'!$C$18:$H$18),IF(O53=0,0,IF(Q53=0,"РОТ")))</f>
        <v>156.08125696908263</v>
      </c>
      <c r="S53" s="155"/>
      <c r="T53" s="154"/>
      <c r="U53" s="144">
        <f>O53*R53*'Исх.данные'!$C$43%</f>
        <v>0</v>
      </c>
      <c r="V53" s="144">
        <f>P53*T53*'Исх.данные'!$C$44%</f>
        <v>0</v>
      </c>
      <c r="W53" s="144">
        <f>O53*R53*$W$12</f>
        <v>0</v>
      </c>
      <c r="X53" s="145">
        <f>P53*T53*$W$12</f>
        <v>0</v>
      </c>
      <c r="Y53" s="144">
        <f>(O53*R53+U53+W53)*$Y$12</f>
        <v>175.59920168786</v>
      </c>
      <c r="Z53" s="145">
        <f>(P53*T53+V53+X53)*$Z$12</f>
        <v>0</v>
      </c>
      <c r="AA53" s="144">
        <f>(O53*R53+U53)*$AA$12</f>
        <v>0</v>
      </c>
      <c r="AB53" s="145">
        <f>(P53*T53+V53)*$AA$12</f>
        <v>0</v>
      </c>
      <c r="AC53" s="143">
        <v>2.5</v>
      </c>
      <c r="AD53" s="144">
        <f>(O53*R53+U53+W53+Y53+AA53)*AC53</f>
        <v>4828.9780464161495</v>
      </c>
      <c r="AE53" s="144">
        <f>(P53*T53+V53+X53+Z53+AB53)*AC53</f>
        <v>0</v>
      </c>
      <c r="AF53" s="121">
        <f aca="true" t="shared" si="63" ref="AF53:AG56">AD53*$AF$12</f>
        <v>715.4041550246147</v>
      </c>
      <c r="AG53" s="152">
        <f t="shared" si="63"/>
        <v>0</v>
      </c>
      <c r="AH53" s="121">
        <f aca="true" t="shared" si="64" ref="AH53:AI56">AD53+AF53</f>
        <v>5544.382201440764</v>
      </c>
      <c r="AI53" s="121">
        <f t="shared" si="64"/>
        <v>0</v>
      </c>
      <c r="AJ53" s="121">
        <f aca="true" t="shared" si="65" ref="AJ53:AK56">AH53*$AJ$12</f>
        <v>1702.1253358423146</v>
      </c>
      <c r="AK53" s="152">
        <f t="shared" si="65"/>
        <v>0</v>
      </c>
      <c r="AL53" s="121">
        <f>AH53+AJ53</f>
        <v>7246.507537283079</v>
      </c>
      <c r="AM53" s="152">
        <f>AK53+AI53</f>
        <v>0</v>
      </c>
      <c r="AN53" s="150">
        <v>8.2</v>
      </c>
      <c r="AO53" s="148">
        <f>$AO$17</f>
        <v>0.84</v>
      </c>
      <c r="AP53" s="123">
        <f>(G53*AN53)*AO53/100</f>
        <v>0.6888</v>
      </c>
      <c r="AQ53" s="163" t="s">
        <v>186</v>
      </c>
      <c r="AR53" s="122">
        <f>'Исх.данные'!$G$85</f>
        <v>9559.371428571429</v>
      </c>
      <c r="AS53" s="115">
        <f>AP53*AR53</f>
        <v>6584.49504</v>
      </c>
      <c r="AT53" s="154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15">
        <f>аморт!$H$10</f>
        <v>69.6969696969697</v>
      </c>
      <c r="BG53" s="115">
        <f>BF53*L53*$O$12</f>
        <v>784.1256840515553</v>
      </c>
      <c r="BH53" s="115">
        <f>аморт!$H$56</f>
        <v>33.46371794871795</v>
      </c>
      <c r="BI53" s="115">
        <f>BH53*L53*$O$12</f>
        <v>376.483523480758</v>
      </c>
      <c r="BJ53" s="153">
        <f>'Исх.данные'!$E$89</f>
        <v>98.91196513535999</v>
      </c>
      <c r="BK53" s="115">
        <f>BJ53*BU53</f>
        <v>710.4943974511774</v>
      </c>
      <c r="BL53" s="153">
        <f>'Исх.данные'!$E$94</f>
        <v>16.685392176959997</v>
      </c>
      <c r="BM53" s="115">
        <f>BL53*BU53</f>
        <v>119.852817045769</v>
      </c>
      <c r="BN53" s="39">
        <f>'Исх.данные'!$E$99</f>
        <v>5.761862046719998</v>
      </c>
      <c r="BO53" s="115">
        <f>BN53*BU53</f>
        <v>41.38802315249576</v>
      </c>
      <c r="BP53" s="115">
        <f>аморт!$D$56*10%/аморт!$G$56*L53*O12</f>
        <v>301.1868187846064</v>
      </c>
      <c r="BQ53" s="115">
        <f>AL53+AM53+AS53+AW53+BA53+BE53+BG53+BI53+BK53+BM53+BO53+BP53</f>
        <v>16164.53384124944</v>
      </c>
      <c r="BR53" s="115">
        <f>BQ53/$D$7</f>
        <v>1616.453384124944</v>
      </c>
      <c r="BS53" s="153">
        <f>(O53+P53)/$D$7</f>
        <v>1.125049894508753</v>
      </c>
      <c r="BT53" s="153">
        <f>'Исх.данные'!$B$109</f>
        <v>5.1</v>
      </c>
      <c r="BU53" s="151">
        <f>BT53*L53</f>
        <v>7.183098591549296</v>
      </c>
    </row>
    <row r="54" spans="1:73" s="7" customFormat="1" ht="11.25">
      <c r="A54" s="19">
        <v>2</v>
      </c>
      <c r="B54" s="28" t="s">
        <v>112</v>
      </c>
      <c r="C54" s="22"/>
      <c r="D54" s="31" t="s">
        <v>133</v>
      </c>
      <c r="E54" s="32" t="s">
        <v>155</v>
      </c>
      <c r="F54" s="29" t="s">
        <v>134</v>
      </c>
      <c r="G54" s="30">
        <f>G53</f>
        <v>10</v>
      </c>
      <c r="H54" s="29" t="s">
        <v>501</v>
      </c>
      <c r="I54" s="29" t="s">
        <v>500</v>
      </c>
      <c r="J54" s="160">
        <v>1.4</v>
      </c>
      <c r="K54" s="150">
        <v>7.1</v>
      </c>
      <c r="L54" s="148">
        <f>G54/K54</f>
        <v>1.4084507042253522</v>
      </c>
      <c r="M54" s="154">
        <v>1</v>
      </c>
      <c r="N54" s="154"/>
      <c r="O54" s="121">
        <f>IF(M54=0,0,L54*$O$12)</f>
        <v>11.25049894508753</v>
      </c>
      <c r="P54" s="121">
        <f>IF(N54=0,0,L54*$O$12)</f>
        <v>0</v>
      </c>
      <c r="Q54" s="155">
        <v>4</v>
      </c>
      <c r="R54" s="122">
        <f>IF(AND(O54&gt;0,Q54&gt;0),SUMIF('Исх.данные'!$C$14:H56,Q54,'Исх.данные'!$C$18:$H$18),IF(O54=0,0,IF(Q54=0,"РОТ")))</f>
        <v>156.08125696908263</v>
      </c>
      <c r="S54" s="155"/>
      <c r="T54" s="154"/>
      <c r="U54" s="144">
        <f>O54*R54*'Исх.данные'!$C$43%</f>
        <v>0</v>
      </c>
      <c r="V54" s="144">
        <f>P54*T54*'Исх.данные'!$C$44%</f>
        <v>0</v>
      </c>
      <c r="W54" s="144">
        <f>O54*R54*$W$12</f>
        <v>0</v>
      </c>
      <c r="X54" s="145">
        <f>P54*T54*$W$12</f>
        <v>0</v>
      </c>
      <c r="Y54" s="144">
        <f>(O54*R54+U54+W54)*$Y$12</f>
        <v>175.59920168786</v>
      </c>
      <c r="Z54" s="145">
        <f>(P54*T54+V54+X54)*$Z$12</f>
        <v>0</v>
      </c>
      <c r="AA54" s="144">
        <f>(O54*R54+U54)*$AA$12</f>
        <v>0</v>
      </c>
      <c r="AB54" s="145">
        <f>(P54*T54+V54)*$AA$12</f>
        <v>0</v>
      </c>
      <c r="AC54" s="143">
        <v>2.5</v>
      </c>
      <c r="AD54" s="144">
        <f>(O54*R54+U54+W54+Y54+AA54)*AC54</f>
        <v>4828.9780464161495</v>
      </c>
      <c r="AE54" s="144">
        <f>(P54*T54+V54+X54+Z54+AB54)*AC54</f>
        <v>0</v>
      </c>
      <c r="AF54" s="121">
        <f t="shared" si="63"/>
        <v>715.4041550246147</v>
      </c>
      <c r="AG54" s="152">
        <f t="shared" si="63"/>
        <v>0</v>
      </c>
      <c r="AH54" s="121">
        <f t="shared" si="64"/>
        <v>5544.382201440764</v>
      </c>
      <c r="AI54" s="121">
        <f t="shared" si="64"/>
        <v>0</v>
      </c>
      <c r="AJ54" s="121">
        <f t="shared" si="65"/>
        <v>1702.1253358423146</v>
      </c>
      <c r="AK54" s="152">
        <f t="shared" si="65"/>
        <v>0</v>
      </c>
      <c r="AL54" s="121">
        <f>AH54+AJ54</f>
        <v>7246.507537283079</v>
      </c>
      <c r="AM54" s="152">
        <f>AK54+AI54</f>
        <v>0</v>
      </c>
      <c r="AN54" s="150">
        <v>8.2</v>
      </c>
      <c r="AO54" s="148">
        <f>$AO$17</f>
        <v>0.84</v>
      </c>
      <c r="AP54" s="123">
        <f>(G54*AN54)*AO54/100</f>
        <v>0.6888</v>
      </c>
      <c r="AQ54" s="163" t="s">
        <v>186</v>
      </c>
      <c r="AR54" s="122">
        <f>'Исх.данные'!$G$85</f>
        <v>9559.371428571429</v>
      </c>
      <c r="AS54" s="115">
        <f>AP54*AR54</f>
        <v>6584.49504</v>
      </c>
      <c r="AT54" s="154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15">
        <f>аморт!$H$10</f>
        <v>69.6969696969697</v>
      </c>
      <c r="BG54" s="115">
        <f>BF54*L54*$O$12</f>
        <v>784.1256840515553</v>
      </c>
      <c r="BH54" s="115">
        <f>аморт!$H$56</f>
        <v>33.46371794871795</v>
      </c>
      <c r="BI54" s="115">
        <f>BH54*L54*$O$12</f>
        <v>376.483523480758</v>
      </c>
      <c r="BJ54" s="153">
        <f>'Исх.данные'!$E$89</f>
        <v>98.91196513535999</v>
      </c>
      <c r="BK54" s="115">
        <f>BJ54*BU54</f>
        <v>710.4943974511774</v>
      </c>
      <c r="BL54" s="153">
        <f>'Исх.данные'!$E$94</f>
        <v>16.685392176959997</v>
      </c>
      <c r="BM54" s="115">
        <f>BL54*BU54</f>
        <v>119.852817045769</v>
      </c>
      <c r="BN54" s="39">
        <f>'Исх.данные'!$E$99</f>
        <v>5.761862046719998</v>
      </c>
      <c r="BO54" s="115">
        <f>BN54*BU54</f>
        <v>41.38802315249576</v>
      </c>
      <c r="BP54" s="115">
        <f>аморт!$D$56*10%/аморт!$G$56*L54*O12</f>
        <v>301.1868187846064</v>
      </c>
      <c r="BQ54" s="115">
        <f>AL54+AM54+AS54+AW54+BA54+BE54+BG54+BI54+BK54+BM54+BO54+BP54</f>
        <v>16164.53384124944</v>
      </c>
      <c r="BR54" s="115">
        <f>BQ54/$D$7</f>
        <v>1616.453384124944</v>
      </c>
      <c r="BS54" s="153">
        <f>(O54+P54)/$D$7</f>
        <v>1.125049894508753</v>
      </c>
      <c r="BT54" s="153">
        <f>'Исх.данные'!$B$109</f>
        <v>5.1</v>
      </c>
      <c r="BU54" s="151">
        <f>BT54*L54</f>
        <v>7.183098591549296</v>
      </c>
    </row>
    <row r="55" spans="1:73" s="7" customFormat="1" ht="11.25">
      <c r="A55" s="19">
        <v>3</v>
      </c>
      <c r="B55" s="28" t="s">
        <v>113</v>
      </c>
      <c r="C55" s="22"/>
      <c r="D55" s="31" t="s">
        <v>133</v>
      </c>
      <c r="E55" s="32" t="s">
        <v>155</v>
      </c>
      <c r="F55" s="29" t="s">
        <v>134</v>
      </c>
      <c r="G55" s="30">
        <f>G54</f>
        <v>10</v>
      </c>
      <c r="H55" s="29"/>
      <c r="I55" s="29"/>
      <c r="J55" s="160">
        <v>1.4</v>
      </c>
      <c r="K55" s="150">
        <v>7.1</v>
      </c>
      <c r="L55" s="148">
        <f>G55/K55</f>
        <v>1.4084507042253522</v>
      </c>
      <c r="M55" s="154">
        <v>1</v>
      </c>
      <c r="N55" s="154"/>
      <c r="O55" s="121">
        <f>IF(M55=0,0,L55*$O$12)</f>
        <v>11.25049894508753</v>
      </c>
      <c r="P55" s="121">
        <f>IF(N55=0,0,L55*$O$12)</f>
        <v>0</v>
      </c>
      <c r="Q55" s="155">
        <v>4</v>
      </c>
      <c r="R55" s="122">
        <f>IF(AND(O55&gt;0,Q55&gt;0),SUMIF('Исх.данные'!$C$14:H56,Q55,'Исх.данные'!$C$18:$H$18),IF(O55=0,0,IF(Q55=0,"РОТ")))</f>
        <v>156.08125696908263</v>
      </c>
      <c r="S55" s="155"/>
      <c r="T55" s="154"/>
      <c r="U55" s="144">
        <f>O55*R55*'Исх.данные'!$C$43%</f>
        <v>0</v>
      </c>
      <c r="V55" s="144">
        <f>P55*T55*'Исх.данные'!$C$44%</f>
        <v>0</v>
      </c>
      <c r="W55" s="144">
        <f>O55*R55*$W$12</f>
        <v>0</v>
      </c>
      <c r="X55" s="145">
        <f>P55*T55*$W$12</f>
        <v>0</v>
      </c>
      <c r="Y55" s="144">
        <f>(O55*R55+U55+W55)*$Y$12</f>
        <v>175.59920168786</v>
      </c>
      <c r="Z55" s="145">
        <f>(P55*T55+V55+X55)*$Z$12</f>
        <v>0</v>
      </c>
      <c r="AA55" s="144">
        <f>(O55*R55+U55)*$AA$12</f>
        <v>0</v>
      </c>
      <c r="AB55" s="145">
        <f>(P55*T55+V55)*$AA$12</f>
        <v>0</v>
      </c>
      <c r="AC55" s="143">
        <v>2.5</v>
      </c>
      <c r="AD55" s="144">
        <f>(O55*R55+U55+W55+Y55+AA55)*AC55</f>
        <v>4828.9780464161495</v>
      </c>
      <c r="AE55" s="144">
        <f>(P55*T55+V55+X55+Z55+AB55)*AC55</f>
        <v>0</v>
      </c>
      <c r="AF55" s="121">
        <f t="shared" si="63"/>
        <v>715.4041550246147</v>
      </c>
      <c r="AG55" s="152">
        <f t="shared" si="63"/>
        <v>0</v>
      </c>
      <c r="AH55" s="121">
        <f t="shared" si="64"/>
        <v>5544.382201440764</v>
      </c>
      <c r="AI55" s="121">
        <f t="shared" si="64"/>
        <v>0</v>
      </c>
      <c r="AJ55" s="121">
        <f t="shared" si="65"/>
        <v>1702.1253358423146</v>
      </c>
      <c r="AK55" s="152">
        <f t="shared" si="65"/>
        <v>0</v>
      </c>
      <c r="AL55" s="121">
        <f>AH55+AJ55</f>
        <v>7246.507537283079</v>
      </c>
      <c r="AM55" s="152">
        <f>AK55+AI55</f>
        <v>0</v>
      </c>
      <c r="AN55" s="150">
        <v>8.2</v>
      </c>
      <c r="AO55" s="148">
        <f>$AO$17</f>
        <v>0.84</v>
      </c>
      <c r="AP55" s="123">
        <f>(G55*AN55)*AO55/100</f>
        <v>0.6888</v>
      </c>
      <c r="AQ55" s="163" t="s">
        <v>186</v>
      </c>
      <c r="AR55" s="122">
        <f>'Исх.данные'!$G$85</f>
        <v>9559.371428571429</v>
      </c>
      <c r="AS55" s="115">
        <f>AP55*AR55</f>
        <v>6584.49504</v>
      </c>
      <c r="AT55" s="154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15">
        <f>аморт!$H$10</f>
        <v>69.6969696969697</v>
      </c>
      <c r="BG55" s="115">
        <f>BF55*L55*$O$12</f>
        <v>784.1256840515553</v>
      </c>
      <c r="BH55" s="115">
        <f>аморт!$H$56</f>
        <v>33.46371794871795</v>
      </c>
      <c r="BI55" s="115">
        <f>BH55*L55*$O$12</f>
        <v>376.483523480758</v>
      </c>
      <c r="BJ55" s="153">
        <f>'Исх.данные'!$E$89</f>
        <v>98.91196513535999</v>
      </c>
      <c r="BK55" s="115">
        <f>BJ55*BU55</f>
        <v>710.4943974511774</v>
      </c>
      <c r="BL55" s="153">
        <f>'Исх.данные'!$E$94</f>
        <v>16.685392176959997</v>
      </c>
      <c r="BM55" s="115">
        <f>BL55*BU55</f>
        <v>119.852817045769</v>
      </c>
      <c r="BN55" s="39">
        <f>'Исх.данные'!$E$99</f>
        <v>5.761862046719998</v>
      </c>
      <c r="BO55" s="115">
        <f>BN55*BU55</f>
        <v>41.38802315249576</v>
      </c>
      <c r="BP55" s="115">
        <f>аморт!$D$56*10%/аморт!$G$56*L55*O12</f>
        <v>301.1868187846064</v>
      </c>
      <c r="BQ55" s="115">
        <f>AL55+AM55+AS55+AW55+BA55+BE55+BG55+BI55+BK55+BM55+BO55+BP55</f>
        <v>16164.53384124944</v>
      </c>
      <c r="BR55" s="115">
        <f>BQ55/$D$7</f>
        <v>1616.453384124944</v>
      </c>
      <c r="BS55" s="153">
        <f>(O55+P55)/$D$7</f>
        <v>1.125049894508753</v>
      </c>
      <c r="BT55" s="153">
        <f>'Исх.данные'!$B$109</f>
        <v>5.1</v>
      </c>
      <c r="BU55" s="151">
        <f>BT55*L55</f>
        <v>7.183098591549296</v>
      </c>
    </row>
    <row r="56" spans="1:73" s="7" customFormat="1" ht="11.25">
      <c r="A56" s="19">
        <v>4</v>
      </c>
      <c r="B56" s="28" t="s">
        <v>114</v>
      </c>
      <c r="C56" s="22"/>
      <c r="D56" s="418" t="s">
        <v>143</v>
      </c>
      <c r="E56" s="419"/>
      <c r="F56" s="29" t="s">
        <v>134</v>
      </c>
      <c r="G56" s="30">
        <f>D7*3</f>
        <v>30</v>
      </c>
      <c r="H56" s="29"/>
      <c r="I56" s="29"/>
      <c r="J56" s="160">
        <v>60</v>
      </c>
      <c r="K56" s="150">
        <v>0.5</v>
      </c>
      <c r="L56" s="148">
        <f>G56/K56</f>
        <v>60</v>
      </c>
      <c r="M56" s="154"/>
      <c r="N56" s="164">
        <f>L56/J56</f>
        <v>1</v>
      </c>
      <c r="O56" s="121">
        <f>IF(M56=0,0,L56*$O$12)</f>
        <v>0</v>
      </c>
      <c r="P56" s="121">
        <f>IF(N56=0,0,L56*$O$12)</f>
        <v>479.2712550607287</v>
      </c>
      <c r="Q56" s="155"/>
      <c r="R56" s="154"/>
      <c r="S56" s="155">
        <v>1</v>
      </c>
      <c r="T56" s="122">
        <f>IF(AND(N56&gt;0,P56&gt;0),SUMIF('Исх.данные'!$C$14:$J$30,S56,'Исх.данные'!$C$34:$J$45),IF(N56=0,0,IF(S56=0,"РОТ")))</f>
        <v>98.78560567663457</v>
      </c>
      <c r="U56" s="144">
        <f>O56*R56*'Исх.данные'!$C$43%</f>
        <v>0</v>
      </c>
      <c r="V56" s="144">
        <f>P56*T56*'Исх.данные'!$C$44%</f>
        <v>0</v>
      </c>
      <c r="W56" s="144">
        <f>O56*R56*$W$12</f>
        <v>0</v>
      </c>
      <c r="X56" s="145">
        <f>P56*T56*$W$12</f>
        <v>0</v>
      </c>
      <c r="Y56" s="144">
        <f>(O56*R56+U56+W56)*$Y$12</f>
        <v>0</v>
      </c>
      <c r="Z56" s="145">
        <f>(P56*T56+V56+X56)*$Z$12</f>
        <v>2367.255060728745</v>
      </c>
      <c r="AA56" s="144">
        <f>(O56*R56+U56)*$AA$12</f>
        <v>0</v>
      </c>
      <c r="AB56" s="145">
        <f>(P56*T56+V56)*$AA$12</f>
        <v>0</v>
      </c>
      <c r="AC56" s="143">
        <v>2.5</v>
      </c>
      <c r="AD56" s="144">
        <f>(O56*R56+U56+W56+Y56+AA56)*AC56</f>
        <v>0</v>
      </c>
      <c r="AE56" s="144">
        <f>(P56*T56+V56+X56+Z56+AB56)*AC56</f>
        <v>124280.8906882591</v>
      </c>
      <c r="AF56" s="121">
        <f t="shared" si="63"/>
        <v>0</v>
      </c>
      <c r="AG56" s="152">
        <f t="shared" si="63"/>
        <v>18411.983805668013</v>
      </c>
      <c r="AH56" s="121">
        <f t="shared" si="64"/>
        <v>0</v>
      </c>
      <c r="AI56" s="121">
        <f t="shared" si="64"/>
        <v>142692.8744939271</v>
      </c>
      <c r="AJ56" s="121">
        <f t="shared" si="65"/>
        <v>0</v>
      </c>
      <c r="AK56" s="152">
        <f t="shared" si="65"/>
        <v>43806.712469635626</v>
      </c>
      <c r="AL56" s="121">
        <f>AH56+AJ56</f>
        <v>0</v>
      </c>
      <c r="AM56" s="152">
        <f>AK56+AI56</f>
        <v>186499.58696356273</v>
      </c>
      <c r="AN56" s="154"/>
      <c r="AO56" s="154"/>
      <c r="AP56" s="169"/>
      <c r="AQ56" s="155"/>
      <c r="AR56" s="155"/>
      <c r="AS56" s="169"/>
      <c r="AT56" s="154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15">
        <f>BF56*L56</f>
        <v>0</v>
      </c>
      <c r="BH56" s="115"/>
      <c r="BI56" s="115">
        <f>BH56*L56</f>
        <v>0</v>
      </c>
      <c r="BJ56" s="169"/>
      <c r="BK56" s="169"/>
      <c r="BL56" s="169"/>
      <c r="BM56" s="169"/>
      <c r="BN56" s="169"/>
      <c r="BO56" s="169"/>
      <c r="BP56" s="169"/>
      <c r="BQ56" s="115">
        <f>AL56+AM56+AS56+AW56+BA56+BE56+BG56+BI56+BK56+BM56+BO56+BP56</f>
        <v>186499.58696356273</v>
      </c>
      <c r="BR56" s="115">
        <f>BQ56/$D$7</f>
        <v>18649.958696356272</v>
      </c>
      <c r="BS56" s="153">
        <f>(O56+P56)/$D$7</f>
        <v>47.92712550607287</v>
      </c>
      <c r="BT56" s="169"/>
      <c r="BU56" s="169"/>
    </row>
    <row r="57" spans="1:73" s="7" customFormat="1" ht="11.25">
      <c r="A57" s="19">
        <v>5</v>
      </c>
      <c r="B57" s="28" t="s">
        <v>115</v>
      </c>
      <c r="C57" s="22"/>
      <c r="D57" s="418" t="s">
        <v>143</v>
      </c>
      <c r="E57" s="419"/>
      <c r="F57" s="29" t="s">
        <v>134</v>
      </c>
      <c r="G57" s="30">
        <f>D7</f>
        <v>10</v>
      </c>
      <c r="H57" s="29" t="s">
        <v>492</v>
      </c>
      <c r="I57" s="29" t="s">
        <v>493</v>
      </c>
      <c r="J57" s="160">
        <v>100</v>
      </c>
      <c r="K57" s="150">
        <v>0.1</v>
      </c>
      <c r="L57" s="148">
        <f>G57/K57</f>
        <v>100</v>
      </c>
      <c r="M57" s="154"/>
      <c r="N57" s="164">
        <f>L57/J57</f>
        <v>1</v>
      </c>
      <c r="O57" s="121">
        <f>IF(M57=0,0,L57*$O$12)</f>
        <v>0</v>
      </c>
      <c r="P57" s="121">
        <f>IF(N57=0,0,L57*$O$12)</f>
        <v>798.7854251012146</v>
      </c>
      <c r="Q57" s="155"/>
      <c r="R57" s="154"/>
      <c r="S57" s="155">
        <v>1</v>
      </c>
      <c r="T57" s="122">
        <f>IF(AND(N57&gt;0,P57&gt;0),SUMIF('Исх.данные'!$C$14:$J$30,S57,'Исх.данные'!$C$34:$J$45),IF(N57=0,0,IF(S57=0,"РОТ")))</f>
        <v>98.78560567663457</v>
      </c>
      <c r="U57" s="144">
        <f>O57*R57*'Исх.данные'!$C$43%</f>
        <v>0</v>
      </c>
      <c r="V57" s="144">
        <f>P57*T57*'Исх.данные'!$C$44%</f>
        <v>0</v>
      </c>
      <c r="W57" s="144">
        <f>O57*R57*$W$12</f>
        <v>0</v>
      </c>
      <c r="X57" s="145">
        <f>P57*T57*$W$12</f>
        <v>0</v>
      </c>
      <c r="Y57" s="144">
        <f>(O57*R57+U57+W57)*$Y$12</f>
        <v>0</v>
      </c>
      <c r="Z57" s="145">
        <f>(P57*T57+V57+X57)*$Z$12</f>
        <v>3945.4251012145755</v>
      </c>
      <c r="AA57" s="144">
        <f>(O57*R57+U57)*$AA$12</f>
        <v>0</v>
      </c>
      <c r="AB57" s="145">
        <f>(P57*T57+V57)*$AA$12</f>
        <v>0</v>
      </c>
      <c r="AC57" s="143">
        <v>2.5</v>
      </c>
      <c r="AD57" s="144">
        <f>(O57*R57+U57+W57+Y57+AA57)*AC57</f>
        <v>0</v>
      </c>
      <c r="AE57" s="144">
        <f>(P57*T57+V57+X57+Z57+AB57)*AC57</f>
        <v>207134.8178137652</v>
      </c>
      <c r="AF57" s="121">
        <f>AD57*$AF$12</f>
        <v>0</v>
      </c>
      <c r="AG57" s="152">
        <f>AE57*$AF$12</f>
        <v>30686.639676113362</v>
      </c>
      <c r="AH57" s="121">
        <f>AD57+AF57</f>
        <v>0</v>
      </c>
      <c r="AI57" s="121">
        <f>AE57+AG57</f>
        <v>237821.45748987855</v>
      </c>
      <c r="AJ57" s="121">
        <f>AH57*$AJ$12</f>
        <v>0</v>
      </c>
      <c r="AK57" s="152">
        <f>AI57*$AJ$12</f>
        <v>73011.18744939272</v>
      </c>
      <c r="AL57" s="121">
        <f>AH57+AJ57</f>
        <v>0</v>
      </c>
      <c r="AM57" s="152">
        <f>AK57+AI57</f>
        <v>310832.64493927127</v>
      </c>
      <c r="AN57" s="154"/>
      <c r="AO57" s="154"/>
      <c r="AP57" s="169"/>
      <c r="AQ57" s="155"/>
      <c r="AR57" s="155"/>
      <c r="AS57" s="169"/>
      <c r="AT57" s="154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15">
        <f>BF57*L57</f>
        <v>0</v>
      </c>
      <c r="BH57" s="115"/>
      <c r="BI57" s="115">
        <f>BH57*L57</f>
        <v>0</v>
      </c>
      <c r="BJ57" s="169"/>
      <c r="BK57" s="169"/>
      <c r="BL57" s="169"/>
      <c r="BM57" s="169"/>
      <c r="BN57" s="169"/>
      <c r="BO57" s="169"/>
      <c r="BP57" s="169"/>
      <c r="BQ57" s="115">
        <f>AL57+AM57+AS57+AW57+BA57+BE57+BG57+BI57+BK57+BM57+BO57+BP57</f>
        <v>310832.64493927127</v>
      </c>
      <c r="BR57" s="115">
        <f>BQ57/$D$7</f>
        <v>31083.264493927127</v>
      </c>
      <c r="BS57" s="153">
        <f>(O57+P57)/$D$7</f>
        <v>79.87854251012146</v>
      </c>
      <c r="BT57" s="169"/>
      <c r="BU57" s="169"/>
    </row>
    <row r="58" spans="1:73" s="56" customFormat="1" ht="11.25">
      <c r="A58" s="54"/>
      <c r="B58" s="55" t="s">
        <v>22</v>
      </c>
      <c r="C58" s="55"/>
      <c r="D58" s="55"/>
      <c r="E58" s="55"/>
      <c r="F58" s="57"/>
      <c r="G58" s="58"/>
      <c r="H58" s="58"/>
      <c r="I58" s="58"/>
      <c r="J58" s="158">
        <f>SUM(J53:J57)</f>
        <v>164.2</v>
      </c>
      <c r="K58" s="158"/>
      <c r="L58" s="158">
        <f aca="true" t="shared" si="66" ref="L58:BM58">SUM(L53:L57)</f>
        <v>164.22535211267606</v>
      </c>
      <c r="M58" s="158">
        <f t="shared" si="66"/>
        <v>3</v>
      </c>
      <c r="N58" s="158">
        <f t="shared" si="66"/>
        <v>2</v>
      </c>
      <c r="O58" s="158">
        <f t="shared" si="66"/>
        <v>33.75149683526259</v>
      </c>
      <c r="P58" s="158">
        <f t="shared" si="66"/>
        <v>1278.0566801619434</v>
      </c>
      <c r="Q58" s="158"/>
      <c r="R58" s="158"/>
      <c r="S58" s="158"/>
      <c r="T58" s="158"/>
      <c r="U58" s="158">
        <f t="shared" si="66"/>
        <v>0</v>
      </c>
      <c r="V58" s="158">
        <f t="shared" si="66"/>
        <v>0</v>
      </c>
      <c r="W58" s="158">
        <f t="shared" si="66"/>
        <v>0</v>
      </c>
      <c r="X58" s="158">
        <f t="shared" si="66"/>
        <v>0</v>
      </c>
      <c r="Y58" s="158">
        <f t="shared" si="66"/>
        <v>526.79760506358</v>
      </c>
      <c r="Z58" s="158">
        <f t="shared" si="66"/>
        <v>6312.680161943321</v>
      </c>
      <c r="AA58" s="158">
        <f t="shared" si="66"/>
        <v>0</v>
      </c>
      <c r="AB58" s="158">
        <f t="shared" si="66"/>
        <v>0</v>
      </c>
      <c r="AC58" s="158"/>
      <c r="AD58" s="158">
        <f t="shared" si="66"/>
        <v>14486.93413924845</v>
      </c>
      <c r="AE58" s="158">
        <f t="shared" si="66"/>
        <v>331415.7085020243</v>
      </c>
      <c r="AF58" s="158">
        <f t="shared" si="66"/>
        <v>2146.212465073844</v>
      </c>
      <c r="AG58" s="158">
        <f t="shared" si="66"/>
        <v>49098.623481781375</v>
      </c>
      <c r="AH58" s="158">
        <f t="shared" si="66"/>
        <v>16633.146604322294</v>
      </c>
      <c r="AI58" s="158">
        <f t="shared" si="66"/>
        <v>380514.33198380563</v>
      </c>
      <c r="AJ58" s="158">
        <f t="shared" si="66"/>
        <v>5106.376007526944</v>
      </c>
      <c r="AK58" s="158">
        <f t="shared" si="66"/>
        <v>116817.89991902834</v>
      </c>
      <c r="AL58" s="158">
        <f t="shared" si="66"/>
        <v>21739.522611849236</v>
      </c>
      <c r="AM58" s="158">
        <f t="shared" si="66"/>
        <v>497332.231902834</v>
      </c>
      <c r="AN58" s="164"/>
      <c r="AO58" s="158"/>
      <c r="AP58" s="158">
        <f t="shared" si="66"/>
        <v>2.0664</v>
      </c>
      <c r="AQ58" s="158"/>
      <c r="AR58" s="158"/>
      <c r="AS58" s="158">
        <f t="shared" si="66"/>
        <v>19753.485119999998</v>
      </c>
      <c r="AT58" s="158"/>
      <c r="AU58" s="158">
        <f t="shared" si="66"/>
        <v>0</v>
      </c>
      <c r="AV58" s="158"/>
      <c r="AW58" s="158">
        <f t="shared" si="66"/>
        <v>0</v>
      </c>
      <c r="AX58" s="158"/>
      <c r="AY58" s="158">
        <f t="shared" si="66"/>
        <v>0</v>
      </c>
      <c r="AZ58" s="158"/>
      <c r="BA58" s="158">
        <f t="shared" si="66"/>
        <v>0</v>
      </c>
      <c r="BB58" s="158"/>
      <c r="BC58" s="158">
        <f t="shared" si="66"/>
        <v>0</v>
      </c>
      <c r="BD58" s="158"/>
      <c r="BE58" s="158">
        <f t="shared" si="66"/>
        <v>0</v>
      </c>
      <c r="BF58" s="158"/>
      <c r="BG58" s="158">
        <f t="shared" si="66"/>
        <v>2352.3770521546658</v>
      </c>
      <c r="BH58" s="158"/>
      <c r="BI58" s="158">
        <f t="shared" si="66"/>
        <v>1129.450570442274</v>
      </c>
      <c r="BJ58" s="158"/>
      <c r="BK58" s="158">
        <f t="shared" si="66"/>
        <v>2131.483192353532</v>
      </c>
      <c r="BL58" s="158"/>
      <c r="BM58" s="158">
        <f t="shared" si="66"/>
        <v>359.558451137307</v>
      </c>
      <c r="BN58" s="158"/>
      <c r="BO58" s="158">
        <f aca="true" t="shared" si="67" ref="BO58:BU58">SUM(BO53:BO57)</f>
        <v>124.16406945748729</v>
      </c>
      <c r="BP58" s="158">
        <f t="shared" si="67"/>
        <v>903.5604563538191</v>
      </c>
      <c r="BQ58" s="158">
        <f t="shared" si="67"/>
        <v>545825.8334265824</v>
      </c>
      <c r="BR58" s="158"/>
      <c r="BS58" s="158"/>
      <c r="BT58" s="158"/>
      <c r="BU58" s="158">
        <f t="shared" si="67"/>
        <v>21.549295774647888</v>
      </c>
    </row>
    <row r="59" spans="1:73" s="7" customFormat="1" ht="11.25">
      <c r="A59" s="21"/>
      <c r="B59" s="399" t="s">
        <v>123</v>
      </c>
      <c r="C59" s="399"/>
      <c r="D59" s="399"/>
      <c r="E59" s="399"/>
      <c r="F59" s="23"/>
      <c r="G59" s="24"/>
      <c r="H59" s="24"/>
      <c r="I59" s="24"/>
      <c r="J59" s="154"/>
      <c r="K59" s="154"/>
      <c r="L59" s="166"/>
      <c r="M59" s="154"/>
      <c r="N59" s="154"/>
      <c r="O59" s="167"/>
      <c r="P59" s="167"/>
      <c r="Q59" s="155"/>
      <c r="R59" s="154"/>
      <c r="S59" s="155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68"/>
      <c r="AH59" s="167"/>
      <c r="AI59" s="167"/>
      <c r="AJ59" s="167"/>
      <c r="AK59" s="167"/>
      <c r="AL59" s="167"/>
      <c r="AM59" s="167"/>
      <c r="AN59" s="154"/>
      <c r="AO59" s="154"/>
      <c r="AP59" s="169"/>
      <c r="AQ59" s="155"/>
      <c r="AR59" s="155"/>
      <c r="AS59" s="169"/>
      <c r="AT59" s="154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15">
        <f>BF59*L59</f>
        <v>0</v>
      </c>
      <c r="BH59" s="169"/>
      <c r="BI59" s="115">
        <f>BH59*L59</f>
        <v>0</v>
      </c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</row>
    <row r="60" spans="1:73" s="7" customFormat="1" ht="11.25">
      <c r="A60" s="19">
        <v>1</v>
      </c>
      <c r="B60" s="28" t="s">
        <v>117</v>
      </c>
      <c r="C60" s="22"/>
      <c r="D60" s="418" t="s">
        <v>143</v>
      </c>
      <c r="E60" s="419"/>
      <c r="F60" s="29" t="s">
        <v>479</v>
      </c>
      <c r="G60" s="31">
        <f>D8/10</f>
        <v>250</v>
      </c>
      <c r="H60" s="209">
        <v>42571</v>
      </c>
      <c r="I60" s="209">
        <v>42583</v>
      </c>
      <c r="J60" s="160">
        <v>116.3</v>
      </c>
      <c r="K60" s="150">
        <v>2.15</v>
      </c>
      <c r="L60" s="148">
        <f aca="true" t="shared" si="68" ref="L60:L65">G60/K60</f>
        <v>116.27906976744187</v>
      </c>
      <c r="M60" s="154"/>
      <c r="N60" s="164">
        <f aca="true" t="shared" si="69" ref="N60:N65">L60/J60</f>
        <v>0.9998200323941692</v>
      </c>
      <c r="O60" s="121">
        <f aca="true" t="shared" si="70" ref="O60:O65">IF(M60=0,0,L60*$O$12)</f>
        <v>0</v>
      </c>
      <c r="P60" s="121">
        <f aca="true" t="shared" si="71" ref="P60:P65">IF(N60=0,0,L60*$O$12)</f>
        <v>928.8202617455984</v>
      </c>
      <c r="Q60" s="155"/>
      <c r="R60" s="154"/>
      <c r="S60" s="155">
        <v>2</v>
      </c>
      <c r="T60" s="122">
        <f>IF(AND(N60&gt;0,P60&gt;0),SUMIF('Исх.данные'!$C$14:$J$30,S60,'Исх.данные'!$C$34:$J$45),IF(N60=0,0,IF(S60=0,"РОТ")))</f>
        <v>105.700598073999</v>
      </c>
      <c r="U60" s="144">
        <f>O60*R60*'Исх.данные'!$C$43%</f>
        <v>0</v>
      </c>
      <c r="V60" s="144">
        <f>P60*T60*'Исх.данные'!$C$44%</f>
        <v>0</v>
      </c>
      <c r="W60" s="144">
        <f aca="true" t="shared" si="72" ref="W60:W65">O60*R60*$W$12</f>
        <v>0</v>
      </c>
      <c r="X60" s="145">
        <f aca="true" t="shared" si="73" ref="X60:X65">P60*T60*$W$12</f>
        <v>0</v>
      </c>
      <c r="Y60" s="144">
        <f aca="true" t="shared" si="74" ref="Y60:Y65">(O60*R60+U60+W60)*$Y$12</f>
        <v>0</v>
      </c>
      <c r="Z60" s="145">
        <f aca="true" t="shared" si="75" ref="Z60:Z65">(P60*T60+V60+X60)*$Z$12</f>
        <v>4908.842858487903</v>
      </c>
      <c r="AA60" s="144">
        <f aca="true" t="shared" si="76" ref="AA60:AA65">(O60*R60+U60)*$AA$12</f>
        <v>0</v>
      </c>
      <c r="AB60" s="145">
        <f aca="true" t="shared" si="77" ref="AB60:AB65">(P60*T60+V60)*$AA$12</f>
        <v>0</v>
      </c>
      <c r="AC60" s="143">
        <v>2.5</v>
      </c>
      <c r="AD60" s="144">
        <f aca="true" t="shared" si="78" ref="AD60:AD65">(O60*R60+U60+W60+Y60+AA60)*AC60</f>
        <v>0</v>
      </c>
      <c r="AE60" s="144">
        <f aca="true" t="shared" si="79" ref="AE60:AE65">(P60*T60+V60+X60+Z60+AB60)*AC60</f>
        <v>257714.25007061486</v>
      </c>
      <c r="AF60" s="121">
        <f aca="true" t="shared" si="80" ref="AF60:AG65">AD60*$AF$12</f>
        <v>0</v>
      </c>
      <c r="AG60" s="152">
        <f t="shared" si="80"/>
        <v>38179.88889935035</v>
      </c>
      <c r="AH60" s="121">
        <f aca="true" t="shared" si="81" ref="AH60:AI65">AD60+AF60</f>
        <v>0</v>
      </c>
      <c r="AI60" s="121">
        <f t="shared" si="81"/>
        <v>295894.1389699652</v>
      </c>
      <c r="AJ60" s="121">
        <f aca="true" t="shared" si="82" ref="AJ60:AK65">AH60*$AJ$12</f>
        <v>0</v>
      </c>
      <c r="AK60" s="152">
        <f t="shared" si="82"/>
        <v>90839.50066377933</v>
      </c>
      <c r="AL60" s="121">
        <f aca="true" t="shared" si="83" ref="AL60:AL65">AH60+AJ60</f>
        <v>0</v>
      </c>
      <c r="AM60" s="152">
        <f aca="true" t="shared" si="84" ref="AM60:AM65">AK60+AI60</f>
        <v>386733.63963374455</v>
      </c>
      <c r="AN60" s="154"/>
      <c r="AO60" s="154"/>
      <c r="AP60" s="169"/>
      <c r="AQ60" s="155"/>
      <c r="AR60" s="155"/>
      <c r="AS60" s="169"/>
      <c r="AT60" s="154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15">
        <f>BF60*L60</f>
        <v>0</v>
      </c>
      <c r="BH60" s="115"/>
      <c r="BI60" s="115">
        <f>BH60*L60</f>
        <v>0</v>
      </c>
      <c r="BJ60" s="169"/>
      <c r="BK60" s="169"/>
      <c r="BL60" s="169"/>
      <c r="BM60" s="169"/>
      <c r="BN60" s="169"/>
      <c r="BO60" s="169"/>
      <c r="BP60" s="169"/>
      <c r="BQ60" s="115">
        <f aca="true" t="shared" si="85" ref="BQ60:BQ65">AL60+AM60+AS60+AW60+BA60+BE60+BG60+BI60+BK60+BM60+BO60+BP60</f>
        <v>386733.63963374455</v>
      </c>
      <c r="BR60" s="115">
        <f aca="true" t="shared" si="86" ref="BR60:BR65">BQ60/$D$7</f>
        <v>38673.36396337445</v>
      </c>
      <c r="BS60" s="153">
        <f aca="true" t="shared" si="87" ref="BS60:BS65">(O60+P60)/$D$7</f>
        <v>92.88202617455984</v>
      </c>
      <c r="BT60" s="169"/>
      <c r="BU60" s="169"/>
    </row>
    <row r="61" spans="1:73" s="7" customFormat="1" ht="11.25">
      <c r="A61" s="19">
        <v>2</v>
      </c>
      <c r="B61" s="28" t="s">
        <v>118</v>
      </c>
      <c r="C61" s="22"/>
      <c r="D61" s="418" t="s">
        <v>143</v>
      </c>
      <c r="E61" s="419"/>
      <c r="F61" s="29" t="s">
        <v>479</v>
      </c>
      <c r="G61" s="31">
        <f>G60</f>
        <v>250</v>
      </c>
      <c r="H61" s="209">
        <v>42571</v>
      </c>
      <c r="I61" s="209">
        <v>42583</v>
      </c>
      <c r="J61" s="160">
        <v>31.3</v>
      </c>
      <c r="K61" s="150">
        <v>8</v>
      </c>
      <c r="L61" s="148">
        <f t="shared" si="68"/>
        <v>31.25</v>
      </c>
      <c r="M61" s="154"/>
      <c r="N61" s="164">
        <f t="shared" si="69"/>
        <v>0.998402555910543</v>
      </c>
      <c r="O61" s="121">
        <f t="shared" si="70"/>
        <v>0</v>
      </c>
      <c r="P61" s="121">
        <f t="shared" si="71"/>
        <v>249.62044534412956</v>
      </c>
      <c r="Q61" s="155"/>
      <c r="R61" s="154"/>
      <c r="S61" s="155">
        <v>2</v>
      </c>
      <c r="T61" s="122">
        <f>IF(AND(N61&gt;0,P61&gt;0),SUMIF('Исх.данные'!$C$14:$J$30,S61,'Исх.данные'!$C$34:$J$45),IF(N61=0,0,IF(S61=0,"РОТ")))</f>
        <v>105.700598073999</v>
      </c>
      <c r="U61" s="144">
        <f>O61*R61*'Исх.данные'!$C$43%</f>
        <v>0</v>
      </c>
      <c r="V61" s="144">
        <f>P61*T61*'Исх.данные'!$C$44%</f>
        <v>0</v>
      </c>
      <c r="W61" s="144">
        <f t="shared" si="72"/>
        <v>0</v>
      </c>
      <c r="X61" s="145">
        <f t="shared" si="73"/>
        <v>0</v>
      </c>
      <c r="Y61" s="144">
        <f t="shared" si="74"/>
        <v>0</v>
      </c>
      <c r="Z61" s="145">
        <f t="shared" si="75"/>
        <v>1319.251518218624</v>
      </c>
      <c r="AA61" s="144">
        <f t="shared" si="76"/>
        <v>0</v>
      </c>
      <c r="AB61" s="145">
        <f t="shared" si="77"/>
        <v>0</v>
      </c>
      <c r="AC61" s="143">
        <v>2.5</v>
      </c>
      <c r="AD61" s="144">
        <f t="shared" si="78"/>
        <v>0</v>
      </c>
      <c r="AE61" s="144">
        <f t="shared" si="79"/>
        <v>69260.70470647776</v>
      </c>
      <c r="AF61" s="121">
        <f t="shared" si="80"/>
        <v>0</v>
      </c>
      <c r="AG61" s="152">
        <f t="shared" si="80"/>
        <v>10260.845141700409</v>
      </c>
      <c r="AH61" s="121">
        <f t="shared" si="81"/>
        <v>0</v>
      </c>
      <c r="AI61" s="121">
        <f t="shared" si="81"/>
        <v>79521.54984817817</v>
      </c>
      <c r="AJ61" s="121">
        <f t="shared" si="82"/>
        <v>0</v>
      </c>
      <c r="AK61" s="152">
        <f t="shared" si="82"/>
        <v>24413.115803390698</v>
      </c>
      <c r="AL61" s="121">
        <f t="shared" si="83"/>
        <v>0</v>
      </c>
      <c r="AM61" s="152">
        <f t="shared" si="84"/>
        <v>103934.66565156887</v>
      </c>
      <c r="AN61" s="154"/>
      <c r="AO61" s="154"/>
      <c r="AP61" s="169"/>
      <c r="AQ61" s="155"/>
      <c r="AR61" s="155"/>
      <c r="AS61" s="169"/>
      <c r="AT61" s="154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15">
        <f>BF61*L61</f>
        <v>0</v>
      </c>
      <c r="BH61" s="115"/>
      <c r="BI61" s="115">
        <f>BH61*L61</f>
        <v>0</v>
      </c>
      <c r="BJ61" s="169"/>
      <c r="BK61" s="169"/>
      <c r="BL61" s="169"/>
      <c r="BM61" s="169"/>
      <c r="BN61" s="169"/>
      <c r="BO61" s="169"/>
      <c r="BP61" s="169"/>
      <c r="BQ61" s="115">
        <f t="shared" si="85"/>
        <v>103934.66565156887</v>
      </c>
      <c r="BR61" s="115">
        <f t="shared" si="86"/>
        <v>10393.466565156887</v>
      </c>
      <c r="BS61" s="153">
        <f t="shared" si="87"/>
        <v>24.962044534412957</v>
      </c>
      <c r="BT61" s="169"/>
      <c r="BU61" s="169"/>
    </row>
    <row r="62" spans="1:73" s="7" customFormat="1" ht="11.25">
      <c r="A62" s="19">
        <v>3</v>
      </c>
      <c r="B62" s="28" t="s">
        <v>119</v>
      </c>
      <c r="C62" s="22"/>
      <c r="D62" s="418" t="s">
        <v>143</v>
      </c>
      <c r="E62" s="419"/>
      <c r="F62" s="29" t="s">
        <v>479</v>
      </c>
      <c r="G62" s="31">
        <f>D8/10</f>
        <v>250</v>
      </c>
      <c r="H62" s="209">
        <v>42571</v>
      </c>
      <c r="I62" s="209">
        <v>42583</v>
      </c>
      <c r="J62" s="160">
        <v>62.5</v>
      </c>
      <c r="K62" s="150">
        <v>4</v>
      </c>
      <c r="L62" s="148">
        <f t="shared" si="68"/>
        <v>62.5</v>
      </c>
      <c r="M62" s="154"/>
      <c r="N62" s="164">
        <f t="shared" si="69"/>
        <v>1</v>
      </c>
      <c r="O62" s="121">
        <f t="shared" si="70"/>
        <v>0</v>
      </c>
      <c r="P62" s="121">
        <f t="shared" si="71"/>
        <v>499.2408906882591</v>
      </c>
      <c r="Q62" s="155">
        <v>2</v>
      </c>
      <c r="R62" s="122">
        <f>IF(AND(O62&gt;0,Q62&gt;0),SUMIF('Исх.данные'!$C$14:H56,Q62,'Исх.данные'!$C$18:$H$18),IF(O62=0,0,IF(Q62=0,"РОТ")))</f>
        <v>0</v>
      </c>
      <c r="S62" s="155">
        <v>2</v>
      </c>
      <c r="T62" s="122">
        <f>IF(AND(N62&gt;0,P62&gt;0),SUMIF('Исх.данные'!$C$14:$J$30,S62,'Исх.данные'!$C$34:$J$45),IF(N62=0,0,IF(S62=0,"РОТ")))</f>
        <v>105.700598073999</v>
      </c>
      <c r="U62" s="144">
        <f>O62*R62*'Исх.данные'!$C$43%</f>
        <v>0</v>
      </c>
      <c r="V62" s="144">
        <f>P62*T62*'Исх.данные'!$C$44%</f>
        <v>0</v>
      </c>
      <c r="W62" s="144">
        <f t="shared" si="72"/>
        <v>0</v>
      </c>
      <c r="X62" s="145">
        <f t="shared" si="73"/>
        <v>0</v>
      </c>
      <c r="Y62" s="144">
        <f t="shared" si="74"/>
        <v>0</v>
      </c>
      <c r="Z62" s="145">
        <f t="shared" si="75"/>
        <v>2638.503036437248</v>
      </c>
      <c r="AA62" s="144">
        <f t="shared" si="76"/>
        <v>0</v>
      </c>
      <c r="AB62" s="145">
        <f t="shared" si="77"/>
        <v>0</v>
      </c>
      <c r="AC62" s="143">
        <v>2.5</v>
      </c>
      <c r="AD62" s="144">
        <f t="shared" si="78"/>
        <v>0</v>
      </c>
      <c r="AE62" s="144">
        <f t="shared" si="79"/>
        <v>138521.40941295552</v>
      </c>
      <c r="AF62" s="121">
        <f t="shared" si="80"/>
        <v>0</v>
      </c>
      <c r="AG62" s="152">
        <f t="shared" si="80"/>
        <v>20521.690283400818</v>
      </c>
      <c r="AH62" s="121">
        <f t="shared" si="81"/>
        <v>0</v>
      </c>
      <c r="AI62" s="121">
        <f t="shared" si="81"/>
        <v>159043.09969635634</v>
      </c>
      <c r="AJ62" s="121">
        <f t="shared" si="82"/>
        <v>0</v>
      </c>
      <c r="AK62" s="152">
        <f t="shared" si="82"/>
        <v>48826.231606781395</v>
      </c>
      <c r="AL62" s="121">
        <f t="shared" si="83"/>
        <v>0</v>
      </c>
      <c r="AM62" s="152">
        <f t="shared" si="84"/>
        <v>207869.33130313773</v>
      </c>
      <c r="AN62" s="154"/>
      <c r="AO62" s="154"/>
      <c r="AP62" s="169"/>
      <c r="AQ62" s="155"/>
      <c r="AR62" s="155"/>
      <c r="AS62" s="169"/>
      <c r="AT62" s="154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15"/>
      <c r="BG62" s="115">
        <f>BF62*L62</f>
        <v>0</v>
      </c>
      <c r="BH62" s="156"/>
      <c r="BI62" s="115">
        <f>BH62*L62</f>
        <v>0</v>
      </c>
      <c r="BJ62" s="153"/>
      <c r="BK62" s="115"/>
      <c r="BL62" s="153"/>
      <c r="BM62" s="115"/>
      <c r="BN62" s="153"/>
      <c r="BO62" s="115"/>
      <c r="BP62" s="115"/>
      <c r="BQ62" s="115">
        <f t="shared" si="85"/>
        <v>207869.33130313773</v>
      </c>
      <c r="BR62" s="115">
        <f t="shared" si="86"/>
        <v>20786.933130313773</v>
      </c>
      <c r="BS62" s="153">
        <f t="shared" si="87"/>
        <v>49.924089068825914</v>
      </c>
      <c r="BT62" s="153"/>
      <c r="BU62" s="151"/>
    </row>
    <row r="63" spans="1:73" s="7" customFormat="1" ht="11.25">
      <c r="A63" s="19">
        <v>4</v>
      </c>
      <c r="B63" s="28" t="s">
        <v>120</v>
      </c>
      <c r="C63" s="22"/>
      <c r="D63" s="31" t="s">
        <v>133</v>
      </c>
      <c r="E63" s="32" t="s">
        <v>140</v>
      </c>
      <c r="F63" s="29" t="s">
        <v>479</v>
      </c>
      <c r="G63" s="31">
        <f>G62</f>
        <v>250</v>
      </c>
      <c r="H63" s="209">
        <v>42571</v>
      </c>
      <c r="I63" s="209">
        <v>42583</v>
      </c>
      <c r="J63" s="160">
        <v>12.5</v>
      </c>
      <c r="K63" s="150">
        <v>20</v>
      </c>
      <c r="L63" s="148">
        <f t="shared" si="68"/>
        <v>12.5</v>
      </c>
      <c r="M63" s="154">
        <v>1</v>
      </c>
      <c r="N63" s="164">
        <f t="shared" si="69"/>
        <v>1</v>
      </c>
      <c r="O63" s="121">
        <f t="shared" si="70"/>
        <v>99.84817813765183</v>
      </c>
      <c r="P63" s="121">
        <f t="shared" si="71"/>
        <v>99.84817813765183</v>
      </c>
      <c r="Q63" s="155">
        <v>2</v>
      </c>
      <c r="R63" s="122">
        <f>IF(AND(O63&gt;0,Q63&gt;0),SUMIF('Исх.данные'!$C$14:H56,Q63,'Исх.данные'!$C$18:$H$18),IF(O63=0,0,IF(Q63=0,"РОТ")))</f>
        <v>128.66557526609228</v>
      </c>
      <c r="S63" s="155">
        <v>2</v>
      </c>
      <c r="T63" s="122">
        <f>IF(AND(N63&gt;0,P63&gt;0),SUMIF('Исх.данные'!$C$14:$J$30,S63,'Исх.данные'!$C$34:$J$45),IF(N63=0,0,IF(S63=0,"РОТ")))</f>
        <v>105.700598073999</v>
      </c>
      <c r="U63" s="144">
        <f>O63*R63*'Исх.данные'!$C$43%</f>
        <v>0</v>
      </c>
      <c r="V63" s="144">
        <f>P63*T63*'Исх.данные'!$C$44%</f>
        <v>0</v>
      </c>
      <c r="W63" s="144">
        <f t="shared" si="72"/>
        <v>0</v>
      </c>
      <c r="X63" s="145">
        <f t="shared" si="73"/>
        <v>0</v>
      </c>
      <c r="Y63" s="144">
        <f t="shared" si="74"/>
        <v>1284.7023279352231</v>
      </c>
      <c r="Z63" s="145">
        <f t="shared" si="75"/>
        <v>527.7006072874495</v>
      </c>
      <c r="AA63" s="144">
        <f t="shared" si="76"/>
        <v>0</v>
      </c>
      <c r="AB63" s="145">
        <f t="shared" si="77"/>
        <v>0</v>
      </c>
      <c r="AC63" s="143">
        <v>2.5</v>
      </c>
      <c r="AD63" s="144">
        <f t="shared" si="78"/>
        <v>35329.31401821863</v>
      </c>
      <c r="AE63" s="144">
        <f t="shared" si="79"/>
        <v>27704.281882591098</v>
      </c>
      <c r="AF63" s="121">
        <f t="shared" si="80"/>
        <v>5233.972447143501</v>
      </c>
      <c r="AG63" s="152">
        <f t="shared" si="80"/>
        <v>4104.3380566801625</v>
      </c>
      <c r="AH63" s="121">
        <f t="shared" si="81"/>
        <v>40563.28646536214</v>
      </c>
      <c r="AI63" s="121">
        <f t="shared" si="81"/>
        <v>31808.61993927126</v>
      </c>
      <c r="AJ63" s="121">
        <f t="shared" si="82"/>
        <v>12452.928944866175</v>
      </c>
      <c r="AK63" s="152">
        <f t="shared" si="82"/>
        <v>9765.246321356277</v>
      </c>
      <c r="AL63" s="121">
        <f t="shared" si="83"/>
        <v>53016.21541022831</v>
      </c>
      <c r="AM63" s="152">
        <f t="shared" si="84"/>
        <v>41573.86626062753</v>
      </c>
      <c r="AN63" s="150">
        <v>4.5</v>
      </c>
      <c r="AO63" s="148">
        <f>$AO$17</f>
        <v>0.84</v>
      </c>
      <c r="AP63" s="123">
        <f>(G63*AN63)*AO63/100</f>
        <v>9.45</v>
      </c>
      <c r="AQ63" s="163" t="s">
        <v>186</v>
      </c>
      <c r="AR63" s="122">
        <f>'Исх.данные'!$G$85</f>
        <v>9559.371428571429</v>
      </c>
      <c r="AS63" s="115">
        <f>AP63*AR63</f>
        <v>90336.06</v>
      </c>
      <c r="AT63" s="154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15">
        <f>аморт!$H$10</f>
        <v>69.6969696969697</v>
      </c>
      <c r="BG63" s="115">
        <f>BF63*L63*$O$12</f>
        <v>6959.115445957552</v>
      </c>
      <c r="BH63" s="156">
        <f>аморт!$H$25</f>
        <v>12.519247457627118</v>
      </c>
      <c r="BI63" s="115">
        <f>BH63*L63*$O$12</f>
        <v>1250.0240502984973</v>
      </c>
      <c r="BJ63" s="153">
        <f>'Исх.данные'!$E$89</f>
        <v>98.91196513535999</v>
      </c>
      <c r="BK63" s="115">
        <f>BJ63*BU63</f>
        <v>6305.637777379199</v>
      </c>
      <c r="BL63" s="153">
        <f>'Исх.данные'!$E$94</f>
        <v>16.685392176959997</v>
      </c>
      <c r="BM63" s="115">
        <f>BL63*BU63</f>
        <v>1063.6937512811996</v>
      </c>
      <c r="BN63" s="39">
        <f>'Исх.данные'!$E$99</f>
        <v>5.761862046719998</v>
      </c>
      <c r="BO63" s="115">
        <f>BN63*BU63</f>
        <v>367.31870547839986</v>
      </c>
      <c r="BP63" s="115">
        <f>аморт!$D$25*10%/аморт!$G$25*L63*O12</f>
        <v>1250.0240502984973</v>
      </c>
      <c r="BQ63" s="115">
        <f t="shared" si="85"/>
        <v>202121.95545154915</v>
      </c>
      <c r="BR63" s="115">
        <f t="shared" si="86"/>
        <v>20212.195545154915</v>
      </c>
      <c r="BS63" s="153">
        <f t="shared" si="87"/>
        <v>19.969635627530366</v>
      </c>
      <c r="BT63" s="153">
        <f>'Исх.данные'!$B$109</f>
        <v>5.1</v>
      </c>
      <c r="BU63" s="151">
        <f>BT63*L63</f>
        <v>63.74999999999999</v>
      </c>
    </row>
    <row r="64" spans="1:73" s="7" customFormat="1" ht="11.25">
      <c r="A64" s="19">
        <v>5</v>
      </c>
      <c r="B64" s="28" t="s">
        <v>121</v>
      </c>
      <c r="C64" s="22"/>
      <c r="D64" s="418" t="s">
        <v>143</v>
      </c>
      <c r="E64" s="419"/>
      <c r="F64" s="29" t="s">
        <v>479</v>
      </c>
      <c r="G64" s="31">
        <f>G63</f>
        <v>250</v>
      </c>
      <c r="H64" s="209">
        <v>42571</v>
      </c>
      <c r="I64" s="209">
        <v>42583</v>
      </c>
      <c r="J64" s="160">
        <v>25</v>
      </c>
      <c r="K64" s="150">
        <v>10</v>
      </c>
      <c r="L64" s="148">
        <f t="shared" si="68"/>
        <v>25</v>
      </c>
      <c r="M64" s="154"/>
      <c r="N64" s="164">
        <f t="shared" si="69"/>
        <v>1</v>
      </c>
      <c r="O64" s="121">
        <f t="shared" si="70"/>
        <v>0</v>
      </c>
      <c r="P64" s="121">
        <f t="shared" si="71"/>
        <v>199.69635627530366</v>
      </c>
      <c r="Q64" s="155">
        <v>2</v>
      </c>
      <c r="R64" s="122">
        <f>IF(AND(O64&gt;0,Q64&gt;0),SUMIF('Исх.данные'!$C$14:H56,Q64,'Исх.данные'!$C$18:$H$18),IF(O64=0,0,IF(Q64=0,"РОТ")))</f>
        <v>0</v>
      </c>
      <c r="S64" s="155">
        <v>2</v>
      </c>
      <c r="T64" s="122">
        <f>IF(AND(N64&gt;0,P64&gt;0),SUMIF('Исх.данные'!$C$14:$J$30,S64,'Исх.данные'!$C$34:$J$45),IF(N64=0,0,IF(S64=0,"РОТ")))</f>
        <v>105.700598073999</v>
      </c>
      <c r="U64" s="144">
        <f>O64*R64*'Исх.данные'!$C$43%</f>
        <v>0</v>
      </c>
      <c r="V64" s="144">
        <f>P64*T64*'Исх.данные'!$C$44%</f>
        <v>0</v>
      </c>
      <c r="W64" s="144">
        <f t="shared" si="72"/>
        <v>0</v>
      </c>
      <c r="X64" s="145">
        <f t="shared" si="73"/>
        <v>0</v>
      </c>
      <c r="Y64" s="144">
        <f t="shared" si="74"/>
        <v>0</v>
      </c>
      <c r="Z64" s="145">
        <f t="shared" si="75"/>
        <v>1055.401214574899</v>
      </c>
      <c r="AA64" s="144">
        <f t="shared" si="76"/>
        <v>0</v>
      </c>
      <c r="AB64" s="145">
        <f t="shared" si="77"/>
        <v>0</v>
      </c>
      <c r="AC64" s="143">
        <v>2.5</v>
      </c>
      <c r="AD64" s="144">
        <f t="shared" si="78"/>
        <v>0</v>
      </c>
      <c r="AE64" s="144">
        <f t="shared" si="79"/>
        <v>55408.563765182196</v>
      </c>
      <c r="AF64" s="121">
        <f t="shared" si="80"/>
        <v>0</v>
      </c>
      <c r="AG64" s="152">
        <f t="shared" si="80"/>
        <v>8208.676113360325</v>
      </c>
      <c r="AH64" s="121">
        <f t="shared" si="81"/>
        <v>0</v>
      </c>
      <c r="AI64" s="121">
        <f t="shared" si="81"/>
        <v>63617.23987854252</v>
      </c>
      <c r="AJ64" s="121">
        <f t="shared" si="82"/>
        <v>0</v>
      </c>
      <c r="AK64" s="152">
        <f t="shared" si="82"/>
        <v>19530.492642712554</v>
      </c>
      <c r="AL64" s="121">
        <f t="shared" si="83"/>
        <v>0</v>
      </c>
      <c r="AM64" s="152">
        <f t="shared" si="84"/>
        <v>83147.73252125506</v>
      </c>
      <c r="AN64" s="154"/>
      <c r="AO64" s="154"/>
      <c r="AP64" s="169"/>
      <c r="AQ64" s="155"/>
      <c r="AR64" s="155"/>
      <c r="AS64" s="169"/>
      <c r="AT64" s="154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15"/>
      <c r="BG64" s="115">
        <f>BF64*L64</f>
        <v>0</v>
      </c>
      <c r="BH64" s="156"/>
      <c r="BI64" s="115">
        <f>BH64*L64</f>
        <v>0</v>
      </c>
      <c r="BJ64" s="153"/>
      <c r="BK64" s="115"/>
      <c r="BL64" s="153"/>
      <c r="BM64" s="115"/>
      <c r="BN64" s="153"/>
      <c r="BO64" s="115"/>
      <c r="BP64" s="115"/>
      <c r="BQ64" s="115">
        <f t="shared" si="85"/>
        <v>83147.73252125506</v>
      </c>
      <c r="BR64" s="115">
        <f t="shared" si="86"/>
        <v>8314.773252125506</v>
      </c>
      <c r="BS64" s="153">
        <f t="shared" si="87"/>
        <v>19.969635627530366</v>
      </c>
      <c r="BT64" s="153"/>
      <c r="BU64" s="151"/>
    </row>
    <row r="65" spans="1:73" s="7" customFormat="1" ht="11.25">
      <c r="A65" s="19">
        <v>6</v>
      </c>
      <c r="B65" s="28" t="s">
        <v>122</v>
      </c>
      <c r="C65" s="22"/>
      <c r="D65" s="418" t="s">
        <v>143</v>
      </c>
      <c r="E65" s="419"/>
      <c r="F65" s="29" t="s">
        <v>134</v>
      </c>
      <c r="G65" s="30">
        <f>D7</f>
        <v>10</v>
      </c>
      <c r="H65" s="209">
        <v>42571</v>
      </c>
      <c r="I65" s="209">
        <v>42583</v>
      </c>
      <c r="J65" s="160">
        <v>33.3</v>
      </c>
      <c r="K65" s="150">
        <v>0.3</v>
      </c>
      <c r="L65" s="148">
        <f t="shared" si="68"/>
        <v>33.333333333333336</v>
      </c>
      <c r="M65" s="154"/>
      <c r="N65" s="164">
        <f t="shared" si="69"/>
        <v>1.001001001001001</v>
      </c>
      <c r="O65" s="121">
        <f t="shared" si="70"/>
        <v>0</v>
      </c>
      <c r="P65" s="121">
        <f t="shared" si="71"/>
        <v>266.2618083670715</v>
      </c>
      <c r="Q65" s="155"/>
      <c r="R65" s="154"/>
      <c r="S65" s="155">
        <v>2</v>
      </c>
      <c r="T65" s="122">
        <f>IF(AND(N65&gt;0,P65&gt;0),SUMIF('Исх.данные'!$C$14:$J$30,S65,'Исх.данные'!$C$34:$J$45),IF(N65=0,0,IF(S65=0,"РОТ")))</f>
        <v>105.700598073999</v>
      </c>
      <c r="U65" s="144">
        <f>O65*R65*'Исх.данные'!$C$43%</f>
        <v>0</v>
      </c>
      <c r="V65" s="144">
        <f>P65*T65*'Исх.данные'!$C$44%</f>
        <v>0</v>
      </c>
      <c r="W65" s="144">
        <f t="shared" si="72"/>
        <v>0</v>
      </c>
      <c r="X65" s="145">
        <f t="shared" si="73"/>
        <v>0</v>
      </c>
      <c r="Y65" s="144">
        <f t="shared" si="74"/>
        <v>0</v>
      </c>
      <c r="Z65" s="145">
        <f t="shared" si="75"/>
        <v>1407.2016194331986</v>
      </c>
      <c r="AA65" s="144">
        <f t="shared" si="76"/>
        <v>0</v>
      </c>
      <c r="AB65" s="145">
        <f t="shared" si="77"/>
        <v>0</v>
      </c>
      <c r="AC65" s="143">
        <v>2.5</v>
      </c>
      <c r="AD65" s="144">
        <f t="shared" si="78"/>
        <v>0</v>
      </c>
      <c r="AE65" s="144">
        <f t="shared" si="79"/>
        <v>73878.08502024293</v>
      </c>
      <c r="AF65" s="121">
        <f t="shared" si="80"/>
        <v>0</v>
      </c>
      <c r="AG65" s="152">
        <f t="shared" si="80"/>
        <v>10944.901484480433</v>
      </c>
      <c r="AH65" s="121">
        <f t="shared" si="81"/>
        <v>0</v>
      </c>
      <c r="AI65" s="121">
        <f t="shared" si="81"/>
        <v>84822.98650472336</v>
      </c>
      <c r="AJ65" s="121">
        <f t="shared" si="82"/>
        <v>0</v>
      </c>
      <c r="AK65" s="152">
        <f t="shared" si="82"/>
        <v>26040.65685695007</v>
      </c>
      <c r="AL65" s="121">
        <f t="shared" si="83"/>
        <v>0</v>
      </c>
      <c r="AM65" s="152">
        <f t="shared" si="84"/>
        <v>110863.64336167343</v>
      </c>
      <c r="AN65" s="154"/>
      <c r="AO65" s="154"/>
      <c r="AP65" s="169"/>
      <c r="AQ65" s="155"/>
      <c r="AR65" s="155"/>
      <c r="AS65" s="169"/>
      <c r="AT65" s="154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15">
        <f>BF65*L65</f>
        <v>0</v>
      </c>
      <c r="BH65" s="115"/>
      <c r="BI65" s="115">
        <f>BH65*L65</f>
        <v>0</v>
      </c>
      <c r="BJ65" s="169"/>
      <c r="BK65" s="169"/>
      <c r="BL65" s="169"/>
      <c r="BM65" s="169"/>
      <c r="BN65" s="169"/>
      <c r="BO65" s="169"/>
      <c r="BP65" s="169"/>
      <c r="BQ65" s="115">
        <f t="shared" si="85"/>
        <v>110863.64336167343</v>
      </c>
      <c r="BR65" s="115">
        <f t="shared" si="86"/>
        <v>11086.364336167342</v>
      </c>
      <c r="BS65" s="153">
        <f t="shared" si="87"/>
        <v>26.626180836707153</v>
      </c>
      <c r="BT65" s="169"/>
      <c r="BU65" s="169"/>
    </row>
    <row r="66" spans="1:73" s="56" customFormat="1" ht="11.25">
      <c r="A66" s="54"/>
      <c r="B66" s="55" t="s">
        <v>22</v>
      </c>
      <c r="C66" s="55"/>
      <c r="D66" s="55"/>
      <c r="E66" s="55"/>
      <c r="F66" s="57"/>
      <c r="G66" s="58"/>
      <c r="H66" s="58"/>
      <c r="I66" s="58"/>
      <c r="J66" s="158">
        <f>SUM(J60:J65)</f>
        <v>280.9</v>
      </c>
      <c r="K66" s="158"/>
      <c r="L66" s="158">
        <f aca="true" t="shared" si="88" ref="L66:BM66">SUM(L60:L65)</f>
        <v>280.86240310077517</v>
      </c>
      <c r="M66" s="158">
        <f t="shared" si="88"/>
        <v>1</v>
      </c>
      <c r="N66" s="158">
        <f t="shared" si="88"/>
        <v>5.999223589305712</v>
      </c>
      <c r="O66" s="158">
        <f t="shared" si="88"/>
        <v>99.84817813765183</v>
      </c>
      <c r="P66" s="158">
        <f t="shared" si="88"/>
        <v>2243.487940558014</v>
      </c>
      <c r="Q66" s="158"/>
      <c r="R66" s="158"/>
      <c r="S66" s="158"/>
      <c r="T66" s="158"/>
      <c r="U66" s="158">
        <f t="shared" si="88"/>
        <v>0</v>
      </c>
      <c r="V66" s="158">
        <f t="shared" si="88"/>
        <v>0</v>
      </c>
      <c r="W66" s="158">
        <f t="shared" si="88"/>
        <v>0</v>
      </c>
      <c r="X66" s="158">
        <f t="shared" si="88"/>
        <v>0</v>
      </c>
      <c r="Y66" s="158">
        <f t="shared" si="88"/>
        <v>1284.7023279352231</v>
      </c>
      <c r="Z66" s="158">
        <f t="shared" si="88"/>
        <v>11856.900854439324</v>
      </c>
      <c r="AA66" s="158">
        <f t="shared" si="88"/>
        <v>0</v>
      </c>
      <c r="AB66" s="158">
        <f t="shared" si="88"/>
        <v>0</v>
      </c>
      <c r="AC66" s="158"/>
      <c r="AD66" s="158">
        <f t="shared" si="88"/>
        <v>35329.31401821863</v>
      </c>
      <c r="AE66" s="158">
        <f t="shared" si="88"/>
        <v>622487.2948580644</v>
      </c>
      <c r="AF66" s="158">
        <f t="shared" si="88"/>
        <v>5233.972447143501</v>
      </c>
      <c r="AG66" s="158">
        <f t="shared" si="88"/>
        <v>92220.33997897251</v>
      </c>
      <c r="AH66" s="158">
        <f t="shared" si="88"/>
        <v>40563.28646536214</v>
      </c>
      <c r="AI66" s="158">
        <f t="shared" si="88"/>
        <v>714707.6348370368</v>
      </c>
      <c r="AJ66" s="158">
        <f t="shared" si="88"/>
        <v>12452.928944866175</v>
      </c>
      <c r="AK66" s="158">
        <f t="shared" si="88"/>
        <v>219415.24389497034</v>
      </c>
      <c r="AL66" s="158">
        <f t="shared" si="88"/>
        <v>53016.21541022831</v>
      </c>
      <c r="AM66" s="158">
        <f t="shared" si="88"/>
        <v>934122.8787320071</v>
      </c>
      <c r="AN66" s="164"/>
      <c r="AO66" s="158"/>
      <c r="AP66" s="158">
        <f t="shared" si="88"/>
        <v>9.45</v>
      </c>
      <c r="AQ66" s="158"/>
      <c r="AR66" s="158"/>
      <c r="AS66" s="158">
        <f t="shared" si="88"/>
        <v>90336.06</v>
      </c>
      <c r="AT66" s="158"/>
      <c r="AU66" s="158">
        <f t="shared" si="88"/>
        <v>0</v>
      </c>
      <c r="AV66" s="158"/>
      <c r="AW66" s="158">
        <f t="shared" si="88"/>
        <v>0</v>
      </c>
      <c r="AX66" s="158"/>
      <c r="AY66" s="158">
        <f t="shared" si="88"/>
        <v>0</v>
      </c>
      <c r="AZ66" s="158"/>
      <c r="BA66" s="158">
        <f t="shared" si="88"/>
        <v>0</v>
      </c>
      <c r="BB66" s="158"/>
      <c r="BC66" s="158">
        <f t="shared" si="88"/>
        <v>0</v>
      </c>
      <c r="BD66" s="158"/>
      <c r="BE66" s="158">
        <f t="shared" si="88"/>
        <v>0</v>
      </c>
      <c r="BF66" s="158"/>
      <c r="BG66" s="158">
        <f t="shared" si="88"/>
        <v>6959.115445957552</v>
      </c>
      <c r="BH66" s="158"/>
      <c r="BI66" s="158">
        <f t="shared" si="88"/>
        <v>1250.0240502984973</v>
      </c>
      <c r="BJ66" s="158"/>
      <c r="BK66" s="158">
        <f t="shared" si="88"/>
        <v>6305.637777379199</v>
      </c>
      <c r="BL66" s="158"/>
      <c r="BM66" s="158">
        <f t="shared" si="88"/>
        <v>1063.6937512811996</v>
      </c>
      <c r="BN66" s="158"/>
      <c r="BO66" s="158">
        <f aca="true" t="shared" si="89" ref="BO66:BU66">SUM(BO60:BO65)</f>
        <v>367.31870547839986</v>
      </c>
      <c r="BP66" s="158">
        <f t="shared" si="89"/>
        <v>1250.0240502984973</v>
      </c>
      <c r="BQ66" s="158">
        <f t="shared" si="89"/>
        <v>1094670.9679229287</v>
      </c>
      <c r="BR66" s="158"/>
      <c r="BS66" s="158"/>
      <c r="BT66" s="158"/>
      <c r="BU66" s="158">
        <f t="shared" si="89"/>
        <v>63.74999999999999</v>
      </c>
    </row>
    <row r="67" spans="1:73" s="7" customFormat="1" ht="11.25">
      <c r="A67" s="21"/>
      <c r="B67" s="399" t="s">
        <v>126</v>
      </c>
      <c r="C67" s="399"/>
      <c r="D67" s="399"/>
      <c r="E67" s="399"/>
      <c r="F67" s="23"/>
      <c r="G67" s="24"/>
      <c r="H67" s="24"/>
      <c r="I67" s="24"/>
      <c r="J67" s="154"/>
      <c r="K67" s="154"/>
      <c r="L67" s="166"/>
      <c r="M67" s="154"/>
      <c r="N67" s="154"/>
      <c r="O67" s="167"/>
      <c r="P67" s="167"/>
      <c r="Q67" s="155"/>
      <c r="R67" s="154"/>
      <c r="S67" s="155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68"/>
      <c r="AH67" s="167"/>
      <c r="AI67" s="167"/>
      <c r="AJ67" s="167"/>
      <c r="AK67" s="167"/>
      <c r="AL67" s="167"/>
      <c r="AM67" s="167"/>
      <c r="AN67" s="154"/>
      <c r="AO67" s="154"/>
      <c r="AP67" s="169"/>
      <c r="AQ67" s="155"/>
      <c r="AR67" s="155"/>
      <c r="AS67" s="169"/>
      <c r="AT67" s="154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</row>
    <row r="68" spans="1:73" s="7" customFormat="1" ht="11.25">
      <c r="A68" s="19">
        <v>1</v>
      </c>
      <c r="B68" s="28" t="s">
        <v>124</v>
      </c>
      <c r="C68" s="22"/>
      <c r="D68" s="418" t="s">
        <v>143</v>
      </c>
      <c r="E68" s="419"/>
      <c r="F68" s="29" t="s">
        <v>147</v>
      </c>
      <c r="G68" s="31">
        <v>360</v>
      </c>
      <c r="H68" s="29" t="s">
        <v>504</v>
      </c>
      <c r="I68" s="24"/>
      <c r="J68" s="160">
        <v>3</v>
      </c>
      <c r="K68" s="150">
        <v>120</v>
      </c>
      <c r="L68" s="148">
        <f>G68/K68</f>
        <v>3</v>
      </c>
      <c r="M68" s="154"/>
      <c r="N68" s="164">
        <f>L68/J68</f>
        <v>1</v>
      </c>
      <c r="O68" s="121">
        <f>IF(M68=0,0,L68*$O$12)</f>
        <v>0</v>
      </c>
      <c r="P68" s="121">
        <f>IF(N68=0,0,L68*$O$12)</f>
        <v>23.963562753036438</v>
      </c>
      <c r="Q68" s="155"/>
      <c r="R68" s="154"/>
      <c r="S68" s="155">
        <v>2</v>
      </c>
      <c r="T68" s="122">
        <f>IF(AND(N68&gt;0,P68&gt;0),SUMIF('Исх.данные'!$C$14:$J$30,S68,'Исх.данные'!$C$34:$J$45),IF(N68=0,0,IF(S68=0,"РОТ")))</f>
        <v>105.700598073999</v>
      </c>
      <c r="U68" s="144">
        <f>O68*R68*'Исх.данные'!$C$43%</f>
        <v>0</v>
      </c>
      <c r="V68" s="144">
        <f>P68*T68*'Исх.данные'!$C$44%</f>
        <v>0</v>
      </c>
      <c r="W68" s="144">
        <f>O68*R68*$W$12</f>
        <v>0</v>
      </c>
      <c r="X68" s="145">
        <f>P68*T68*$W$12</f>
        <v>0</v>
      </c>
      <c r="Y68" s="144">
        <f>(O68*R68+U68+W68)*$Y$12</f>
        <v>0</v>
      </c>
      <c r="Z68" s="145">
        <f>(P68*T68+V68+X68)*$Z$12</f>
        <v>126.64814574898787</v>
      </c>
      <c r="AA68" s="144">
        <f>(O68*R68+U68)*$AA$12</f>
        <v>0</v>
      </c>
      <c r="AB68" s="145">
        <f>(P68*T68+V68)*$AA$12</f>
        <v>0</v>
      </c>
      <c r="AC68" s="143">
        <v>2.5</v>
      </c>
      <c r="AD68" s="144">
        <f>(O68*R68+U68+W68+Y68+AA68)*AC68</f>
        <v>0</v>
      </c>
      <c r="AE68" s="144">
        <f>(P68*T68+V68+X68+Z68+AB68)*AC68</f>
        <v>6649.027651821863</v>
      </c>
      <c r="AF68" s="121">
        <f>AD68*$AF$12</f>
        <v>0</v>
      </c>
      <c r="AG68" s="152">
        <f>AE68*$AF$12</f>
        <v>985.041133603239</v>
      </c>
      <c r="AH68" s="121">
        <f>AD68+AF68</f>
        <v>0</v>
      </c>
      <c r="AI68" s="121">
        <f>AE68+AG68</f>
        <v>7634.068785425103</v>
      </c>
      <c r="AJ68" s="121">
        <f>AH68*$AJ$12</f>
        <v>0</v>
      </c>
      <c r="AK68" s="152">
        <f>AI68*$AJ$12</f>
        <v>2343.6591171255063</v>
      </c>
      <c r="AL68" s="121">
        <f>AH68+AJ68</f>
        <v>0</v>
      </c>
      <c r="AM68" s="152">
        <f>AK68+AI68</f>
        <v>9977.727902550609</v>
      </c>
      <c r="AN68" s="154"/>
      <c r="AO68" s="154"/>
      <c r="AP68" s="169"/>
      <c r="AQ68" s="155"/>
      <c r="AR68" s="155"/>
      <c r="AS68" s="169"/>
      <c r="AT68" s="154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15"/>
      <c r="BH68" s="115"/>
      <c r="BI68" s="115"/>
      <c r="BJ68" s="169"/>
      <c r="BK68" s="169"/>
      <c r="BL68" s="169"/>
      <c r="BM68" s="169"/>
      <c r="BN68" s="169"/>
      <c r="BO68" s="169"/>
      <c r="BP68" s="169"/>
      <c r="BQ68" s="115">
        <f>AL68+AM68+AS68+AW68+BA68+BE68+BG68+BI68+BK68+BM68+BO68+BP68</f>
        <v>9977.727902550609</v>
      </c>
      <c r="BR68" s="115">
        <f>BQ68/$D$7</f>
        <v>997.7727902550608</v>
      </c>
      <c r="BS68" s="153">
        <f>(O68+P68)/$D$7</f>
        <v>2.396356275303644</v>
      </c>
      <c r="BT68" s="169"/>
      <c r="BU68" s="169"/>
    </row>
    <row r="69" spans="1:73" s="7" customFormat="1" ht="11.25">
      <c r="A69" s="19">
        <v>2</v>
      </c>
      <c r="B69" s="28" t="s">
        <v>125</v>
      </c>
      <c r="C69" s="22"/>
      <c r="D69" s="418" t="s">
        <v>143</v>
      </c>
      <c r="E69" s="419"/>
      <c r="F69" s="29" t="s">
        <v>181</v>
      </c>
      <c r="G69" s="31">
        <v>6</v>
      </c>
      <c r="H69" s="29" t="s">
        <v>492</v>
      </c>
      <c r="I69" s="24"/>
      <c r="J69" s="160">
        <v>30</v>
      </c>
      <c r="K69" s="150">
        <v>0.2</v>
      </c>
      <c r="L69" s="148">
        <f>G69/K69</f>
        <v>30</v>
      </c>
      <c r="M69" s="154"/>
      <c r="N69" s="164">
        <f>L69/J69</f>
        <v>1</v>
      </c>
      <c r="O69" s="121">
        <f>IF(M69=0,0,L69*$O$12)</f>
        <v>0</v>
      </c>
      <c r="P69" s="121">
        <f>IF(N69=0,0,L69*$O$12)</f>
        <v>239.63562753036436</v>
      </c>
      <c r="Q69" s="155"/>
      <c r="R69" s="154"/>
      <c r="S69" s="155">
        <v>1</v>
      </c>
      <c r="T69" s="122">
        <f>IF(AND(N69&gt;0,P69&gt;0),SUMIF('Исх.данные'!$C$14:$J$30,S69,'Исх.данные'!$C$34:$J$45),IF(N69=0,0,IF(S69=0,"РОТ")))</f>
        <v>98.78560567663457</v>
      </c>
      <c r="U69" s="144">
        <f>O69*R69*'Исх.данные'!$C$43%</f>
        <v>0</v>
      </c>
      <c r="V69" s="144">
        <v>0</v>
      </c>
      <c r="W69" s="144">
        <f>O69*R69*$W$12</f>
        <v>0</v>
      </c>
      <c r="X69" s="145">
        <f>P69*T69*$W$12</f>
        <v>0</v>
      </c>
      <c r="Y69" s="144">
        <f>(O69*R69+U69+W69)*$Y$12</f>
        <v>0</v>
      </c>
      <c r="Z69" s="145">
        <f>(P69*T69+V69+X69)*$Z$12</f>
        <v>1183.6275303643724</v>
      </c>
      <c r="AA69" s="144">
        <f>(O69*R69+U69)*$AA$12</f>
        <v>0</v>
      </c>
      <c r="AB69" s="145">
        <f>(P69*T69+V69)*$AA$12</f>
        <v>0</v>
      </c>
      <c r="AC69" s="143">
        <v>2.5</v>
      </c>
      <c r="AD69" s="144">
        <f>(O69*R69+U69+W69+Y69+AA69)*AC69</f>
        <v>0</v>
      </c>
      <c r="AE69" s="144">
        <f>(P69*T69+V69+X69+Z69+AB69)*AC69</f>
        <v>62140.44534412955</v>
      </c>
      <c r="AF69" s="121">
        <f>AD69*$AF$12</f>
        <v>0</v>
      </c>
      <c r="AG69" s="152">
        <f>AE69*$AF$12</f>
        <v>9205.991902834006</v>
      </c>
      <c r="AH69" s="121">
        <f>AD69+AF69</f>
        <v>0</v>
      </c>
      <c r="AI69" s="121">
        <f>AE69+AG69</f>
        <v>71346.43724696356</v>
      </c>
      <c r="AJ69" s="121">
        <f>AH69*$AJ$12</f>
        <v>0</v>
      </c>
      <c r="AK69" s="152">
        <f>AI69*$AJ$12</f>
        <v>21903.356234817813</v>
      </c>
      <c r="AL69" s="121">
        <f>AH69+AJ69</f>
        <v>0</v>
      </c>
      <c r="AM69" s="152">
        <f>AK69+AI69</f>
        <v>93249.79348178137</v>
      </c>
      <c r="AN69" s="154"/>
      <c r="AO69" s="154"/>
      <c r="AP69" s="169"/>
      <c r="AQ69" s="155"/>
      <c r="AR69" s="155"/>
      <c r="AS69" s="169"/>
      <c r="AT69" s="154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15"/>
      <c r="BH69" s="115"/>
      <c r="BI69" s="115"/>
      <c r="BJ69" s="169"/>
      <c r="BK69" s="169"/>
      <c r="BL69" s="169"/>
      <c r="BM69" s="169"/>
      <c r="BN69" s="169"/>
      <c r="BO69" s="169"/>
      <c r="BP69" s="169"/>
      <c r="BQ69" s="115">
        <f>AL69+AM69+AS69+AW69+BA69+BE69+BG69+BI69+BK69+BM69+BO69+BP69</f>
        <v>93249.79348178137</v>
      </c>
      <c r="BR69" s="115">
        <f>BQ69/$D$7</f>
        <v>9324.979348178136</v>
      </c>
      <c r="BS69" s="153">
        <f>(O69+P69)/$D$7</f>
        <v>23.963562753036435</v>
      </c>
      <c r="BT69" s="169"/>
      <c r="BU69" s="169"/>
    </row>
    <row r="70" spans="1:73" s="56" customFormat="1" ht="11.25">
      <c r="A70" s="54"/>
      <c r="B70" s="55" t="s">
        <v>22</v>
      </c>
      <c r="C70" s="55"/>
      <c r="D70" s="55"/>
      <c r="E70" s="55"/>
      <c r="F70" s="57"/>
      <c r="G70" s="58"/>
      <c r="H70" s="58"/>
      <c r="I70" s="58"/>
      <c r="J70" s="158">
        <f>SUM(J68:J69)</f>
        <v>33</v>
      </c>
      <c r="K70" s="158"/>
      <c r="L70" s="158">
        <f aca="true" t="shared" si="90" ref="L70:BM70">SUM(L68:L69)</f>
        <v>33</v>
      </c>
      <c r="M70" s="158">
        <f t="shared" si="90"/>
        <v>0</v>
      </c>
      <c r="N70" s="158">
        <f t="shared" si="90"/>
        <v>2</v>
      </c>
      <c r="O70" s="158">
        <f t="shared" si="90"/>
        <v>0</v>
      </c>
      <c r="P70" s="158">
        <f t="shared" si="90"/>
        <v>263.5991902834008</v>
      </c>
      <c r="Q70" s="158"/>
      <c r="R70" s="158"/>
      <c r="S70" s="158"/>
      <c r="T70" s="158"/>
      <c r="U70" s="158">
        <f t="shared" si="90"/>
        <v>0</v>
      </c>
      <c r="V70" s="158">
        <f t="shared" si="90"/>
        <v>0</v>
      </c>
      <c r="W70" s="158">
        <f t="shared" si="90"/>
        <v>0</v>
      </c>
      <c r="X70" s="158">
        <f t="shared" si="90"/>
        <v>0</v>
      </c>
      <c r="Y70" s="158">
        <f t="shared" si="90"/>
        <v>0</v>
      </c>
      <c r="Z70" s="158">
        <f t="shared" si="90"/>
        <v>1310.2756761133603</v>
      </c>
      <c r="AA70" s="158">
        <f t="shared" si="90"/>
        <v>0</v>
      </c>
      <c r="AB70" s="158">
        <f t="shared" si="90"/>
        <v>0</v>
      </c>
      <c r="AC70" s="158"/>
      <c r="AD70" s="158">
        <f t="shared" si="90"/>
        <v>0</v>
      </c>
      <c r="AE70" s="158">
        <f t="shared" si="90"/>
        <v>68789.47299595141</v>
      </c>
      <c r="AF70" s="158">
        <f t="shared" si="90"/>
        <v>0</v>
      </c>
      <c r="AG70" s="158">
        <f t="shared" si="90"/>
        <v>10191.033036437246</v>
      </c>
      <c r="AH70" s="158">
        <f t="shared" si="90"/>
        <v>0</v>
      </c>
      <c r="AI70" s="158">
        <f t="shared" si="90"/>
        <v>78980.50603238866</v>
      </c>
      <c r="AJ70" s="158">
        <f t="shared" si="90"/>
        <v>0</v>
      </c>
      <c r="AK70" s="158">
        <f t="shared" si="90"/>
        <v>24247.01535194332</v>
      </c>
      <c r="AL70" s="158">
        <f t="shared" si="90"/>
        <v>0</v>
      </c>
      <c r="AM70" s="158">
        <f t="shared" si="90"/>
        <v>103227.52138433198</v>
      </c>
      <c r="AN70" s="164"/>
      <c r="AO70" s="158"/>
      <c r="AP70" s="158">
        <f t="shared" si="90"/>
        <v>0</v>
      </c>
      <c r="AQ70" s="158"/>
      <c r="AR70" s="158"/>
      <c r="AS70" s="158">
        <f t="shared" si="90"/>
        <v>0</v>
      </c>
      <c r="AT70" s="158"/>
      <c r="AU70" s="158">
        <f t="shared" si="90"/>
        <v>0</v>
      </c>
      <c r="AV70" s="158"/>
      <c r="AW70" s="158">
        <f t="shared" si="90"/>
        <v>0</v>
      </c>
      <c r="AX70" s="158"/>
      <c r="AY70" s="158">
        <f t="shared" si="90"/>
        <v>0</v>
      </c>
      <c r="AZ70" s="158"/>
      <c r="BA70" s="158">
        <f t="shared" si="90"/>
        <v>0</v>
      </c>
      <c r="BB70" s="158"/>
      <c r="BC70" s="158">
        <f t="shared" si="90"/>
        <v>0</v>
      </c>
      <c r="BD70" s="158"/>
      <c r="BE70" s="158">
        <f t="shared" si="90"/>
        <v>0</v>
      </c>
      <c r="BF70" s="158"/>
      <c r="BG70" s="158">
        <f t="shared" si="90"/>
        <v>0</v>
      </c>
      <c r="BH70" s="158"/>
      <c r="BI70" s="158">
        <f t="shared" si="90"/>
        <v>0</v>
      </c>
      <c r="BJ70" s="158"/>
      <c r="BK70" s="158">
        <f t="shared" si="90"/>
        <v>0</v>
      </c>
      <c r="BL70" s="158"/>
      <c r="BM70" s="158">
        <f t="shared" si="90"/>
        <v>0</v>
      </c>
      <c r="BN70" s="158"/>
      <c r="BO70" s="158">
        <f aca="true" t="shared" si="91" ref="BO70:BU70">SUM(BO68:BO69)</f>
        <v>0</v>
      </c>
      <c r="BP70" s="158">
        <f t="shared" si="91"/>
        <v>0</v>
      </c>
      <c r="BQ70" s="158">
        <f t="shared" si="91"/>
        <v>103227.52138433198</v>
      </c>
      <c r="BR70" s="158"/>
      <c r="BS70" s="158"/>
      <c r="BT70" s="158"/>
      <c r="BU70" s="158">
        <f t="shared" si="91"/>
        <v>0</v>
      </c>
    </row>
    <row r="71" spans="1:73" s="7" customFormat="1" ht="11.25">
      <c r="A71" s="21"/>
      <c r="B71" s="399" t="s">
        <v>24</v>
      </c>
      <c r="C71" s="399"/>
      <c r="D71" s="399"/>
      <c r="E71" s="399"/>
      <c r="F71" s="23"/>
      <c r="G71" s="24"/>
      <c r="H71" s="24"/>
      <c r="I71" s="24"/>
      <c r="J71" s="154"/>
      <c r="K71" s="154"/>
      <c r="L71" s="166"/>
      <c r="M71" s="154"/>
      <c r="N71" s="154"/>
      <c r="O71" s="167"/>
      <c r="P71" s="167"/>
      <c r="Q71" s="155"/>
      <c r="R71" s="154"/>
      <c r="S71" s="155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68"/>
      <c r="AH71" s="167"/>
      <c r="AI71" s="167"/>
      <c r="AJ71" s="167"/>
      <c r="AK71" s="167"/>
      <c r="AL71" s="167"/>
      <c r="AM71" s="167"/>
      <c r="AN71" s="154"/>
      <c r="AO71" s="154"/>
      <c r="AP71" s="169"/>
      <c r="AQ71" s="155"/>
      <c r="AR71" s="155"/>
      <c r="AS71" s="169"/>
      <c r="AT71" s="154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</row>
    <row r="72" spans="1:73" s="7" customFormat="1" ht="11.25">
      <c r="A72" s="21">
        <v>1</v>
      </c>
      <c r="B72" s="28" t="s">
        <v>24</v>
      </c>
      <c r="C72" s="22"/>
      <c r="D72" s="22"/>
      <c r="E72" s="22"/>
      <c r="F72" s="29" t="s">
        <v>160</v>
      </c>
      <c r="G72" s="31">
        <v>120</v>
      </c>
      <c r="H72" s="209">
        <v>42531</v>
      </c>
      <c r="I72" s="209">
        <v>42602</v>
      </c>
      <c r="J72" s="160">
        <v>120</v>
      </c>
      <c r="K72" s="150">
        <v>1</v>
      </c>
      <c r="L72" s="148">
        <f>G72/K72</f>
        <v>120</v>
      </c>
      <c r="M72" s="154"/>
      <c r="N72" s="164">
        <f>L72/J72</f>
        <v>1</v>
      </c>
      <c r="O72" s="121">
        <f>IF(M72=0,0,L72*$O$12)</f>
        <v>0</v>
      </c>
      <c r="P72" s="121">
        <f>IF(N72=0,0,L72*$O$12)</f>
        <v>958.5425101214574</v>
      </c>
      <c r="Q72" s="155"/>
      <c r="R72" s="154"/>
      <c r="S72" s="155">
        <v>1</v>
      </c>
      <c r="T72" s="122">
        <f>IF(AND(N72&gt;0,P72&gt;0),SUMIF('Исх.данные'!$C$14:$J$30,S72,'Исх.данные'!$C$34:$J$45),IF(N72=0,0,IF(S72=0,"РОТ")))</f>
        <v>98.78560567663457</v>
      </c>
      <c r="U72" s="144">
        <f>O72*R72*'Исх.данные'!$C$43%</f>
        <v>0</v>
      </c>
      <c r="V72" s="144">
        <f>P72*T72*'Исх.данные'!$C$44%</f>
        <v>0</v>
      </c>
      <c r="W72" s="144">
        <f>O72*R72*$W$12</f>
        <v>0</v>
      </c>
      <c r="X72" s="145">
        <f>P72*T72*$W$12</f>
        <v>0</v>
      </c>
      <c r="Y72" s="144">
        <f>(O72*R72+U72+W72)*$Y$12</f>
        <v>0</v>
      </c>
      <c r="Z72" s="145">
        <f>(P72*T72+V72+X72)*$Z$12</f>
        <v>4734.51012145749</v>
      </c>
      <c r="AA72" s="144">
        <f>(O72*R72+U72)*$AA$12</f>
        <v>0</v>
      </c>
      <c r="AB72" s="145">
        <f>(P72*T72+V72)*$AA$12</f>
        <v>0</v>
      </c>
      <c r="AC72" s="143">
        <v>2.5</v>
      </c>
      <c r="AD72" s="144">
        <f>(O72*R72+U72+W72+Y72+AA72)*AC72</f>
        <v>0</v>
      </c>
      <c r="AE72" s="144">
        <f>(P72*T72+V72+X72+Z72+AB72)*AC72</f>
        <v>248561.7813765182</v>
      </c>
      <c r="AF72" s="121">
        <f>AD72*$AF$12</f>
        <v>0</v>
      </c>
      <c r="AG72" s="152">
        <f>AE72*$AF$12</f>
        <v>36823.967611336026</v>
      </c>
      <c r="AH72" s="121">
        <f>AD72+AF72</f>
        <v>0</v>
      </c>
      <c r="AI72" s="121">
        <f>AE72+AG72</f>
        <v>285385.7489878542</v>
      </c>
      <c r="AJ72" s="121">
        <f>AH72*$AJ$12</f>
        <v>0</v>
      </c>
      <c r="AK72" s="152">
        <f>AI72*$AJ$12</f>
        <v>87613.42493927125</v>
      </c>
      <c r="AL72" s="121">
        <f>AH72+AJ72</f>
        <v>0</v>
      </c>
      <c r="AM72" s="152">
        <f>AK72+AI72</f>
        <v>372999.17392712546</v>
      </c>
      <c r="AN72" s="154"/>
      <c r="AO72" s="154"/>
      <c r="AP72" s="169"/>
      <c r="AQ72" s="155"/>
      <c r="AR72" s="155"/>
      <c r="AS72" s="169"/>
      <c r="AT72" s="154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15">
        <f>AL72+AM72+AS72+AW72+BA72+BE72+BG72+BI72+BK72+BM72+BO72+BP72</f>
        <v>372999.17392712546</v>
      </c>
      <c r="BR72" s="115">
        <f>BQ72/$D$7</f>
        <v>37299.917392712545</v>
      </c>
      <c r="BS72" s="153">
        <f>(O72+P72)/$D$7</f>
        <v>95.85425101214574</v>
      </c>
      <c r="BT72" s="169"/>
      <c r="BU72" s="169"/>
    </row>
    <row r="73" spans="1:73" s="56" customFormat="1" ht="11.25">
      <c r="A73" s="54"/>
      <c r="B73" s="55" t="s">
        <v>22</v>
      </c>
      <c r="C73" s="55"/>
      <c r="D73" s="55"/>
      <c r="E73" s="55"/>
      <c r="F73" s="57"/>
      <c r="G73" s="58"/>
      <c r="H73" s="58"/>
      <c r="I73" s="58"/>
      <c r="J73" s="158">
        <f>SUM(J72)</f>
        <v>120</v>
      </c>
      <c r="K73" s="158"/>
      <c r="L73" s="158">
        <f aca="true" t="shared" si="92" ref="L73:BM73">SUM(L72)</f>
        <v>120</v>
      </c>
      <c r="M73" s="158">
        <f t="shared" si="92"/>
        <v>0</v>
      </c>
      <c r="N73" s="158">
        <f t="shared" si="92"/>
        <v>1</v>
      </c>
      <c r="O73" s="158">
        <f t="shared" si="92"/>
        <v>0</v>
      </c>
      <c r="P73" s="158">
        <f t="shared" si="92"/>
        <v>958.5425101214574</v>
      </c>
      <c r="Q73" s="158"/>
      <c r="R73" s="158"/>
      <c r="S73" s="158"/>
      <c r="T73" s="158"/>
      <c r="U73" s="158">
        <f t="shared" si="92"/>
        <v>0</v>
      </c>
      <c r="V73" s="158">
        <f t="shared" si="92"/>
        <v>0</v>
      </c>
      <c r="W73" s="158">
        <f t="shared" si="92"/>
        <v>0</v>
      </c>
      <c r="X73" s="158">
        <f t="shared" si="92"/>
        <v>0</v>
      </c>
      <c r="Y73" s="158">
        <f t="shared" si="92"/>
        <v>0</v>
      </c>
      <c r="Z73" s="158">
        <f t="shared" si="92"/>
        <v>4734.51012145749</v>
      </c>
      <c r="AA73" s="158">
        <f t="shared" si="92"/>
        <v>0</v>
      </c>
      <c r="AB73" s="158">
        <f t="shared" si="92"/>
        <v>0</v>
      </c>
      <c r="AC73" s="158"/>
      <c r="AD73" s="158">
        <f t="shared" si="92"/>
        <v>0</v>
      </c>
      <c r="AE73" s="158">
        <f t="shared" si="92"/>
        <v>248561.7813765182</v>
      </c>
      <c r="AF73" s="158">
        <f t="shared" si="92"/>
        <v>0</v>
      </c>
      <c r="AG73" s="158">
        <f t="shared" si="92"/>
        <v>36823.967611336026</v>
      </c>
      <c r="AH73" s="158">
        <f t="shared" si="92"/>
        <v>0</v>
      </c>
      <c r="AI73" s="158">
        <f t="shared" si="92"/>
        <v>285385.7489878542</v>
      </c>
      <c r="AJ73" s="158">
        <f t="shared" si="92"/>
        <v>0</v>
      </c>
      <c r="AK73" s="158">
        <f t="shared" si="92"/>
        <v>87613.42493927125</v>
      </c>
      <c r="AL73" s="158">
        <f t="shared" si="92"/>
        <v>0</v>
      </c>
      <c r="AM73" s="158">
        <f t="shared" si="92"/>
        <v>372999.17392712546</v>
      </c>
      <c r="AN73" s="164"/>
      <c r="AO73" s="158"/>
      <c r="AP73" s="158">
        <f t="shared" si="92"/>
        <v>0</v>
      </c>
      <c r="AQ73" s="158"/>
      <c r="AR73" s="158"/>
      <c r="AS73" s="158">
        <f t="shared" si="92"/>
        <v>0</v>
      </c>
      <c r="AT73" s="158"/>
      <c r="AU73" s="158">
        <f t="shared" si="92"/>
        <v>0</v>
      </c>
      <c r="AV73" s="158"/>
      <c r="AW73" s="158">
        <f t="shared" si="92"/>
        <v>0</v>
      </c>
      <c r="AX73" s="158"/>
      <c r="AY73" s="158">
        <f t="shared" si="92"/>
        <v>0</v>
      </c>
      <c r="AZ73" s="158"/>
      <c r="BA73" s="158">
        <f t="shared" si="92"/>
        <v>0</v>
      </c>
      <c r="BB73" s="158"/>
      <c r="BC73" s="158">
        <f t="shared" si="92"/>
        <v>0</v>
      </c>
      <c r="BD73" s="158"/>
      <c r="BE73" s="158">
        <f t="shared" si="92"/>
        <v>0</v>
      </c>
      <c r="BF73" s="158"/>
      <c r="BG73" s="158">
        <f t="shared" si="92"/>
        <v>0</v>
      </c>
      <c r="BH73" s="158"/>
      <c r="BI73" s="158">
        <f t="shared" si="92"/>
        <v>0</v>
      </c>
      <c r="BJ73" s="158"/>
      <c r="BK73" s="158">
        <f t="shared" si="92"/>
        <v>0</v>
      </c>
      <c r="BL73" s="158"/>
      <c r="BM73" s="158">
        <f t="shared" si="92"/>
        <v>0</v>
      </c>
      <c r="BN73" s="158"/>
      <c r="BO73" s="158">
        <f aca="true" t="shared" si="93" ref="BO73:BU73">SUM(BO72)</f>
        <v>0</v>
      </c>
      <c r="BP73" s="158">
        <f t="shared" si="93"/>
        <v>0</v>
      </c>
      <c r="BQ73" s="158">
        <f t="shared" si="93"/>
        <v>372999.17392712546</v>
      </c>
      <c r="BR73" s="158"/>
      <c r="BS73" s="158"/>
      <c r="BT73" s="158"/>
      <c r="BU73" s="158">
        <f t="shared" si="93"/>
        <v>0</v>
      </c>
    </row>
    <row r="74" spans="1:73" s="53" customFormat="1" ht="11.25">
      <c r="A74" s="50"/>
      <c r="B74" s="60" t="s">
        <v>25</v>
      </c>
      <c r="C74" s="60"/>
      <c r="D74" s="60"/>
      <c r="E74" s="60"/>
      <c r="F74" s="51"/>
      <c r="G74" s="52"/>
      <c r="H74" s="52"/>
      <c r="I74" s="52"/>
      <c r="J74" s="162">
        <f>J22+J30+J38+J45+J51+J58+J66+J70+J73</f>
        <v>872.8</v>
      </c>
      <c r="K74" s="162"/>
      <c r="L74" s="162">
        <f aca="true" t="shared" si="94" ref="L74:BM74">L22+L30+L38+L45+L51+L58+L66+L70+L73</f>
        <v>871.2246212704154</v>
      </c>
      <c r="M74" s="162">
        <f t="shared" si="94"/>
        <v>24.28941208323392</v>
      </c>
      <c r="N74" s="162">
        <f t="shared" si="94"/>
        <v>27.808818146778528</v>
      </c>
      <c r="O74" s="162">
        <f t="shared" si="94"/>
        <v>1102.2249570251333</v>
      </c>
      <c r="P74" s="162">
        <f t="shared" si="94"/>
        <v>6589.885598762096</v>
      </c>
      <c r="Q74" s="162"/>
      <c r="R74" s="162"/>
      <c r="S74" s="162"/>
      <c r="T74" s="162"/>
      <c r="U74" s="162">
        <f t="shared" si="94"/>
        <v>0</v>
      </c>
      <c r="V74" s="162">
        <f t="shared" si="94"/>
        <v>0</v>
      </c>
      <c r="W74" s="162">
        <f t="shared" si="94"/>
        <v>0</v>
      </c>
      <c r="X74" s="162">
        <f t="shared" si="94"/>
        <v>0</v>
      </c>
      <c r="Y74" s="162">
        <f t="shared" si="94"/>
        <v>18030.3454274665</v>
      </c>
      <c r="Z74" s="162">
        <f t="shared" si="94"/>
        <v>34798.10844698516</v>
      </c>
      <c r="AA74" s="162">
        <f t="shared" si="94"/>
        <v>0</v>
      </c>
      <c r="AB74" s="162">
        <f t="shared" si="94"/>
        <v>0</v>
      </c>
      <c r="AC74" s="162"/>
      <c r="AD74" s="162">
        <f t="shared" si="94"/>
        <v>495834.4992553288</v>
      </c>
      <c r="AE74" s="162">
        <f t="shared" si="94"/>
        <v>1826900.693466721</v>
      </c>
      <c r="AF74" s="162">
        <f t="shared" si="94"/>
        <v>73456.9628526413</v>
      </c>
      <c r="AG74" s="162">
        <f t="shared" si="94"/>
        <v>270651.95458766236</v>
      </c>
      <c r="AH74" s="162">
        <f t="shared" si="94"/>
        <v>569291.46210797</v>
      </c>
      <c r="AI74" s="162">
        <f t="shared" si="94"/>
        <v>2097552.6480543837</v>
      </c>
      <c r="AJ74" s="162">
        <f t="shared" si="94"/>
        <v>174772.4788671468</v>
      </c>
      <c r="AK74" s="162">
        <f t="shared" si="94"/>
        <v>643948.6629526959</v>
      </c>
      <c r="AL74" s="162">
        <f t="shared" si="94"/>
        <v>744063.9409751169</v>
      </c>
      <c r="AM74" s="162">
        <f t="shared" si="94"/>
        <v>2741501.311007079</v>
      </c>
      <c r="AN74" s="164"/>
      <c r="AO74" s="162"/>
      <c r="AP74" s="162">
        <f t="shared" si="94"/>
        <v>128.49892799999998</v>
      </c>
      <c r="AQ74" s="162"/>
      <c r="AR74" s="162"/>
      <c r="AS74" s="162">
        <f t="shared" si="94"/>
        <v>1229452.1441252574</v>
      </c>
      <c r="AT74" s="162"/>
      <c r="AU74" s="162">
        <f t="shared" si="94"/>
        <v>300</v>
      </c>
      <c r="AV74" s="162"/>
      <c r="AW74" s="162">
        <f t="shared" si="94"/>
        <v>2748775.735551051</v>
      </c>
      <c r="AX74" s="162"/>
      <c r="AY74" s="162">
        <f t="shared" si="94"/>
        <v>906</v>
      </c>
      <c r="AZ74" s="162"/>
      <c r="BA74" s="162">
        <f t="shared" si="94"/>
        <v>1102200</v>
      </c>
      <c r="BB74" s="162"/>
      <c r="BC74" s="162">
        <f t="shared" si="94"/>
        <v>29.3</v>
      </c>
      <c r="BD74" s="162"/>
      <c r="BE74" s="162">
        <f t="shared" si="94"/>
        <v>9765.263991999998</v>
      </c>
      <c r="BF74" s="162"/>
      <c r="BG74" s="162">
        <f>BG22+BG30+BG38+BG45+BG51+BG58+BG66+BG70+BG73</f>
        <v>74570.04488947299</v>
      </c>
      <c r="BH74" s="162"/>
      <c r="BI74" s="162">
        <f t="shared" si="94"/>
        <v>67540.16428965205</v>
      </c>
      <c r="BJ74" s="162"/>
      <c r="BK74" s="162">
        <f t="shared" si="94"/>
        <v>93547.05729635917</v>
      </c>
      <c r="BL74" s="162"/>
      <c r="BM74" s="162">
        <f t="shared" si="94"/>
        <v>13373.09032910252</v>
      </c>
      <c r="BN74" s="162"/>
      <c r="BO74" s="162">
        <f aca="true" t="shared" si="95" ref="BO74:BU74">BO22+BO30+BO38+BO45+BO51+BO58+BO66+BO70+BO73</f>
        <v>6330.918146431825</v>
      </c>
      <c r="BP74" s="162">
        <f t="shared" si="95"/>
        <v>41472.73126581961</v>
      </c>
      <c r="BQ74" s="162">
        <f t="shared" si="95"/>
        <v>8872592.401867341</v>
      </c>
      <c r="BR74" s="162"/>
      <c r="BS74" s="162"/>
      <c r="BT74" s="162"/>
      <c r="BU74" s="162">
        <f t="shared" si="95"/>
        <v>935.2319863865051</v>
      </c>
    </row>
    <row r="75" ht="11.25"/>
    <row r="76" ht="11.25">
      <c r="O76" s="119">
        <f>O74+P74</f>
        <v>7692.11055578723</v>
      </c>
    </row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1" ht="11.25"/>
    <row r="92" ht="11.25"/>
    <row r="93" ht="11.25"/>
    <row r="94" ht="11.25"/>
  </sheetData>
  <sheetProtection/>
  <mergeCells count="133">
    <mergeCell ref="D69:E69"/>
    <mergeCell ref="D62:E62"/>
    <mergeCell ref="D64:E64"/>
    <mergeCell ref="D65:E65"/>
    <mergeCell ref="D68:E68"/>
    <mergeCell ref="B67:E67"/>
    <mergeCell ref="D37:E37"/>
    <mergeCell ref="D40:E40"/>
    <mergeCell ref="D56:E56"/>
    <mergeCell ref="D57:E57"/>
    <mergeCell ref="D60:E60"/>
    <mergeCell ref="D61:E61"/>
    <mergeCell ref="D33:E33"/>
    <mergeCell ref="D28:E28"/>
    <mergeCell ref="D32:E32"/>
    <mergeCell ref="AU12:AU14"/>
    <mergeCell ref="AV12:AV14"/>
    <mergeCell ref="H12:H14"/>
    <mergeCell ref="I12:I14"/>
    <mergeCell ref="AO12:AO14"/>
    <mergeCell ref="Q12:R12"/>
    <mergeCell ref="S12:T12"/>
    <mergeCell ref="BU12:BU14"/>
    <mergeCell ref="C13:C14"/>
    <mergeCell ref="D13:D14"/>
    <mergeCell ref="E13:E14"/>
    <mergeCell ref="Q13:Q14"/>
    <mergeCell ref="R13:R14"/>
    <mergeCell ref="S13:S14"/>
    <mergeCell ref="T13:T14"/>
    <mergeCell ref="BH13:BH14"/>
    <mergeCell ref="BI13:BI14"/>
    <mergeCell ref="BQ12:BQ14"/>
    <mergeCell ref="BR12:BR14"/>
    <mergeCell ref="BF12:BG12"/>
    <mergeCell ref="BF13:BF14"/>
    <mergeCell ref="BG13:BG14"/>
    <mergeCell ref="BJ12:BK12"/>
    <mergeCell ref="BJ13:BJ14"/>
    <mergeCell ref="BK13:BK14"/>
    <mergeCell ref="BL12:BM12"/>
    <mergeCell ref="BM13:BM14"/>
    <mergeCell ref="AZ12:AZ14"/>
    <mergeCell ref="BA12:BA14"/>
    <mergeCell ref="BB12:BB14"/>
    <mergeCell ref="BC12:BC14"/>
    <mergeCell ref="BP12:BP14"/>
    <mergeCell ref="AW12:AW14"/>
    <mergeCell ref="AX12:AX14"/>
    <mergeCell ref="AY12:AY14"/>
    <mergeCell ref="BN12:BO12"/>
    <mergeCell ref="BL13:BL14"/>
    <mergeCell ref="H10:I11"/>
    <mergeCell ref="M10:N11"/>
    <mergeCell ref="Q10:T11"/>
    <mergeCell ref="O10:P11"/>
    <mergeCell ref="AP12:AP14"/>
    <mergeCell ref="U12:U14"/>
    <mergeCell ref="AJ12:AK12"/>
    <mergeCell ref="AN12:AN14"/>
    <mergeCell ref="W13:W14"/>
    <mergeCell ref="O12:P12"/>
    <mergeCell ref="BN13:BN14"/>
    <mergeCell ref="U10:V11"/>
    <mergeCell ref="J10:J14"/>
    <mergeCell ref="K10:K14"/>
    <mergeCell ref="L10:L14"/>
    <mergeCell ref="O13:O14"/>
    <mergeCell ref="P13:P14"/>
    <mergeCell ref="AG13:AG14"/>
    <mergeCell ref="M12:M14"/>
    <mergeCell ref="N12:N14"/>
    <mergeCell ref="A10:A14"/>
    <mergeCell ref="F10:F14"/>
    <mergeCell ref="G10:G14"/>
    <mergeCell ref="B10:E11"/>
    <mergeCell ref="B12:B14"/>
    <mergeCell ref="C12:E12"/>
    <mergeCell ref="BB10:BE11"/>
    <mergeCell ref="AL10:AM11"/>
    <mergeCell ref="W10:X11"/>
    <mergeCell ref="Y10:Z11"/>
    <mergeCell ref="AA10:AB11"/>
    <mergeCell ref="AH12:AH14"/>
    <mergeCell ref="X13:X14"/>
    <mergeCell ref="Y13:Y14"/>
    <mergeCell ref="Z13:Z14"/>
    <mergeCell ref="AB13:AB14"/>
    <mergeCell ref="AF10:AG11"/>
    <mergeCell ref="AJ10:AK11"/>
    <mergeCell ref="AH10:AI11"/>
    <mergeCell ref="AC10:AE11"/>
    <mergeCell ref="AN10:AS11"/>
    <mergeCell ref="AX10:BA11"/>
    <mergeCell ref="BT10:BU11"/>
    <mergeCell ref="BT12:BT14"/>
    <mergeCell ref="BS10:BS14"/>
    <mergeCell ref="AT10:AW11"/>
    <mergeCell ref="BO13:BO14"/>
    <mergeCell ref="BF10:BI11"/>
    <mergeCell ref="BJ10:BP11"/>
    <mergeCell ref="BH12:BI12"/>
    <mergeCell ref="BD12:BD14"/>
    <mergeCell ref="BQ10:BR11"/>
    <mergeCell ref="AF12:AG12"/>
    <mergeCell ref="AA13:AA14"/>
    <mergeCell ref="V12:V14"/>
    <mergeCell ref="W12:X12"/>
    <mergeCell ref="AA12:AB12"/>
    <mergeCell ref="AD12:AD14"/>
    <mergeCell ref="AE12:AE14"/>
    <mergeCell ref="AC12:AC14"/>
    <mergeCell ref="AF13:AF14"/>
    <mergeCell ref="B71:E71"/>
    <mergeCell ref="B15:E15"/>
    <mergeCell ref="B16:E16"/>
    <mergeCell ref="B23:E23"/>
    <mergeCell ref="B31:E31"/>
    <mergeCell ref="B39:E39"/>
    <mergeCell ref="B46:E46"/>
    <mergeCell ref="B52:E52"/>
    <mergeCell ref="B59:E59"/>
    <mergeCell ref="D35:E35"/>
    <mergeCell ref="BE12:BE14"/>
    <mergeCell ref="AJ13:AJ14"/>
    <mergeCell ref="AI12:AI14"/>
    <mergeCell ref="AS12:AS14"/>
    <mergeCell ref="AT12:AT14"/>
    <mergeCell ref="AK13:AK14"/>
    <mergeCell ref="AQ12:AQ14"/>
    <mergeCell ref="AR12:AR14"/>
    <mergeCell ref="AL12:AL14"/>
    <mergeCell ref="AM12:AM14"/>
  </mergeCells>
  <conditionalFormatting sqref="AS17:AS21 AP17:AQ21 AP63:AQ63 AP24:AQ27 AS24:AS27 G73:BU74 AP29:AQ29 AS29 AP34:AQ34 AS34 AP28:AS28 AP36:AQ36 AS36 AP40:AQ44 AS40:AS44 AP47:AQ50 AS47:AS50 AP53:AQ55 AS53:AS55 AS63 AN31:AS33 AN37:AS37 AN67:BU69 U72:AM72 AN56:AS57 AN59:AS62 AN64:AS65 U68:AM69 U60:AM65 U17:AM21 U24:AM29 U32:AM37 U40:AM44 U47:AM50 U53:AM57 AN71:BU72 H16:I23 K39:L39 K52:L52 K59:L59 K67:L67 G16 G22:G23 G30:G31 K16:L16 K31:L31 Q39:Q44 K46:L46 O59:P59 O31:P31 Q16:Q21 R31:R32 R59:R61 O52:P52 R23 S23:T24 R16 R46 R52 T52:T55 T67:AM67 K23:L23 T31:AM31 O46:P46 T59:AM59 T71:AM71 S16:T21 O71:P71 K70:BU70 T27 S25:S29 O16:P16 Q23:Q29 K22:BU22 Q31:Q37 R37 S31:S37 K30:BU30 O23:P23 R39:AS39 U52:AS52 S46:S50 Q46:Q50 O39:P39 S52:S57 R56:R57 Q52:Q57 K58:BU58 Q59:Q65 S59:S65 R65 Q67:S69 Q71:S72 U16:AS16 U23:AS23 K45:BU45 K38:BU38 T46:AS46 K51:BU51 O67:P67 K71:L71 K66:BU66 H29:I31 G38:I39 G45:I46 G51:I52 G58:I59 G66:I67 G70:I71 AP35:AS35 S40:S44 M16:N21 M23:N29 J16:J72 M31:N37 M39:N44 M46:N50 M52:N57 M59:N65 M67:N69 M71:N72 AT31:BU37 AT46:BU50 AT52:BU57 AT59:BU65 AT16:BU21 AT23:BU29 AT39:BU44">
    <cfRule type="cellIs" priority="9" dxfId="0" operator="greaterThan" stopIfTrue="1">
      <formula>0</formula>
    </cfRule>
  </conditionalFormatting>
  <conditionalFormatting sqref="AN17:AN21 AN24:AN29 AN34:AN36 AN40:AN44 AN47:AN50 AN53:AN55 AN63 K17:K21 K24:K29 K32:K37 K40:K44 K47:K50 K53:K57 K68:K69 K72 K60:K65">
    <cfRule type="cellIs" priority="10" dxfId="10" operator="greaterThan" stopIfTrue="1">
      <formula>0</formula>
    </cfRule>
  </conditionalFormatting>
  <conditionalFormatting sqref="E17:E22 D40 E29 E40:E44 E47:E50 E36 E53:E55 E63 E24:E27 E34">
    <cfRule type="cellIs" priority="11" dxfId="33" operator="equal" stopIfTrue="1">
      <formula>0</formula>
    </cfRule>
  </conditionalFormatting>
  <conditionalFormatting sqref="O24:P29 O68:P69 O40:P44 O17:P21 O47:P50 O32:P37 O53:P57 O60:P65 O72:P72">
    <cfRule type="cellIs" priority="12" dxfId="35" operator="greaterThan" stopIfTrue="1">
      <formula>0</formula>
    </cfRule>
  </conditionalFormatting>
  <conditionalFormatting sqref="H24:I28">
    <cfRule type="cellIs" priority="8" dxfId="0" operator="greaterThan" stopIfTrue="1">
      <formula>0</formula>
    </cfRule>
  </conditionalFormatting>
  <conditionalFormatting sqref="H32:I37">
    <cfRule type="cellIs" priority="7" dxfId="0" operator="greaterThan" stopIfTrue="1">
      <formula>0</formula>
    </cfRule>
  </conditionalFormatting>
  <conditionalFormatting sqref="H40:I44">
    <cfRule type="cellIs" priority="6" dxfId="0" operator="greaterThan" stopIfTrue="1">
      <formula>0</formula>
    </cfRule>
  </conditionalFormatting>
  <conditionalFormatting sqref="H47:I50">
    <cfRule type="cellIs" priority="5" dxfId="0" operator="greaterThan" stopIfTrue="1">
      <formula>0</formula>
    </cfRule>
  </conditionalFormatting>
  <conditionalFormatting sqref="H53:I57">
    <cfRule type="cellIs" priority="4" dxfId="0" operator="greaterThan" stopIfTrue="1">
      <formula>0</formula>
    </cfRule>
  </conditionalFormatting>
  <conditionalFormatting sqref="H60:I65">
    <cfRule type="cellIs" priority="3" dxfId="0" operator="greaterThan" stopIfTrue="1">
      <formula>0</formula>
    </cfRule>
  </conditionalFormatting>
  <conditionalFormatting sqref="H68:I69">
    <cfRule type="cellIs" priority="2" dxfId="0" operator="greaterThan" stopIfTrue="1">
      <formula>0</formula>
    </cfRule>
  </conditionalFormatting>
  <conditionalFormatting sqref="H72:I72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AQ17:AQ21 AQ24:AQ27 AQ29 AQ34 AQ36 AQ40:AQ44 AQ47:AQ50 AQ53:AQ55 AQ63">
      <formula1>#REF!</formula1>
    </dataValidation>
  </dataValidations>
  <printOptions/>
  <pageMargins left="0.3937007874015748" right="0.3937007874015748" top="0.5905511811023623" bottom="0.7480314960629921" header="0" footer="0"/>
  <pageSetup fitToWidth="3" horizontalDpi="600" verticalDpi="600" orientation="landscape" paperSize="9" scale="43" r:id="rId3"/>
  <headerFooter alignWithMargins="0">
    <oddFooter>&amp;LОтдел СЭР села ЯНИИСХ</oddFooter>
  </headerFooter>
  <colBreaks count="1" manualBreakCount="1">
    <brk id="39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N39"/>
  <sheetViews>
    <sheetView view="pageBreakPreview" zoomScale="90" zoomScaleSheetLayoutView="90" workbookViewId="0" topLeftCell="A1">
      <selection activeCell="M21" sqref="M21"/>
    </sheetView>
  </sheetViews>
  <sheetFormatPr defaultColWidth="9.00390625" defaultRowHeight="12.75"/>
  <cols>
    <col min="1" max="1" width="55.375" style="99" customWidth="1"/>
    <col min="2" max="2" width="12.125" style="99" customWidth="1"/>
    <col min="3" max="3" width="10.375" style="99" customWidth="1"/>
    <col min="4" max="4" width="9.125" style="99" customWidth="1"/>
    <col min="5" max="5" width="10.625" style="99" customWidth="1"/>
    <col min="6" max="6" width="12.625" style="99" customWidth="1"/>
    <col min="7" max="16384" width="9.125" style="99" customWidth="1"/>
  </cols>
  <sheetData>
    <row r="1" spans="1:66" s="1" customFormat="1" ht="12.75">
      <c r="A1" s="437" t="s">
        <v>655</v>
      </c>
      <c r="B1" s="437"/>
      <c r="C1" s="437"/>
      <c r="D1" s="437"/>
      <c r="G1" s="3"/>
      <c r="AH1" s="4"/>
      <c r="AI1" s="101"/>
      <c r="AJ1" s="101"/>
      <c r="AK1" s="4"/>
      <c r="AL1" s="4"/>
      <c r="AM1" s="4"/>
      <c r="AN1" s="4"/>
      <c r="AO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</row>
    <row r="2" spans="1:66" s="1" customFormat="1" ht="12.75">
      <c r="A2" s="48"/>
      <c r="B2" s="48"/>
      <c r="C2" s="48"/>
      <c r="G2" s="3"/>
      <c r="AH2" s="4"/>
      <c r="AI2" s="4"/>
      <c r="AJ2" s="4"/>
      <c r="AK2" s="4"/>
      <c r="AL2" s="4"/>
      <c r="AM2" s="4"/>
      <c r="AN2" s="4"/>
      <c r="AO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</row>
    <row r="3" spans="1:66" s="1" customFormat="1" ht="12.75">
      <c r="A3" s="100"/>
      <c r="B3" s="100"/>
      <c r="C3" s="100"/>
      <c r="G3" s="3"/>
      <c r="AH3" s="4"/>
      <c r="AI3" s="4"/>
      <c r="AJ3" s="4"/>
      <c r="AK3" s="4"/>
      <c r="AL3" s="4"/>
      <c r="AM3" s="4"/>
      <c r="AN3" s="4"/>
      <c r="AO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5"/>
    </row>
    <row r="4" spans="1:66" s="1" customFormat="1" ht="12.75" customHeight="1">
      <c r="A4" s="48" t="s">
        <v>86</v>
      </c>
      <c r="B4" s="48"/>
      <c r="C4" s="48"/>
      <c r="G4" s="3"/>
      <c r="AH4" s="4"/>
      <c r="AI4" s="4"/>
      <c r="AJ4" s="4"/>
      <c r="AK4" s="4"/>
      <c r="AL4" s="4"/>
      <c r="AM4" s="4"/>
      <c r="AN4" s="4"/>
      <c r="AO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5"/>
    </row>
    <row r="5" spans="1:66" s="1" customFormat="1" ht="12.75" customHeight="1">
      <c r="A5" s="48" t="s">
        <v>422</v>
      </c>
      <c r="B5" s="3"/>
      <c r="C5" s="3"/>
      <c r="D5" s="3"/>
      <c r="G5" s="3"/>
      <c r="AH5" s="4"/>
      <c r="AI5" s="4"/>
      <c r="AJ5" s="4"/>
      <c r="AK5" s="4"/>
      <c r="AL5" s="4"/>
      <c r="AM5" s="4"/>
      <c r="AN5" s="4"/>
      <c r="AO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5"/>
    </row>
    <row r="6" spans="1:65" s="1" customFormat="1" ht="12.75" customHeight="1">
      <c r="A6" s="48" t="s">
        <v>409</v>
      </c>
      <c r="B6" s="3">
        <f>'О-КС'!D7</f>
        <v>10</v>
      </c>
      <c r="C6" s="3"/>
      <c r="D6" s="3"/>
      <c r="F6" s="3"/>
      <c r="AG6" s="4"/>
      <c r="AJ6" s="4"/>
      <c r="AK6" s="4"/>
      <c r="AL6" s="4"/>
      <c r="AM6" s="4"/>
      <c r="AN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5"/>
    </row>
    <row r="7" spans="1:65" s="1" customFormat="1" ht="12.75" customHeight="1">
      <c r="A7" s="1" t="s">
        <v>398</v>
      </c>
      <c r="B7" s="199">
        <f>'О-КС'!D9</f>
        <v>250</v>
      </c>
      <c r="C7" s="199"/>
      <c r="D7" s="199"/>
      <c r="F7" s="3"/>
      <c r="AG7" s="4"/>
      <c r="AJ7" s="4"/>
      <c r="AK7" s="4"/>
      <c r="AL7" s="4"/>
      <c r="AM7" s="4"/>
      <c r="AN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5"/>
    </row>
    <row r="8" spans="1:65" s="1" customFormat="1" ht="12.75" customHeight="1">
      <c r="A8" s="47" t="s">
        <v>400</v>
      </c>
      <c r="B8" s="77">
        <f>B6*B7</f>
        <v>2500</v>
      </c>
      <c r="C8" s="77"/>
      <c r="D8" s="77"/>
      <c r="F8" s="3"/>
      <c r="AG8" s="4"/>
      <c r="AJ8" s="4"/>
      <c r="AK8" s="4"/>
      <c r="AL8" s="4"/>
      <c r="AM8" s="4"/>
      <c r="A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5"/>
    </row>
    <row r="9" spans="1:66" s="105" customFormat="1" ht="12.75" customHeight="1">
      <c r="A9" s="102"/>
      <c r="B9" s="102"/>
      <c r="C9" s="102"/>
      <c r="G9" s="106"/>
      <c r="AH9" s="107"/>
      <c r="AI9" s="107"/>
      <c r="AJ9" s="107"/>
      <c r="AK9" s="107"/>
      <c r="AL9" s="107"/>
      <c r="AM9" s="107"/>
      <c r="AN9" s="107"/>
      <c r="AO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8"/>
    </row>
    <row r="10" spans="1:66" s="105" customFormat="1" ht="12.75" customHeight="1">
      <c r="A10" s="102"/>
      <c r="B10" s="436"/>
      <c r="C10" s="436"/>
      <c r="D10" s="436"/>
      <c r="G10" s="106"/>
      <c r="AH10" s="107"/>
      <c r="AI10" s="107"/>
      <c r="AJ10" s="107"/>
      <c r="AK10" s="107"/>
      <c r="AL10" s="107"/>
      <c r="AM10" s="107"/>
      <c r="AN10" s="107"/>
      <c r="AO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8"/>
    </row>
    <row r="11" spans="1:4" s="91" customFormat="1" ht="33.75" customHeight="1">
      <c r="A11" s="109"/>
      <c r="B11" s="89" t="s">
        <v>25</v>
      </c>
      <c r="C11" s="90" t="s">
        <v>378</v>
      </c>
      <c r="D11" s="90" t="s">
        <v>382</v>
      </c>
    </row>
    <row r="12" spans="1:6" s="95" customFormat="1" ht="12.75">
      <c r="A12" s="92" t="s">
        <v>397</v>
      </c>
      <c r="B12" s="93">
        <f>'О-КС'!$AL$74+'О-КС'!$AM$74</f>
        <v>3485565.2519821962</v>
      </c>
      <c r="C12" s="94">
        <f aca="true" t="shared" si="0" ref="C12:C28">B12/$B$6</f>
        <v>348556.52519821964</v>
      </c>
      <c r="D12" s="113">
        <f>B12/B$28%</f>
        <v>37.17051196203333</v>
      </c>
      <c r="F12" s="288"/>
    </row>
    <row r="13" spans="1:6" s="95" customFormat="1" ht="12.75">
      <c r="A13" s="96" t="s">
        <v>393</v>
      </c>
      <c r="B13" s="94">
        <f>'О-КС'!$AW$74</f>
        <v>2748775.735551051</v>
      </c>
      <c r="C13" s="94">
        <f t="shared" si="0"/>
        <v>274877.5735551051</v>
      </c>
      <c r="D13" s="113">
        <f aca="true" t="shared" si="1" ref="D13:D27">B13/$B$28%</f>
        <v>29.31329468043744</v>
      </c>
      <c r="F13" s="288"/>
    </row>
    <row r="14" spans="1:6" s="95" customFormat="1" ht="12.75">
      <c r="A14" s="96" t="s">
        <v>394</v>
      </c>
      <c r="B14" s="94">
        <f>'О-КС'!$BA$74</f>
        <v>1102200</v>
      </c>
      <c r="C14" s="94">
        <f t="shared" si="0"/>
        <v>110220</v>
      </c>
      <c r="D14" s="113">
        <f t="shared" si="1"/>
        <v>11.754001237318509</v>
      </c>
      <c r="F14" s="288"/>
    </row>
    <row r="15" spans="1:6" s="95" customFormat="1" ht="12.75">
      <c r="A15" s="96" t="s">
        <v>405</v>
      </c>
      <c r="B15" s="94">
        <f>'О-КС'!$BE$74</f>
        <v>9765.263991999998</v>
      </c>
      <c r="C15" s="94">
        <f t="shared" si="0"/>
        <v>976.5263991999998</v>
      </c>
      <c r="D15" s="113">
        <f t="shared" si="1"/>
        <v>0.10413801945627822</v>
      </c>
      <c r="F15" s="288"/>
    </row>
    <row r="16" spans="1:6" s="95" customFormat="1" ht="12.75">
      <c r="A16" s="96" t="s">
        <v>395</v>
      </c>
      <c r="B16" s="94">
        <f>B17+B20+B23</f>
        <v>1526286.1503420956</v>
      </c>
      <c r="C16" s="94">
        <f t="shared" si="0"/>
        <v>152628.61503420956</v>
      </c>
      <c r="D16" s="113">
        <f t="shared" si="1"/>
        <v>16.276509979697963</v>
      </c>
      <c r="F16" s="288"/>
    </row>
    <row r="17" spans="1:6" ht="12.75">
      <c r="A17" s="97" t="s">
        <v>376</v>
      </c>
      <c r="B17" s="98">
        <f>SUM(B18:B19)</f>
        <v>142110.20917912503</v>
      </c>
      <c r="C17" s="98">
        <f t="shared" si="0"/>
        <v>14211.020917912503</v>
      </c>
      <c r="D17" s="114">
        <f t="shared" si="1"/>
        <v>1.5154813777236689</v>
      </c>
      <c r="F17" s="288"/>
    </row>
    <row r="18" spans="1:6" ht="12.75">
      <c r="A18" s="110" t="s">
        <v>383</v>
      </c>
      <c r="B18" s="98">
        <f>'О-КС'!$BG$74</f>
        <v>74570.04488947299</v>
      </c>
      <c r="C18" s="98">
        <f t="shared" si="0"/>
        <v>7457.004488947299</v>
      </c>
      <c r="D18" s="114">
        <f t="shared" si="1"/>
        <v>0.7952244600778101</v>
      </c>
      <c r="F18" s="288"/>
    </row>
    <row r="19" spans="1:6" ht="12.75">
      <c r="A19" s="110" t="s">
        <v>384</v>
      </c>
      <c r="B19" s="98">
        <f>'О-КС'!$BI$74</f>
        <v>67540.16428965205</v>
      </c>
      <c r="C19" s="98">
        <f t="shared" si="0"/>
        <v>6754.016428965205</v>
      </c>
      <c r="D19" s="114">
        <f t="shared" si="1"/>
        <v>0.7202569176458588</v>
      </c>
      <c r="F19" s="288"/>
    </row>
    <row r="20" spans="1:6" ht="12.75">
      <c r="A20" s="97" t="s">
        <v>377</v>
      </c>
      <c r="B20" s="98">
        <f>SUM(B21:B22)</f>
        <v>154723.7970377131</v>
      </c>
      <c r="C20" s="98">
        <f t="shared" si="0"/>
        <v>15472.379703771312</v>
      </c>
      <c r="D20" s="114">
        <f t="shared" si="1"/>
        <v>1.6499942858137342</v>
      </c>
      <c r="F20" s="288"/>
    </row>
    <row r="21" spans="1:6" ht="12.75">
      <c r="A21" s="110" t="s">
        <v>383</v>
      </c>
      <c r="B21" s="98">
        <f>'О-КС'!$BK$74+'О-КС'!$BM$74+'О-КС'!$BO$74</f>
        <v>113251.06577189351</v>
      </c>
      <c r="C21" s="98">
        <f t="shared" si="0"/>
        <v>11325.106577189352</v>
      </c>
      <c r="D21" s="114">
        <f t="shared" si="1"/>
        <v>1.2077237953279587</v>
      </c>
      <c r="F21" s="288"/>
    </row>
    <row r="22" spans="1:6" ht="12.75">
      <c r="A22" s="110" t="s">
        <v>384</v>
      </c>
      <c r="B22" s="98">
        <f>'О-КС'!$BP$74</f>
        <v>41472.73126581961</v>
      </c>
      <c r="C22" s="98">
        <f t="shared" si="0"/>
        <v>4147.273126581961</v>
      </c>
      <c r="D22" s="114">
        <f t="shared" si="1"/>
        <v>0.44227049048577544</v>
      </c>
      <c r="F22" s="288"/>
    </row>
    <row r="23" spans="1:6" ht="12.75">
      <c r="A23" s="97" t="s">
        <v>368</v>
      </c>
      <c r="B23" s="116">
        <f>'О-КС'!$AS$74</f>
        <v>1229452.1441252574</v>
      </c>
      <c r="C23" s="98">
        <f t="shared" si="0"/>
        <v>122945.21441252573</v>
      </c>
      <c r="D23" s="114">
        <f t="shared" si="1"/>
        <v>13.11103431616056</v>
      </c>
      <c r="F23" s="288"/>
    </row>
    <row r="24" spans="1:6" s="95" customFormat="1" ht="12.75">
      <c r="A24" s="96" t="s">
        <v>385</v>
      </c>
      <c r="B24" s="94">
        <f>SUM(B25:B25)</f>
        <v>2252.9333333333334</v>
      </c>
      <c r="C24" s="94">
        <f t="shared" si="0"/>
        <v>225.29333333333335</v>
      </c>
      <c r="D24" s="113">
        <f t="shared" si="1"/>
        <v>0.02402556812520061</v>
      </c>
      <c r="F24" s="288"/>
    </row>
    <row r="25" spans="1:6" ht="12.75">
      <c r="A25" s="110" t="s">
        <v>408</v>
      </c>
      <c r="B25" s="98">
        <f>(400*B6/1000*33794/15)*25%</f>
        <v>2252.9333333333334</v>
      </c>
      <c r="C25" s="98">
        <f t="shared" si="0"/>
        <v>225.29333333333335</v>
      </c>
      <c r="D25" s="114">
        <f t="shared" si="1"/>
        <v>0.02402556812520061</v>
      </c>
      <c r="F25" s="288"/>
    </row>
    <row r="26" spans="1:6" s="95" customFormat="1" ht="12.75">
      <c r="A26" s="96" t="s">
        <v>386</v>
      </c>
      <c r="B26" s="94">
        <f>B12+B13+B14+B16+B24+B15</f>
        <v>8874845.335200677</v>
      </c>
      <c r="C26" s="94">
        <f t="shared" si="0"/>
        <v>887484.5335200677</v>
      </c>
      <c r="D26" s="113">
        <f t="shared" si="1"/>
        <v>94.64248144706873</v>
      </c>
      <c r="F26" s="288"/>
    </row>
    <row r="27" spans="1:6" s="95" customFormat="1" ht="12.75">
      <c r="A27" s="96" t="s">
        <v>387</v>
      </c>
      <c r="B27" s="94">
        <f>(B26-B13-B14)*10%</f>
        <v>502386.9599649626</v>
      </c>
      <c r="C27" s="94">
        <f t="shared" si="0"/>
        <v>50238.69599649626</v>
      </c>
      <c r="D27" s="113">
        <f t="shared" si="1"/>
        <v>5.357518552931278</v>
      </c>
      <c r="E27" s="94"/>
      <c r="F27" s="288"/>
    </row>
    <row r="28" spans="1:6" s="95" customFormat="1" ht="12.75">
      <c r="A28" s="96" t="s">
        <v>388</v>
      </c>
      <c r="B28" s="94">
        <f>B26+B27</f>
        <v>9377232.29516564</v>
      </c>
      <c r="C28" s="94">
        <f t="shared" si="0"/>
        <v>937723.2295165639</v>
      </c>
      <c r="D28" s="113">
        <f>D26+D27</f>
        <v>100.00000000000001</v>
      </c>
      <c r="F28" s="288"/>
    </row>
    <row r="29" spans="1:4" ht="12.75">
      <c r="A29" s="97" t="s">
        <v>389</v>
      </c>
      <c r="B29" s="98">
        <f>B28/$B$6</f>
        <v>937723.2295165639</v>
      </c>
      <c r="C29" s="98"/>
      <c r="D29" s="98"/>
    </row>
    <row r="30" spans="1:4" s="193" customFormat="1" ht="12.75">
      <c r="A30" s="192" t="s">
        <v>390</v>
      </c>
      <c r="B30" s="191">
        <f>B28/($B$8)</f>
        <v>3750.892918066256</v>
      </c>
      <c r="C30" s="191"/>
      <c r="D30" s="191"/>
    </row>
    <row r="31" spans="1:4" ht="12.75">
      <c r="A31" s="97" t="s">
        <v>391</v>
      </c>
      <c r="B31" s="98">
        <f>'О-КС'!$O$74+'О-КС'!$P$74</f>
        <v>7692.11055578723</v>
      </c>
      <c r="C31" s="98"/>
      <c r="D31" s="98"/>
    </row>
    <row r="32" spans="1:4" ht="12.75">
      <c r="A32" s="110" t="s">
        <v>378</v>
      </c>
      <c r="B32" s="98">
        <f>B31/$B$6</f>
        <v>769.211055578723</v>
      </c>
      <c r="C32" s="98"/>
      <c r="D32" s="98"/>
    </row>
    <row r="33" spans="1:4" ht="12.75">
      <c r="A33" s="110" t="s">
        <v>379</v>
      </c>
      <c r="B33" s="98">
        <f>B31/$B$8</f>
        <v>3.0768442223148917</v>
      </c>
      <c r="C33" s="98"/>
      <c r="D33" s="98"/>
    </row>
    <row r="34" spans="1:4" ht="12.75">
      <c r="A34" s="97" t="s">
        <v>399</v>
      </c>
      <c r="B34" s="98">
        <f>('О-КС'!$AH$74+'О-КС'!$AI$74)/B31</f>
        <v>346.69861942583873</v>
      </c>
      <c r="C34" s="98"/>
      <c r="D34" s="98"/>
    </row>
    <row r="35" spans="1:4" ht="12.75">
      <c r="A35" s="111" t="s">
        <v>380</v>
      </c>
      <c r="B35" s="98">
        <f>'О-КС'!$AH$74/'О-КС'!$O$74</f>
        <v>516.4929885496948</v>
      </c>
      <c r="C35" s="98"/>
      <c r="D35" s="98"/>
    </row>
    <row r="36" spans="1:4" ht="12.75">
      <c r="A36" s="112" t="s">
        <v>381</v>
      </c>
      <c r="B36" s="98">
        <f>'О-КС'!$AI$74/'О-КС'!$P$74</f>
        <v>318.2987954219428</v>
      </c>
      <c r="C36" s="98"/>
      <c r="D36" s="98"/>
    </row>
    <row r="37" spans="1:4" ht="12.75">
      <c r="A37" s="97" t="s">
        <v>392</v>
      </c>
      <c r="B37" s="98">
        <f>B34*'Исх.данные'!B6</f>
        <v>57003.031343931645</v>
      </c>
      <c r="C37" s="98"/>
      <c r="D37" s="98"/>
    </row>
    <row r="38" spans="1:4" ht="12.75">
      <c r="A38" s="111" t="s">
        <v>380</v>
      </c>
      <c r="B38" s="116">
        <f>B35*'Исх.данные'!B6</f>
        <v>84920.05553404565</v>
      </c>
      <c r="C38" s="97"/>
      <c r="D38" s="97"/>
    </row>
    <row r="39" spans="1:4" ht="12.75" customHeight="1">
      <c r="A39" s="112" t="s">
        <v>381</v>
      </c>
      <c r="B39" s="116">
        <f>B36*'Исх.данные'!B6</f>
        <v>52333.62694729109</v>
      </c>
      <c r="C39" s="97"/>
      <c r="D39" s="97"/>
    </row>
  </sheetData>
  <sheetProtection/>
  <mergeCells count="2">
    <mergeCell ref="B10:D10"/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&amp;LОтдел СЭР села ЯНИИСХ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110" zoomScaleSheetLayoutView="110" workbookViewId="0" topLeftCell="A13">
      <selection activeCell="C20" sqref="C20"/>
    </sheetView>
  </sheetViews>
  <sheetFormatPr defaultColWidth="9.00390625" defaultRowHeight="12.75"/>
  <cols>
    <col min="1" max="1" width="32.125" style="248" customWidth="1"/>
    <col min="2" max="2" width="13.375" style="248" customWidth="1"/>
    <col min="3" max="3" width="13.75390625" style="248" customWidth="1"/>
    <col min="4" max="5" width="11.00390625" style="248" customWidth="1"/>
    <col min="6" max="16384" width="9.125" style="248" customWidth="1"/>
  </cols>
  <sheetData>
    <row r="1" spans="1:5" ht="12.75">
      <c r="A1" s="332"/>
      <c r="B1" s="332"/>
      <c r="C1" s="332"/>
      <c r="D1" s="332"/>
      <c r="E1" s="332"/>
    </row>
    <row r="2" spans="1:3" s="249" customFormat="1" ht="12.75">
      <c r="A2" s="335" t="s">
        <v>433</v>
      </c>
      <c r="B2" s="335"/>
      <c r="C2" s="335"/>
    </row>
    <row r="3" spans="1:6" s="249" customFormat="1" ht="37.5" customHeight="1">
      <c r="A3" s="244"/>
      <c r="B3" s="337" t="s">
        <v>435</v>
      </c>
      <c r="C3" s="338"/>
      <c r="D3" s="336" t="s">
        <v>436</v>
      </c>
      <c r="E3" s="336"/>
      <c r="F3" s="246"/>
    </row>
    <row r="4" spans="1:5" s="249" customFormat="1" ht="12.75">
      <c r="A4" s="247" t="s">
        <v>434</v>
      </c>
      <c r="B4" s="247">
        <v>1</v>
      </c>
      <c r="C4" s="247">
        <v>2400</v>
      </c>
      <c r="D4" s="247">
        <v>1</v>
      </c>
      <c r="E4" s="247">
        <v>2400</v>
      </c>
    </row>
    <row r="5" s="249" customFormat="1" ht="12.75"/>
    <row r="6" spans="1:5" s="249" customFormat="1" ht="35.25" customHeight="1">
      <c r="A6" s="244"/>
      <c r="B6" s="336" t="s">
        <v>437</v>
      </c>
      <c r="C6" s="336"/>
      <c r="D6" s="336" t="s">
        <v>438</v>
      </c>
      <c r="E6" s="336"/>
    </row>
    <row r="7" spans="1:5" s="249" customFormat="1" ht="20.25" customHeight="1">
      <c r="A7" s="244"/>
      <c r="B7" s="245" t="s">
        <v>563</v>
      </c>
      <c r="C7" s="245"/>
      <c r="D7" s="245" t="s">
        <v>563</v>
      </c>
      <c r="E7" s="245"/>
    </row>
    <row r="8" spans="1:5" s="249" customFormat="1" ht="12.75">
      <c r="A8" s="247" t="s">
        <v>106</v>
      </c>
      <c r="B8" s="80">
        <v>1</v>
      </c>
      <c r="C8" s="80">
        <v>150</v>
      </c>
      <c r="D8" s="80">
        <v>1</v>
      </c>
      <c r="E8" s="80">
        <v>150</v>
      </c>
    </row>
    <row r="9" spans="1:5" s="249" customFormat="1" ht="12.75">
      <c r="A9" s="247" t="s">
        <v>55</v>
      </c>
      <c r="B9" s="80">
        <v>1</v>
      </c>
      <c r="C9" s="80">
        <v>150</v>
      </c>
      <c r="D9" s="80">
        <v>1</v>
      </c>
      <c r="E9" s="80">
        <v>150</v>
      </c>
    </row>
    <row r="10" spans="1:5" s="249" customFormat="1" ht="12.75">
      <c r="A10" s="247" t="s">
        <v>54</v>
      </c>
      <c r="B10" s="80">
        <v>4</v>
      </c>
      <c r="C10" s="80">
        <v>300</v>
      </c>
      <c r="D10" s="80">
        <v>5</v>
      </c>
      <c r="E10" s="80">
        <v>300</v>
      </c>
    </row>
    <row r="11" spans="1:5" s="249" customFormat="1" ht="12.75">
      <c r="A11" s="247" t="s">
        <v>108</v>
      </c>
      <c r="B11" s="80">
        <v>2</v>
      </c>
      <c r="C11" s="80">
        <v>300</v>
      </c>
      <c r="D11" s="80">
        <v>2</v>
      </c>
      <c r="E11" s="80">
        <v>300</v>
      </c>
    </row>
    <row r="12" spans="1:5" s="249" customFormat="1" ht="12.75">
      <c r="A12" s="247" t="s">
        <v>434</v>
      </c>
      <c r="B12" s="247">
        <f>SUM(B8:B11)</f>
        <v>8</v>
      </c>
      <c r="C12" s="247">
        <f>C8*B8+C9*B9+C10*B10+C11*B11</f>
        <v>2100</v>
      </c>
      <c r="D12" s="247">
        <f>SUM(D8:D11)</f>
        <v>9</v>
      </c>
      <c r="E12" s="247">
        <f>E8*D8+E9*D9+E10*D10+E11*D11</f>
        <v>2400</v>
      </c>
    </row>
    <row r="14" spans="1:5" s="249" customFormat="1" ht="12.75">
      <c r="A14" s="334" t="s">
        <v>550</v>
      </c>
      <c r="B14" s="334"/>
      <c r="C14" s="334"/>
      <c r="D14" s="334"/>
      <c r="E14" s="334"/>
    </row>
    <row r="15" spans="1:5" s="249" customFormat="1" ht="57" customHeight="1">
      <c r="A15" s="247"/>
      <c r="B15" s="250" t="s">
        <v>435</v>
      </c>
      <c r="C15" s="245" t="s">
        <v>436</v>
      </c>
      <c r="D15" s="333" t="s">
        <v>223</v>
      </c>
      <c r="E15" s="333"/>
    </row>
    <row r="16" spans="1:5" s="249" customFormat="1" ht="12.75">
      <c r="A16" s="257" t="s">
        <v>518</v>
      </c>
      <c r="B16" s="251">
        <v>0.0045</v>
      </c>
      <c r="C16" s="251">
        <v>0.0045</v>
      </c>
      <c r="D16" s="251">
        <v>5000</v>
      </c>
      <c r="E16" s="251" t="s">
        <v>356</v>
      </c>
    </row>
    <row r="17" spans="1:5" s="249" customFormat="1" ht="25.5">
      <c r="A17" s="255" t="s">
        <v>546</v>
      </c>
      <c r="B17" s="251">
        <v>0.5</v>
      </c>
      <c r="C17" s="251">
        <v>0.5</v>
      </c>
      <c r="D17" s="251">
        <v>33.7</v>
      </c>
      <c r="E17" s="251" t="s">
        <v>356</v>
      </c>
    </row>
    <row r="18" spans="1:5" s="249" customFormat="1" ht="25.5">
      <c r="A18" s="255" t="s">
        <v>548</v>
      </c>
      <c r="B18" s="251">
        <v>6</v>
      </c>
      <c r="C18" s="251">
        <v>1</v>
      </c>
      <c r="D18" s="251">
        <v>1</v>
      </c>
      <c r="E18" s="251" t="s">
        <v>356</v>
      </c>
    </row>
    <row r="19" spans="1:5" s="249" customFormat="1" ht="25.5">
      <c r="A19" s="255" t="s">
        <v>547</v>
      </c>
      <c r="B19" s="251">
        <v>50</v>
      </c>
      <c r="C19" s="251">
        <v>50</v>
      </c>
      <c r="D19" s="279">
        <f>1.2*1.096*1.077</f>
        <v>1.4164704000000001</v>
      </c>
      <c r="E19" s="251" t="s">
        <v>356</v>
      </c>
    </row>
    <row r="20" spans="1:5" s="249" customFormat="1" ht="12.75">
      <c r="A20" s="257" t="s">
        <v>549</v>
      </c>
      <c r="B20" s="251">
        <v>0.0001</v>
      </c>
      <c r="C20" s="251">
        <v>1</v>
      </c>
      <c r="D20" s="252">
        <v>297</v>
      </c>
      <c r="E20" s="251" t="s">
        <v>356</v>
      </c>
    </row>
    <row r="21" spans="1:5" s="249" customFormat="1" ht="12.75">
      <c r="A21" s="257" t="s">
        <v>558</v>
      </c>
      <c r="B21" s="251">
        <v>1.3</v>
      </c>
      <c r="C21" s="251">
        <v>1.3</v>
      </c>
      <c r="D21" s="251">
        <v>50</v>
      </c>
      <c r="E21" s="251" t="s">
        <v>560</v>
      </c>
    </row>
    <row r="22" spans="1:5" s="249" customFormat="1" ht="12.75">
      <c r="A22" s="257" t="s">
        <v>559</v>
      </c>
      <c r="B22" s="251">
        <v>0.96</v>
      </c>
      <c r="C22" s="251">
        <v>0.53</v>
      </c>
      <c r="D22" s="259"/>
      <c r="E22" s="259"/>
    </row>
    <row r="23" spans="1:5" s="249" customFormat="1" ht="12.75">
      <c r="A23" s="275"/>
      <c r="B23" s="276"/>
      <c r="C23" s="276"/>
      <c r="D23" s="259"/>
      <c r="E23" s="259"/>
    </row>
    <row r="24" spans="1:5" s="249" customFormat="1" ht="12.75">
      <c r="A24" s="334" t="s">
        <v>551</v>
      </c>
      <c r="B24" s="334"/>
      <c r="C24" s="334"/>
      <c r="D24" s="334"/>
      <c r="E24" s="334"/>
    </row>
    <row r="25" spans="1:5" s="249" customFormat="1" ht="57" customHeight="1">
      <c r="A25" s="247"/>
      <c r="B25" s="250" t="s">
        <v>552</v>
      </c>
      <c r="C25" s="245" t="s">
        <v>553</v>
      </c>
      <c r="D25" s="333" t="s">
        <v>223</v>
      </c>
      <c r="E25" s="333"/>
    </row>
    <row r="26" spans="1:5" s="249" customFormat="1" ht="12.75">
      <c r="A26" s="257" t="s">
        <v>554</v>
      </c>
      <c r="B26" s="251">
        <v>30</v>
      </c>
      <c r="C26" s="251">
        <v>30</v>
      </c>
      <c r="D26" s="274"/>
      <c r="E26" s="251" t="s">
        <v>356</v>
      </c>
    </row>
    <row r="27" spans="1:5" s="249" customFormat="1" ht="25.5">
      <c r="A27" s="255" t="s">
        <v>555</v>
      </c>
      <c r="B27" s="251">
        <v>6</v>
      </c>
      <c r="C27" s="251">
        <v>6</v>
      </c>
      <c r="D27" s="251">
        <f>D17</f>
        <v>33.7</v>
      </c>
      <c r="E27" s="251" t="s">
        <v>356</v>
      </c>
    </row>
    <row r="28" spans="1:5" s="249" customFormat="1" ht="25.5">
      <c r="A28" s="255" t="s">
        <v>556</v>
      </c>
      <c r="B28" s="251">
        <v>600</v>
      </c>
      <c r="C28" s="251">
        <v>900</v>
      </c>
      <c r="D28" s="251">
        <f>D18</f>
        <v>1</v>
      </c>
      <c r="E28" s="251" t="s">
        <v>356</v>
      </c>
    </row>
    <row r="29" spans="1:5" s="249" customFormat="1" ht="12.75">
      <c r="A29" s="257" t="s">
        <v>557</v>
      </c>
      <c r="B29" s="251">
        <v>1.2</v>
      </c>
      <c r="C29" s="251">
        <v>1.2</v>
      </c>
      <c r="D29" s="252">
        <f>D20</f>
        <v>297</v>
      </c>
      <c r="E29" s="251" t="s">
        <v>356</v>
      </c>
    </row>
    <row r="30" spans="1:5" s="249" customFormat="1" ht="12.75">
      <c r="A30" s="258"/>
      <c r="B30" s="259"/>
      <c r="C30" s="259"/>
      <c r="D30" s="259"/>
      <c r="E30" s="259"/>
    </row>
    <row r="31" spans="1:3" ht="12.75">
      <c r="A31" s="253" t="s">
        <v>533</v>
      </c>
      <c r="B31" s="254"/>
      <c r="C31" s="254"/>
    </row>
    <row r="32" spans="1:3" ht="25.5">
      <c r="A32" s="245" t="s">
        <v>357</v>
      </c>
      <c r="B32" s="245" t="s">
        <v>534</v>
      </c>
      <c r="C32" s="256"/>
    </row>
    <row r="33" spans="1:3" ht="12.75">
      <c r="A33" s="245" t="s">
        <v>535</v>
      </c>
      <c r="B33" s="245">
        <v>250</v>
      </c>
      <c r="C33" s="256"/>
    </row>
    <row r="34" spans="1:2" ht="12.75">
      <c r="A34" s="260" t="s">
        <v>536</v>
      </c>
      <c r="B34" s="260">
        <v>250</v>
      </c>
    </row>
  </sheetData>
  <sheetProtection/>
  <mergeCells count="10">
    <mergeCell ref="A1:E1"/>
    <mergeCell ref="D25:E25"/>
    <mergeCell ref="A14:E14"/>
    <mergeCell ref="A24:E24"/>
    <mergeCell ref="A2:C2"/>
    <mergeCell ref="D3:E3"/>
    <mergeCell ref="B3:C3"/>
    <mergeCell ref="B6:C6"/>
    <mergeCell ref="D6:E6"/>
    <mergeCell ref="D15:E15"/>
  </mergeCells>
  <conditionalFormatting sqref="D19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&amp;LОтдел СЭР села ЯНИИСХ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"/>
  <sheetViews>
    <sheetView view="pageBreakPreview" zoomScale="64" zoomScaleSheetLayoutView="64" zoomScalePageLayoutView="80" workbookViewId="0" topLeftCell="A55">
      <selection activeCell="G53" sqref="G53"/>
    </sheetView>
  </sheetViews>
  <sheetFormatPr defaultColWidth="9.00390625" defaultRowHeight="12.75"/>
  <cols>
    <col min="1" max="1" width="35.00390625" style="71" customWidth="1"/>
    <col min="2" max="2" width="28.00390625" style="206" customWidth="1"/>
    <col min="3" max="3" width="12.25390625" style="203" customWidth="1"/>
    <col min="4" max="4" width="14.125" style="203" customWidth="1"/>
    <col min="5" max="5" width="13.125" style="203" customWidth="1"/>
    <col min="6" max="7" width="13.875" style="203" customWidth="1"/>
    <col min="8" max="8" width="11.75390625" style="203" customWidth="1"/>
    <col min="9" max="9" width="8.875" style="203" hidden="1" customWidth="1"/>
    <col min="10" max="10" width="9.125" style="203" hidden="1" customWidth="1"/>
    <col min="11" max="11" width="0" style="203" hidden="1" customWidth="1"/>
    <col min="12" max="12" width="9.125" style="203" hidden="1" customWidth="1"/>
    <col min="13" max="16384" width="9.125" style="203" customWidth="1"/>
  </cols>
  <sheetData>
    <row r="1" spans="1:8" ht="15.75">
      <c r="A1" s="339" t="s">
        <v>574</v>
      </c>
      <c r="B1" s="339"/>
      <c r="C1" s="339"/>
      <c r="D1" s="339"/>
      <c r="E1" s="339"/>
      <c r="F1" s="339"/>
      <c r="G1" s="339"/>
      <c r="H1" s="339"/>
    </row>
    <row r="2" spans="1:3" ht="15.75">
      <c r="A2" s="340" t="s">
        <v>646</v>
      </c>
      <c r="B2" s="340"/>
      <c r="C2" s="340"/>
    </row>
    <row r="3" spans="1:3" ht="41.25" customHeight="1">
      <c r="A3" s="194" t="s">
        <v>473</v>
      </c>
      <c r="B3" s="195">
        <f>B4*B9</f>
        <v>40605</v>
      </c>
      <c r="C3" s="195" t="s">
        <v>474</v>
      </c>
    </row>
    <row r="4" spans="1:3" ht="72.75" customHeight="1">
      <c r="A4" s="194" t="s">
        <v>647</v>
      </c>
      <c r="B4" s="195">
        <v>16242</v>
      </c>
      <c r="C4" s="195" t="s">
        <v>474</v>
      </c>
    </row>
    <row r="5" spans="1:3" ht="46.5" customHeight="1">
      <c r="A5" s="194" t="s">
        <v>648</v>
      </c>
      <c r="B5" s="215">
        <v>1973</v>
      </c>
      <c r="C5" s="195" t="s">
        <v>475</v>
      </c>
    </row>
    <row r="6" spans="1:3" ht="21" customHeight="1">
      <c r="A6" s="194" t="s">
        <v>476</v>
      </c>
      <c r="B6" s="196">
        <f>B5/12</f>
        <v>164.41666666666666</v>
      </c>
      <c r="C6" s="195" t="s">
        <v>475</v>
      </c>
    </row>
    <row r="7" spans="1:3" ht="47.25">
      <c r="A7" s="194" t="s">
        <v>649</v>
      </c>
      <c r="B7" s="216">
        <v>247</v>
      </c>
      <c r="C7" s="195" t="s">
        <v>477</v>
      </c>
    </row>
    <row r="8" spans="1:3" ht="31.5">
      <c r="A8" s="194" t="s">
        <v>478</v>
      </c>
      <c r="B8" s="197">
        <f>B7/12</f>
        <v>20.583333333333332</v>
      </c>
      <c r="C8" s="195" t="s">
        <v>477</v>
      </c>
    </row>
    <row r="9" spans="1:3" ht="31.5">
      <c r="A9" s="220" t="s">
        <v>19</v>
      </c>
      <c r="B9" s="197">
        <v>2.5</v>
      </c>
      <c r="C9" s="195"/>
    </row>
    <row r="10" spans="1:3" ht="31.5">
      <c r="A10" s="221" t="s">
        <v>520</v>
      </c>
      <c r="B10" s="328">
        <f>B6/B8</f>
        <v>7.987854251012146</v>
      </c>
      <c r="C10" s="195" t="s">
        <v>475</v>
      </c>
    </row>
    <row r="11" ht="15.75"/>
    <row r="12" spans="1:8" ht="15.75">
      <c r="A12" s="352" t="s">
        <v>188</v>
      </c>
      <c r="B12" s="352"/>
      <c r="C12" s="352"/>
      <c r="D12" s="352"/>
      <c r="E12" s="352"/>
      <c r="F12" s="352"/>
      <c r="G12" s="352"/>
      <c r="H12" s="352"/>
    </row>
    <row r="13" spans="1:8" s="185" customFormat="1" ht="15.75">
      <c r="A13" s="345" t="s">
        <v>189</v>
      </c>
      <c r="B13" s="345" t="s">
        <v>190</v>
      </c>
      <c r="C13" s="345" t="s">
        <v>191</v>
      </c>
      <c r="D13" s="345"/>
      <c r="E13" s="345"/>
      <c r="F13" s="345"/>
      <c r="G13" s="345"/>
      <c r="H13" s="345"/>
    </row>
    <row r="14" spans="1:8" s="185" customFormat="1" ht="15.75">
      <c r="A14" s="345"/>
      <c r="B14" s="345"/>
      <c r="C14" s="73">
        <v>1</v>
      </c>
      <c r="D14" s="73">
        <v>2</v>
      </c>
      <c r="E14" s="73">
        <v>3</v>
      </c>
      <c r="F14" s="73">
        <v>4</v>
      </c>
      <c r="G14" s="73">
        <v>5</v>
      </c>
      <c r="H14" s="73">
        <v>6</v>
      </c>
    </row>
    <row r="15" spans="1:11" ht="17.25" customHeight="1">
      <c r="A15" s="344" t="s">
        <v>459</v>
      </c>
      <c r="B15" s="72" t="s">
        <v>192</v>
      </c>
      <c r="C15" s="329">
        <v>1.18</v>
      </c>
      <c r="D15" s="329">
        <v>1.28</v>
      </c>
      <c r="E15" s="329">
        <v>1.4</v>
      </c>
      <c r="F15" s="329">
        <v>1.58</v>
      </c>
      <c r="G15" s="329">
        <v>1.82</v>
      </c>
      <c r="H15" s="329">
        <v>2.12</v>
      </c>
      <c r="K15" s="204">
        <v>666</v>
      </c>
    </row>
    <row r="16" spans="1:8" ht="16.5" customHeight="1">
      <c r="A16" s="344"/>
      <c r="B16" s="205" t="s">
        <v>193</v>
      </c>
      <c r="C16" s="329">
        <f>B4*C15</f>
        <v>19165.559999999998</v>
      </c>
      <c r="D16" s="329">
        <f>B4*D15</f>
        <v>20789.760000000002</v>
      </c>
      <c r="E16" s="329">
        <f>B4*E15</f>
        <v>22738.8</v>
      </c>
      <c r="F16" s="329">
        <f>B4*F15</f>
        <v>25662.36</v>
      </c>
      <c r="G16" s="329">
        <f>B4*G15</f>
        <v>29560.440000000002</v>
      </c>
      <c r="H16" s="329">
        <f>B4*H15</f>
        <v>34433.04</v>
      </c>
    </row>
    <row r="17" spans="1:8" ht="33" customHeight="1">
      <c r="A17" s="344"/>
      <c r="B17" s="205" t="s">
        <v>194</v>
      </c>
      <c r="C17" s="329">
        <f>C16/B8</f>
        <v>931.1203238866397</v>
      </c>
      <c r="D17" s="329">
        <f>D16/B8</f>
        <v>1010.0288259109313</v>
      </c>
      <c r="E17" s="329">
        <f>E16/B8</f>
        <v>1104.719028340081</v>
      </c>
      <c r="F17" s="329">
        <f>F16/B8</f>
        <v>1246.7543319838057</v>
      </c>
      <c r="G17" s="329">
        <f>G16/B8</f>
        <v>1436.1347368421054</v>
      </c>
      <c r="H17" s="329">
        <f>H16/B8</f>
        <v>1672.8602429149798</v>
      </c>
    </row>
    <row r="18" spans="1:8" ht="15.75">
      <c r="A18" s="344"/>
      <c r="B18" s="205" t="s">
        <v>195</v>
      </c>
      <c r="C18" s="329">
        <f>C16/B6</f>
        <v>116.56701469842878</v>
      </c>
      <c r="D18" s="329">
        <f>D16/B6</f>
        <v>126.44557526609226</v>
      </c>
      <c r="E18" s="329">
        <f>E16/B6</f>
        <v>138.29984794728838</v>
      </c>
      <c r="F18" s="329">
        <f>F16/B6</f>
        <v>156.08125696908263</v>
      </c>
      <c r="G18" s="329">
        <f>G16/B6</f>
        <v>179.78980233147493</v>
      </c>
      <c r="H18" s="329">
        <f>H16/B6</f>
        <v>209.42548403446528</v>
      </c>
    </row>
    <row r="19" spans="1:8" ht="15.75">
      <c r="A19" s="344" t="s">
        <v>457</v>
      </c>
      <c r="B19" s="72" t="s">
        <v>192</v>
      </c>
      <c r="C19" s="329">
        <v>1.3</v>
      </c>
      <c r="D19" s="329">
        <v>1.4</v>
      </c>
      <c r="E19" s="329">
        <v>1.56</v>
      </c>
      <c r="F19" s="329">
        <v>1.76</v>
      </c>
      <c r="G19" s="329">
        <v>2</v>
      </c>
      <c r="H19" s="329">
        <v>2.34</v>
      </c>
    </row>
    <row r="20" spans="1:8" ht="31.5">
      <c r="A20" s="344"/>
      <c r="B20" s="205" t="s">
        <v>193</v>
      </c>
      <c r="C20" s="329">
        <f>B4*C19</f>
        <v>21114.600000000002</v>
      </c>
      <c r="D20" s="329">
        <f>B4*D19</f>
        <v>22738.8</v>
      </c>
      <c r="E20" s="329">
        <f>B4*E19</f>
        <v>25337.52</v>
      </c>
      <c r="F20" s="329">
        <f>B4*F19</f>
        <v>28585.920000000002</v>
      </c>
      <c r="G20" s="329">
        <f>B4*G19</f>
        <v>32484</v>
      </c>
      <c r="H20" s="329">
        <f>B4*H19</f>
        <v>38006.28</v>
      </c>
    </row>
    <row r="21" spans="1:8" ht="31.5">
      <c r="A21" s="344"/>
      <c r="B21" s="205" t="s">
        <v>194</v>
      </c>
      <c r="C21" s="329">
        <f>C20/B8</f>
        <v>1025.8105263157897</v>
      </c>
      <c r="D21" s="329">
        <f>D20/B8</f>
        <v>1104.719028340081</v>
      </c>
      <c r="E21" s="329">
        <f>E20/B8</f>
        <v>1230.9726315789474</v>
      </c>
      <c r="F21" s="329">
        <f>F20/B8</f>
        <v>1388.7896356275305</v>
      </c>
      <c r="G21" s="329">
        <f>G20/B8</f>
        <v>1578.17004048583</v>
      </c>
      <c r="H21" s="329">
        <f>H20/B8</f>
        <v>1846.4589473684211</v>
      </c>
    </row>
    <row r="22" spans="1:8" ht="15.75">
      <c r="A22" s="344"/>
      <c r="B22" s="205" t="s">
        <v>195</v>
      </c>
      <c r="C22" s="329">
        <f>C20/B6</f>
        <v>128.42128737962497</v>
      </c>
      <c r="D22" s="329">
        <f>D20/B6</f>
        <v>138.29984794728838</v>
      </c>
      <c r="E22" s="329">
        <f>E20/B6</f>
        <v>154.10554485554994</v>
      </c>
      <c r="F22" s="329">
        <f>F20/B6</f>
        <v>173.86266599087685</v>
      </c>
      <c r="G22" s="329">
        <f>G20/B6</f>
        <v>197.57121135326915</v>
      </c>
      <c r="H22" s="329">
        <f>H20/B6</f>
        <v>231.1583172833249</v>
      </c>
    </row>
    <row r="23" spans="1:8" ht="15.75">
      <c r="A23" s="344" t="s">
        <v>458</v>
      </c>
      <c r="B23" s="72" t="s">
        <v>192</v>
      </c>
      <c r="C23" s="329">
        <v>1.44</v>
      </c>
      <c r="D23" s="329">
        <v>1.56</v>
      </c>
      <c r="E23" s="329">
        <v>1.72</v>
      </c>
      <c r="F23" s="329">
        <v>1.94</v>
      </c>
      <c r="G23" s="329">
        <v>2.22</v>
      </c>
      <c r="H23" s="329">
        <v>2.58</v>
      </c>
    </row>
    <row r="24" spans="1:8" ht="31.5">
      <c r="A24" s="344"/>
      <c r="B24" s="205" t="s">
        <v>193</v>
      </c>
      <c r="C24" s="329">
        <f>B4*C23</f>
        <v>23388.48</v>
      </c>
      <c r="D24" s="329">
        <f>B4*D23</f>
        <v>25337.52</v>
      </c>
      <c r="E24" s="329">
        <f>B4*E23</f>
        <v>27936.239999999998</v>
      </c>
      <c r="F24" s="329">
        <f>B4*F23</f>
        <v>31509.48</v>
      </c>
      <c r="G24" s="329">
        <f>B4*G23</f>
        <v>36057.240000000005</v>
      </c>
      <c r="H24" s="329">
        <f>B4*H23</f>
        <v>41904.36</v>
      </c>
    </row>
    <row r="25" spans="1:8" ht="31.5">
      <c r="A25" s="344"/>
      <c r="B25" s="205" t="s">
        <v>194</v>
      </c>
      <c r="C25" s="329">
        <f>C24/B8</f>
        <v>1136.2824291497975</v>
      </c>
      <c r="D25" s="329">
        <f>D24/B8</f>
        <v>1230.9726315789474</v>
      </c>
      <c r="E25" s="329">
        <f>E24/B8</f>
        <v>1357.2262348178137</v>
      </c>
      <c r="F25" s="329">
        <f>F24/B8</f>
        <v>1530.824939271255</v>
      </c>
      <c r="G25" s="329">
        <f>G24/B8</f>
        <v>1751.7687449392715</v>
      </c>
      <c r="H25" s="329">
        <f>H24/B8</f>
        <v>2035.8393522267208</v>
      </c>
    </row>
    <row r="26" spans="1:8" ht="15.75">
      <c r="A26" s="344"/>
      <c r="B26" s="205" t="s">
        <v>195</v>
      </c>
      <c r="C26" s="329">
        <f>C24/B6</f>
        <v>142.25127217435377</v>
      </c>
      <c r="D26" s="329">
        <f>D24/B6</f>
        <v>154.10554485554994</v>
      </c>
      <c r="E26" s="329">
        <f>E24/B6</f>
        <v>169.91124176381146</v>
      </c>
      <c r="F26" s="329">
        <f>F24/B6</f>
        <v>191.64407501267107</v>
      </c>
      <c r="G26" s="329">
        <f>G24/B6</f>
        <v>219.30404460212878</v>
      </c>
      <c r="H26" s="329">
        <f>H24/B6</f>
        <v>254.8668626457172</v>
      </c>
    </row>
    <row r="27" spans="1:8" ht="16.5" customHeight="1">
      <c r="A27" s="344" t="s">
        <v>460</v>
      </c>
      <c r="B27" s="72" t="s">
        <v>192</v>
      </c>
      <c r="C27" s="329">
        <v>1.027</v>
      </c>
      <c r="D27" s="329">
        <v>1.118</v>
      </c>
      <c r="E27" s="329">
        <v>1.215</v>
      </c>
      <c r="F27" s="329">
        <v>1.343</v>
      </c>
      <c r="G27" s="329">
        <v>1.512</v>
      </c>
      <c r="H27" s="329">
        <v>1.761</v>
      </c>
    </row>
    <row r="28" spans="1:8" ht="31.5">
      <c r="A28" s="344"/>
      <c r="B28" s="205" t="s">
        <v>193</v>
      </c>
      <c r="C28" s="329">
        <f>B4*C27</f>
        <v>16680.534</v>
      </c>
      <c r="D28" s="329">
        <f>B4*D27</f>
        <v>18158.556</v>
      </c>
      <c r="E28" s="329">
        <f>B4*E27</f>
        <v>19734.030000000002</v>
      </c>
      <c r="F28" s="329">
        <f>B4*F27</f>
        <v>21813.006</v>
      </c>
      <c r="G28" s="329">
        <f>B4*G27</f>
        <v>24557.904</v>
      </c>
      <c r="H28" s="329">
        <f>B4*H27</f>
        <v>28602.161999999997</v>
      </c>
    </row>
    <row r="29" spans="1:8" ht="20.25" customHeight="1">
      <c r="A29" s="344"/>
      <c r="B29" s="205" t="s">
        <v>194</v>
      </c>
      <c r="C29" s="329">
        <f>C28/B8</f>
        <v>810.3903157894737</v>
      </c>
      <c r="D29" s="329">
        <f>D28/B8</f>
        <v>882.197052631579</v>
      </c>
      <c r="E29" s="329">
        <f>E28/B8</f>
        <v>958.7382995951418</v>
      </c>
      <c r="F29" s="329">
        <f>F28/B8</f>
        <v>1059.741182186235</v>
      </c>
      <c r="G29" s="329">
        <f>G28/B8</f>
        <v>1193.0965506072876</v>
      </c>
      <c r="H29" s="329">
        <f>H28/B8</f>
        <v>1389.5787206477733</v>
      </c>
    </row>
    <row r="30" spans="1:8" ht="15.75">
      <c r="A30" s="344"/>
      <c r="B30" s="292" t="s">
        <v>195</v>
      </c>
      <c r="C30" s="329">
        <f>C28/B6</f>
        <v>101.4528170299037</v>
      </c>
      <c r="D30" s="329">
        <f>D28/B6</f>
        <v>110.44230714647746</v>
      </c>
      <c r="E30" s="329">
        <f>E28/B6</f>
        <v>120.02451089711101</v>
      </c>
      <c r="F30" s="329">
        <f>F28/B6</f>
        <v>132.66906842372023</v>
      </c>
      <c r="G30" s="329">
        <f>G28/B6</f>
        <v>149.36383578307147</v>
      </c>
      <c r="H30" s="329">
        <f>H28/B6</f>
        <v>173.96145159655347</v>
      </c>
    </row>
    <row r="31" spans="1:8" ht="16.5" customHeight="1">
      <c r="A31" s="344" t="s">
        <v>461</v>
      </c>
      <c r="B31" s="72" t="s">
        <v>192</v>
      </c>
      <c r="C31" s="329">
        <v>1</v>
      </c>
      <c r="D31" s="329">
        <v>1.07</v>
      </c>
      <c r="E31" s="329">
        <v>1.15</v>
      </c>
      <c r="F31" s="329">
        <v>1.25</v>
      </c>
      <c r="G31" s="329">
        <v>1.38</v>
      </c>
      <c r="H31" s="329">
        <v>1.58</v>
      </c>
    </row>
    <row r="32" spans="1:8" ht="31.5">
      <c r="A32" s="344"/>
      <c r="B32" s="205" t="s">
        <v>193</v>
      </c>
      <c r="C32" s="329">
        <f>B4*C31</f>
        <v>16242</v>
      </c>
      <c r="D32" s="329">
        <f>B4*D31</f>
        <v>17378.940000000002</v>
      </c>
      <c r="E32" s="329">
        <f>B4*E31</f>
        <v>18678.3</v>
      </c>
      <c r="F32" s="329">
        <f>B4*F31</f>
        <v>20302.5</v>
      </c>
      <c r="G32" s="329">
        <f>B4*G31</f>
        <v>22413.96</v>
      </c>
      <c r="H32" s="329">
        <f>B4*H31</f>
        <v>25662.36</v>
      </c>
    </row>
    <row r="33" spans="1:8" ht="31.5">
      <c r="A33" s="344"/>
      <c r="B33" s="205" t="s">
        <v>194</v>
      </c>
      <c r="C33" s="329">
        <f>C32/B8</f>
        <v>789.085020242915</v>
      </c>
      <c r="D33" s="329">
        <f>D32/B8</f>
        <v>844.3209716599192</v>
      </c>
      <c r="E33" s="329">
        <f>E32/B8</f>
        <v>907.4477732793522</v>
      </c>
      <c r="F33" s="329">
        <f>F32/B8</f>
        <v>986.3562753036438</v>
      </c>
      <c r="G33" s="329">
        <f>G32/B8</f>
        <v>1088.9373279352226</v>
      </c>
      <c r="H33" s="329">
        <f>H32/B8</f>
        <v>1246.7543319838057</v>
      </c>
    </row>
    <row r="34" spans="1:8" ht="15.75">
      <c r="A34" s="344"/>
      <c r="B34" s="72" t="s">
        <v>195</v>
      </c>
      <c r="C34" s="329">
        <f>C32/B6</f>
        <v>98.78560567663457</v>
      </c>
      <c r="D34" s="329">
        <f>D32/B6</f>
        <v>105.700598073999</v>
      </c>
      <c r="E34" s="329">
        <f>E32/B6</f>
        <v>113.60344652812975</v>
      </c>
      <c r="F34" s="329">
        <f>F32/B6</f>
        <v>123.48200709579322</v>
      </c>
      <c r="G34" s="329">
        <f>G32/B6</f>
        <v>136.3241358337557</v>
      </c>
      <c r="H34" s="329">
        <f>H32/B6</f>
        <v>156.08125696908263</v>
      </c>
    </row>
    <row r="35" spans="1:8" ht="15.75">
      <c r="A35" s="222"/>
      <c r="B35" s="222"/>
      <c r="C35" s="223"/>
      <c r="D35" s="223"/>
      <c r="E35" s="223"/>
      <c r="F35" s="223"/>
      <c r="G35" s="223"/>
      <c r="H35" s="223"/>
    </row>
    <row r="36" ht="15.75">
      <c r="A36" s="224" t="s">
        <v>521</v>
      </c>
    </row>
    <row r="37" spans="1:5" ht="17.25" customHeight="1">
      <c r="A37" s="290" t="s">
        <v>522</v>
      </c>
      <c r="B37" s="290" t="s">
        <v>523</v>
      </c>
      <c r="C37" s="353" t="s">
        <v>524</v>
      </c>
      <c r="D37" s="353"/>
      <c r="E37" s="353"/>
    </row>
    <row r="38" spans="1:5" ht="136.5" customHeight="1">
      <c r="A38" s="291" t="s">
        <v>525</v>
      </c>
      <c r="B38" s="291" t="s">
        <v>526</v>
      </c>
      <c r="C38" s="343" t="s">
        <v>527</v>
      </c>
      <c r="D38" s="343"/>
      <c r="E38" s="343"/>
    </row>
    <row r="39" spans="1:5" ht="69.75" customHeight="1">
      <c r="A39" s="291" t="s">
        <v>528</v>
      </c>
      <c r="B39" s="291" t="s">
        <v>529</v>
      </c>
      <c r="C39" s="343" t="s">
        <v>530</v>
      </c>
      <c r="D39" s="343"/>
      <c r="E39" s="343"/>
    </row>
    <row r="40" spans="1:8" ht="15.75">
      <c r="A40" s="222"/>
      <c r="B40" s="222"/>
      <c r="C40" s="223"/>
      <c r="D40" s="223"/>
      <c r="E40" s="223"/>
      <c r="F40" s="223"/>
      <c r="G40" s="223"/>
      <c r="H40" s="223"/>
    </row>
    <row r="41" spans="1:4" ht="15.75">
      <c r="A41" s="348" t="s">
        <v>200</v>
      </c>
      <c r="B41" s="348"/>
      <c r="C41" s="348"/>
      <c r="D41" s="348"/>
    </row>
    <row r="42" spans="1:4" ht="51" customHeight="1">
      <c r="A42" s="345" t="s">
        <v>201</v>
      </c>
      <c r="B42" s="345"/>
      <c r="C42" s="345" t="s">
        <v>206</v>
      </c>
      <c r="D42" s="345"/>
    </row>
    <row r="43" spans="1:5" ht="32.25" customHeight="1">
      <c r="A43" s="344" t="s">
        <v>202</v>
      </c>
      <c r="B43" s="344"/>
      <c r="C43" s="342"/>
      <c r="D43" s="342"/>
      <c r="E43" s="203">
        <v>26</v>
      </c>
    </row>
    <row r="44" spans="1:5" ht="31.5" customHeight="1">
      <c r="A44" s="344" t="s">
        <v>203</v>
      </c>
      <c r="B44" s="344"/>
      <c r="C44" s="342"/>
      <c r="D44" s="342"/>
      <c r="E44" s="203">
        <v>27</v>
      </c>
    </row>
    <row r="45" spans="1:5" ht="60.75" customHeight="1">
      <c r="A45" s="344" t="s">
        <v>204</v>
      </c>
      <c r="B45" s="344"/>
      <c r="C45" s="342"/>
      <c r="D45" s="342"/>
      <c r="E45" s="203">
        <v>28</v>
      </c>
    </row>
    <row r="46" spans="1:5" ht="28.5" customHeight="1">
      <c r="A46" s="344" t="s">
        <v>207</v>
      </c>
      <c r="B46" s="344"/>
      <c r="C46" s="342">
        <v>30</v>
      </c>
      <c r="D46" s="342"/>
      <c r="E46" s="203">
        <v>29</v>
      </c>
    </row>
    <row r="47" spans="1:5" ht="29.25" customHeight="1">
      <c r="A47" s="344" t="s">
        <v>205</v>
      </c>
      <c r="B47" s="344"/>
      <c r="C47" s="342">
        <v>100</v>
      </c>
      <c r="D47" s="342"/>
      <c r="E47" s="203">
        <v>30</v>
      </c>
    </row>
    <row r="48" ht="15.75"/>
    <row r="49" spans="1:4" ht="21.75" customHeight="1">
      <c r="A49" s="341" t="s">
        <v>198</v>
      </c>
      <c r="B49" s="341"/>
      <c r="C49" s="341"/>
      <c r="D49" s="341"/>
    </row>
    <row r="50" spans="1:2" ht="31.5">
      <c r="A50" s="73" t="s">
        <v>210</v>
      </c>
      <c r="B50" s="73" t="s">
        <v>211</v>
      </c>
    </row>
    <row r="51" spans="1:2" ht="15.75">
      <c r="A51" s="72" t="s">
        <v>212</v>
      </c>
      <c r="B51" s="73">
        <v>10</v>
      </c>
    </row>
    <row r="52" spans="1:2" ht="15.75">
      <c r="A52" s="76" t="s">
        <v>213</v>
      </c>
      <c r="B52" s="73">
        <v>15</v>
      </c>
    </row>
    <row r="53" spans="1:2" ht="15.75">
      <c r="A53" s="72" t="s">
        <v>214</v>
      </c>
      <c r="B53" s="73">
        <v>20</v>
      </c>
    </row>
    <row r="54" spans="1:2" ht="15.75">
      <c r="A54" s="72" t="s">
        <v>215</v>
      </c>
      <c r="B54" s="73">
        <v>25</v>
      </c>
    </row>
    <row r="55" spans="1:2" ht="15.75">
      <c r="A55" s="72" t="s">
        <v>216</v>
      </c>
      <c r="B55" s="73">
        <v>30</v>
      </c>
    </row>
    <row r="56" ht="15.75"/>
    <row r="57" spans="1:9" ht="15.75">
      <c r="A57" s="261"/>
      <c r="B57" s="262"/>
      <c r="C57" s="262"/>
      <c r="D57" s="262"/>
      <c r="E57" s="262"/>
      <c r="F57" s="262"/>
      <c r="G57" s="262"/>
      <c r="H57" s="262"/>
      <c r="I57" s="263"/>
    </row>
    <row r="58" spans="1:3" s="70" customFormat="1" ht="15.75">
      <c r="A58" s="347" t="s">
        <v>561</v>
      </c>
      <c r="B58" s="347"/>
      <c r="C58" s="347"/>
    </row>
    <row r="59" spans="1:14" s="185" customFormat="1" ht="15.75" customHeight="1">
      <c r="A59" s="264" t="s">
        <v>217</v>
      </c>
      <c r="B59" s="265" t="s">
        <v>187</v>
      </c>
      <c r="C59" s="265" t="s">
        <v>186</v>
      </c>
      <c r="D59" s="266"/>
      <c r="E59" s="266"/>
      <c r="F59" s="266"/>
      <c r="G59" s="266"/>
      <c r="H59" s="266"/>
      <c r="I59" s="266"/>
      <c r="J59" s="266"/>
      <c r="K59" s="266" t="s">
        <v>10</v>
      </c>
      <c r="L59" s="266" t="s">
        <v>9</v>
      </c>
      <c r="M59" s="266"/>
      <c r="N59" s="266"/>
    </row>
    <row r="60" spans="1:14" s="70" customFormat="1" ht="15.75">
      <c r="A60" s="267" t="s">
        <v>185</v>
      </c>
      <c r="B60" s="268">
        <v>0.82</v>
      </c>
      <c r="C60" s="265">
        <v>0.84</v>
      </c>
      <c r="D60" s="269"/>
      <c r="E60" s="269"/>
      <c r="F60" s="269"/>
      <c r="G60" s="269" t="s">
        <v>11</v>
      </c>
      <c r="H60" s="269" t="s">
        <v>5</v>
      </c>
      <c r="I60" s="269" t="s">
        <v>6</v>
      </c>
      <c r="J60" s="269" t="s">
        <v>7</v>
      </c>
      <c r="K60" s="269" t="s">
        <v>8</v>
      </c>
      <c r="L60" s="269"/>
      <c r="M60" s="269"/>
      <c r="N60" s="269"/>
    </row>
    <row r="61" spans="1:2" s="70" customFormat="1" ht="15.75">
      <c r="A61" s="222"/>
      <c r="B61" s="270"/>
    </row>
    <row r="62" spans="1:11" s="70" customFormat="1" ht="15.75">
      <c r="A62" s="295" t="s">
        <v>578</v>
      </c>
      <c r="B62"/>
      <c r="C62"/>
      <c r="D62"/>
      <c r="E62"/>
      <c r="F62"/>
      <c r="G62"/>
      <c r="H62"/>
      <c r="I62"/>
      <c r="J62"/>
      <c r="K62"/>
    </row>
    <row r="63" spans="1:11" s="70" customFormat="1" ht="15.75">
      <c r="A63" s="260" t="s">
        <v>579</v>
      </c>
      <c r="B63" s="260" t="s">
        <v>580</v>
      </c>
      <c r="C63"/>
      <c r="D63"/>
      <c r="E63"/>
      <c r="F63"/>
      <c r="G63"/>
      <c r="H63"/>
      <c r="I63"/>
      <c r="J63"/>
      <c r="K63"/>
    </row>
    <row r="64" spans="1:11" s="70" customFormat="1" ht="15.75">
      <c r="A64" s="296" t="s">
        <v>581</v>
      </c>
      <c r="B64" s="297">
        <v>13680</v>
      </c>
      <c r="C64"/>
      <c r="D64"/>
      <c r="E64"/>
      <c r="F64"/>
      <c r="G64"/>
      <c r="H64"/>
      <c r="I64"/>
      <c r="J64"/>
      <c r="K64"/>
    </row>
    <row r="65" spans="1:11" s="70" customFormat="1" ht="15.75">
      <c r="A65" s="298" t="s">
        <v>582</v>
      </c>
      <c r="B65" s="299">
        <f>130*100</f>
        <v>13000</v>
      </c>
      <c r="C65"/>
      <c r="D65"/>
      <c r="E65"/>
      <c r="F65"/>
      <c r="G65"/>
      <c r="H65"/>
      <c r="I65"/>
      <c r="J65"/>
      <c r="K65"/>
    </row>
    <row r="66" spans="1:11" s="70" customFormat="1" ht="15.75">
      <c r="A66" s="298" t="s">
        <v>583</v>
      </c>
      <c r="B66" s="297">
        <f>220*100</f>
        <v>22000</v>
      </c>
      <c r="C66"/>
      <c r="D66"/>
      <c r="E66"/>
      <c r="F66"/>
      <c r="G66"/>
      <c r="H66"/>
      <c r="I66"/>
      <c r="J66"/>
      <c r="K66"/>
    </row>
    <row r="67" spans="1:11" s="70" customFormat="1" ht="15.75">
      <c r="A67"/>
      <c r="B67"/>
      <c r="C67"/>
      <c r="D67"/>
      <c r="E67"/>
      <c r="F67"/>
      <c r="G67"/>
      <c r="H67"/>
      <c r="I67"/>
      <c r="J67"/>
      <c r="K67"/>
    </row>
    <row r="68" spans="1:11" s="70" customFormat="1" ht="15.75">
      <c r="A68" s="295" t="s">
        <v>650</v>
      </c>
      <c r="B68" s="248"/>
      <c r="C68" s="248"/>
      <c r="D68" s="248"/>
      <c r="H68"/>
      <c r="I68"/>
      <c r="J68"/>
      <c r="K68"/>
    </row>
    <row r="69" spans="1:11" s="70" customFormat="1" ht="22.5" customHeight="1">
      <c r="A69" s="245" t="s">
        <v>562</v>
      </c>
      <c r="B69" s="245" t="s">
        <v>584</v>
      </c>
      <c r="C69" s="245" t="s">
        <v>585</v>
      </c>
      <c r="D69" s="245" t="s">
        <v>586</v>
      </c>
      <c r="E69" s="300"/>
      <c r="F69" s="301"/>
      <c r="G69" s="301"/>
      <c r="H69"/>
      <c r="I69"/>
      <c r="J69"/>
      <c r="K69"/>
    </row>
    <row r="70" spans="1:11" s="70" customFormat="1" ht="18.75" customHeight="1">
      <c r="A70" s="245" t="s">
        <v>587</v>
      </c>
      <c r="B70" s="245">
        <v>75</v>
      </c>
      <c r="C70" s="330">
        <f>B70/B60</f>
        <v>91.46341463414635</v>
      </c>
      <c r="D70" s="331">
        <f>B70/C60</f>
        <v>89.28571428571429</v>
      </c>
      <c r="E70" s="302"/>
      <c r="F70" s="301"/>
      <c r="G70" s="301"/>
      <c r="H70"/>
      <c r="I70"/>
      <c r="J70"/>
      <c r="K70"/>
    </row>
    <row r="71" spans="1:6" s="70" customFormat="1" ht="15.75">
      <c r="A71" s="271"/>
      <c r="B71" s="272"/>
      <c r="C71" s="272"/>
      <c r="D71" s="272"/>
      <c r="E71" s="272"/>
      <c r="F71" s="272"/>
    </row>
    <row r="72" spans="1:11" s="70" customFormat="1" ht="15.75">
      <c r="A72" s="295" t="s">
        <v>588</v>
      </c>
      <c r="B72"/>
      <c r="C72"/>
      <c r="D72"/>
      <c r="E72"/>
      <c r="F72"/>
      <c r="G72"/>
      <c r="H72"/>
      <c r="I72"/>
      <c r="J72"/>
      <c r="K72"/>
    </row>
    <row r="73" spans="1:13" s="70" customFormat="1" ht="25.5">
      <c r="A73" s="245"/>
      <c r="B73" s="245" t="s">
        <v>589</v>
      </c>
      <c r="C73" s="245" t="s">
        <v>131</v>
      </c>
      <c r="D73" s="245" t="s">
        <v>590</v>
      </c>
      <c r="E73" s="245" t="s">
        <v>591</v>
      </c>
      <c r="F73" s="245" t="s">
        <v>592</v>
      </c>
      <c r="G73" s="245" t="s">
        <v>593</v>
      </c>
      <c r="H73" s="245" t="s">
        <v>594</v>
      </c>
      <c r="I73" s="245" t="s">
        <v>595</v>
      </c>
      <c r="J73"/>
      <c r="K73"/>
      <c r="M73" s="245" t="s">
        <v>595</v>
      </c>
    </row>
    <row r="74" spans="1:11" s="70" customFormat="1" ht="12.75" customHeight="1">
      <c r="A74" s="337" t="s">
        <v>596</v>
      </c>
      <c r="B74" s="346"/>
      <c r="C74" s="346"/>
      <c r="D74" s="346"/>
      <c r="E74" s="346"/>
      <c r="F74" s="346"/>
      <c r="G74" s="346"/>
      <c r="H74" s="346"/>
      <c r="I74" s="338"/>
      <c r="J74"/>
      <c r="K74"/>
    </row>
    <row r="75" spans="1:13" s="70" customFormat="1" ht="12.75" customHeight="1">
      <c r="A75" s="303" t="s">
        <v>581</v>
      </c>
      <c r="B75" s="245">
        <v>4.4</v>
      </c>
      <c r="C75" s="245">
        <v>4.2</v>
      </c>
      <c r="D75" s="245">
        <v>4.1</v>
      </c>
      <c r="E75" s="245">
        <v>3.6</v>
      </c>
      <c r="F75" s="245">
        <v>3.5</v>
      </c>
      <c r="G75" s="245">
        <v>3.5</v>
      </c>
      <c r="H75" s="245">
        <v>4.1</v>
      </c>
      <c r="I75" s="245">
        <v>4.1</v>
      </c>
      <c r="J75"/>
      <c r="K75"/>
      <c r="M75" s="245">
        <v>4.1</v>
      </c>
    </row>
    <row r="76" spans="1:13" s="70" customFormat="1" ht="12.75" customHeight="1">
      <c r="A76" s="304" t="s">
        <v>582</v>
      </c>
      <c r="B76" s="245">
        <v>0.9</v>
      </c>
      <c r="C76" s="245">
        <v>0.9</v>
      </c>
      <c r="D76" s="245">
        <v>0.4</v>
      </c>
      <c r="E76" s="245">
        <v>0.4</v>
      </c>
      <c r="F76" s="245">
        <v>0.6</v>
      </c>
      <c r="G76" s="245">
        <v>1</v>
      </c>
      <c r="H76" s="245">
        <v>1</v>
      </c>
      <c r="I76" s="245">
        <v>0.7</v>
      </c>
      <c r="J76"/>
      <c r="K76"/>
      <c r="M76" s="245">
        <v>0.7</v>
      </c>
    </row>
    <row r="77" spans="1:13" s="70" customFormat="1" ht="12.75" customHeight="1">
      <c r="A77" s="305" t="s">
        <v>583</v>
      </c>
      <c r="B77" s="245">
        <v>0</v>
      </c>
      <c r="C77" s="245">
        <v>0</v>
      </c>
      <c r="D77" s="245">
        <v>0.2</v>
      </c>
      <c r="E77" s="245">
        <v>0.02</v>
      </c>
      <c r="F77" s="245">
        <v>0.4</v>
      </c>
      <c r="G77" s="245">
        <v>0.1</v>
      </c>
      <c r="H77" s="245">
        <v>0.1</v>
      </c>
      <c r="I77" s="245">
        <v>0</v>
      </c>
      <c r="J77"/>
      <c r="K77"/>
      <c r="M77" s="245">
        <v>0</v>
      </c>
    </row>
    <row r="78" spans="1:11" s="70" customFormat="1" ht="13.5" customHeight="1">
      <c r="A78" s="337" t="s">
        <v>597</v>
      </c>
      <c r="B78" s="346"/>
      <c r="C78" s="346"/>
      <c r="D78" s="346"/>
      <c r="E78" s="346"/>
      <c r="F78" s="346"/>
      <c r="G78" s="346"/>
      <c r="H78" s="346"/>
      <c r="I78" s="338"/>
      <c r="J78"/>
      <c r="K78"/>
    </row>
    <row r="79" spans="1:13" s="70" customFormat="1" ht="12.75" customHeight="1">
      <c r="A79" s="303" t="s">
        <v>581</v>
      </c>
      <c r="B79" s="245">
        <f>B75*$B$64/100</f>
        <v>601.9200000000001</v>
      </c>
      <c r="C79" s="245">
        <f>C75*$B$64/100</f>
        <v>574.56</v>
      </c>
      <c r="D79" s="245">
        <f aca="true" t="shared" si="0" ref="D79:M79">D75*$B$64/100</f>
        <v>560.8799999999999</v>
      </c>
      <c r="E79" s="245">
        <f t="shared" si="0"/>
        <v>492.48</v>
      </c>
      <c r="F79" s="245">
        <f t="shared" si="0"/>
        <v>478.8</v>
      </c>
      <c r="G79" s="245">
        <f t="shared" si="0"/>
        <v>478.8</v>
      </c>
      <c r="H79" s="245">
        <f t="shared" si="0"/>
        <v>560.8799999999999</v>
      </c>
      <c r="I79" s="245">
        <f t="shared" si="0"/>
        <v>560.8799999999999</v>
      </c>
      <c r="J79" s="245">
        <f t="shared" si="0"/>
        <v>0</v>
      </c>
      <c r="K79" s="245">
        <f t="shared" si="0"/>
        <v>0</v>
      </c>
      <c r="L79" s="245">
        <f t="shared" si="0"/>
        <v>0</v>
      </c>
      <c r="M79" s="245">
        <f t="shared" si="0"/>
        <v>560.8799999999999</v>
      </c>
    </row>
    <row r="80" spans="1:13" s="70" customFormat="1" ht="12.75" customHeight="1">
      <c r="A80" s="304" t="s">
        <v>582</v>
      </c>
      <c r="B80" s="306">
        <f>B76*$B$65/100</f>
        <v>117</v>
      </c>
      <c r="C80" s="306">
        <f>C76*$B$65/100</f>
        <v>117</v>
      </c>
      <c r="D80" s="306">
        <f aca="true" t="shared" si="1" ref="D80:M80">D76*$B$65/100</f>
        <v>52</v>
      </c>
      <c r="E80" s="306">
        <f t="shared" si="1"/>
        <v>52</v>
      </c>
      <c r="F80" s="306">
        <f t="shared" si="1"/>
        <v>78</v>
      </c>
      <c r="G80" s="306">
        <f t="shared" si="1"/>
        <v>130</v>
      </c>
      <c r="H80" s="306">
        <f t="shared" si="1"/>
        <v>130</v>
      </c>
      <c r="I80" s="306">
        <f t="shared" si="1"/>
        <v>91</v>
      </c>
      <c r="J80" s="306">
        <f t="shared" si="1"/>
        <v>0</v>
      </c>
      <c r="K80" s="306">
        <f t="shared" si="1"/>
        <v>0</v>
      </c>
      <c r="L80" s="306">
        <f t="shared" si="1"/>
        <v>0</v>
      </c>
      <c r="M80" s="306">
        <f t="shared" si="1"/>
        <v>91</v>
      </c>
    </row>
    <row r="81" spans="1:13" s="70" customFormat="1" ht="12.75" customHeight="1">
      <c r="A81" s="305" t="s">
        <v>583</v>
      </c>
      <c r="B81" s="306">
        <f>B77*$B$66/100</f>
        <v>0</v>
      </c>
      <c r="C81" s="306">
        <f>C77*$B$66/100</f>
        <v>0</v>
      </c>
      <c r="D81" s="306">
        <f aca="true" t="shared" si="2" ref="D81:M81">D77*$B$66/100</f>
        <v>44</v>
      </c>
      <c r="E81" s="306">
        <f t="shared" si="2"/>
        <v>4.4</v>
      </c>
      <c r="F81" s="306">
        <f t="shared" si="2"/>
        <v>88</v>
      </c>
      <c r="G81" s="306">
        <f t="shared" si="2"/>
        <v>22</v>
      </c>
      <c r="H81" s="306">
        <f t="shared" si="2"/>
        <v>22</v>
      </c>
      <c r="I81" s="306">
        <f t="shared" si="2"/>
        <v>0</v>
      </c>
      <c r="J81" s="306">
        <f t="shared" si="2"/>
        <v>0</v>
      </c>
      <c r="K81" s="306">
        <f t="shared" si="2"/>
        <v>0</v>
      </c>
      <c r="L81" s="306">
        <f t="shared" si="2"/>
        <v>0</v>
      </c>
      <c r="M81" s="306">
        <f t="shared" si="2"/>
        <v>0</v>
      </c>
    </row>
    <row r="82" spans="1:13" s="70" customFormat="1" ht="12.75" customHeight="1">
      <c r="A82" s="307" t="s">
        <v>598</v>
      </c>
      <c r="B82" s="308">
        <f aca="true" t="shared" si="3" ref="B82:I82">B79+B80+B81</f>
        <v>718.9200000000001</v>
      </c>
      <c r="C82" s="308">
        <f t="shared" si="3"/>
        <v>691.56</v>
      </c>
      <c r="D82" s="308">
        <f t="shared" si="3"/>
        <v>656.8799999999999</v>
      </c>
      <c r="E82" s="308">
        <f t="shared" si="3"/>
        <v>548.88</v>
      </c>
      <c r="F82" s="308">
        <f t="shared" si="3"/>
        <v>644.8</v>
      </c>
      <c r="G82" s="308">
        <f t="shared" si="3"/>
        <v>630.8</v>
      </c>
      <c r="H82" s="308">
        <f t="shared" si="3"/>
        <v>712.8799999999999</v>
      </c>
      <c r="I82" s="308">
        <f t="shared" si="3"/>
        <v>651.8799999999999</v>
      </c>
      <c r="J82"/>
      <c r="K82"/>
      <c r="M82" s="308">
        <f>M79+M80+M81</f>
        <v>651.8799999999999</v>
      </c>
    </row>
    <row r="83" spans="1:11" s="70" customFormat="1" ht="15.75">
      <c r="A83" s="337" t="s">
        <v>651</v>
      </c>
      <c r="B83" s="346"/>
      <c r="C83" s="346"/>
      <c r="D83" s="346"/>
      <c r="E83" s="346"/>
      <c r="F83" s="346"/>
      <c r="G83" s="346"/>
      <c r="H83" s="346"/>
      <c r="I83" s="338"/>
      <c r="J83"/>
      <c r="K83"/>
    </row>
    <row r="84" spans="1:13" s="70" customFormat="1" ht="12.75" customHeight="1">
      <c r="A84" s="245" t="s">
        <v>599</v>
      </c>
      <c r="B84" s="306">
        <f>B82+$C$70*100</f>
        <v>9865.261463414634</v>
      </c>
      <c r="C84" s="306">
        <f>C82+$C$70*100</f>
        <v>9837.901463414633</v>
      </c>
      <c r="D84" s="306">
        <f aca="true" t="shared" si="4" ref="D84:M84">D82+$C$70*100</f>
        <v>9803.221463414633</v>
      </c>
      <c r="E84" s="306">
        <f t="shared" si="4"/>
        <v>9695.221463414633</v>
      </c>
      <c r="F84" s="306">
        <f t="shared" si="4"/>
        <v>9791.141463414633</v>
      </c>
      <c r="G84" s="306">
        <f t="shared" si="4"/>
        <v>9777.141463414633</v>
      </c>
      <c r="H84" s="306">
        <f t="shared" si="4"/>
        <v>9859.221463414633</v>
      </c>
      <c r="I84" s="306">
        <f t="shared" si="4"/>
        <v>9798.221463414633</v>
      </c>
      <c r="J84" s="306">
        <f t="shared" si="4"/>
        <v>9146.341463414634</v>
      </c>
      <c r="K84" s="306">
        <f t="shared" si="4"/>
        <v>9146.341463414634</v>
      </c>
      <c r="L84" s="306">
        <f t="shared" si="4"/>
        <v>9146.341463414634</v>
      </c>
      <c r="M84" s="306">
        <f t="shared" si="4"/>
        <v>9798.221463414633</v>
      </c>
    </row>
    <row r="85" spans="1:13" s="70" customFormat="1" ht="15.75">
      <c r="A85" s="245" t="s">
        <v>600</v>
      </c>
      <c r="B85" s="306">
        <f>B82+$D$70*100</f>
        <v>9647.49142857143</v>
      </c>
      <c r="C85" s="306">
        <f>C82+$D$70*100</f>
        <v>9620.131428571429</v>
      </c>
      <c r="D85" s="306">
        <f aca="true" t="shared" si="5" ref="D85:M85">D82+$D$70*100</f>
        <v>9585.451428571429</v>
      </c>
      <c r="E85" s="306">
        <f t="shared" si="5"/>
        <v>9477.451428571429</v>
      </c>
      <c r="F85" s="306">
        <f t="shared" si="5"/>
        <v>9573.371428571429</v>
      </c>
      <c r="G85" s="306">
        <f t="shared" si="5"/>
        <v>9559.371428571429</v>
      </c>
      <c r="H85" s="306">
        <f t="shared" si="5"/>
        <v>9641.451428571429</v>
      </c>
      <c r="I85" s="306">
        <f t="shared" si="5"/>
        <v>9580.451428571429</v>
      </c>
      <c r="J85" s="306">
        <f t="shared" si="5"/>
        <v>8928.57142857143</v>
      </c>
      <c r="K85" s="306">
        <f t="shared" si="5"/>
        <v>8928.57142857143</v>
      </c>
      <c r="L85" s="306">
        <f t="shared" si="5"/>
        <v>8928.57142857143</v>
      </c>
      <c r="M85" s="306">
        <f t="shared" si="5"/>
        <v>9580.451428571429</v>
      </c>
    </row>
    <row r="86" spans="1:6" s="70" customFormat="1" ht="15.75">
      <c r="A86" s="271"/>
      <c r="B86" s="272"/>
      <c r="C86" s="272"/>
      <c r="D86" s="272"/>
      <c r="E86" s="272"/>
      <c r="F86" s="272"/>
    </row>
    <row r="87" spans="1:8" s="70" customFormat="1" ht="15.75">
      <c r="A87" s="295" t="s">
        <v>601</v>
      </c>
      <c r="B87"/>
      <c r="C87"/>
      <c r="D87"/>
      <c r="E87"/>
      <c r="F87"/>
      <c r="G87"/>
      <c r="H87"/>
    </row>
    <row r="88" spans="1:8" s="70" customFormat="1" ht="26.25" customHeight="1">
      <c r="A88" s="245"/>
      <c r="B88" s="245" t="s">
        <v>602</v>
      </c>
      <c r="C88" s="245" t="s">
        <v>592</v>
      </c>
      <c r="D88" s="245" t="s">
        <v>589</v>
      </c>
      <c r="E88" s="245" t="s">
        <v>593</v>
      </c>
      <c r="F88" s="245" t="s">
        <v>594</v>
      </c>
      <c r="G88" s="245" t="s">
        <v>595</v>
      </c>
      <c r="H88" s="245" t="s">
        <v>164</v>
      </c>
    </row>
    <row r="89" spans="1:8" s="70" customFormat="1" ht="15.75">
      <c r="A89" s="309" t="s">
        <v>603</v>
      </c>
      <c r="B89" s="310">
        <f>B91+B92+B93</f>
        <v>99.99231426911999</v>
      </c>
      <c r="C89" s="310">
        <f aca="true" t="shared" si="6" ref="C89:H89">C91+C92+C93</f>
        <v>101.43277978079999</v>
      </c>
      <c r="D89" s="310">
        <f t="shared" si="6"/>
        <v>134.08333137888002</v>
      </c>
      <c r="E89" s="310">
        <f t="shared" si="6"/>
        <v>98.91196513535999</v>
      </c>
      <c r="F89" s="310">
        <f t="shared" si="6"/>
        <v>116.4376288608</v>
      </c>
      <c r="G89" s="310">
        <f t="shared" si="6"/>
        <v>156.29050801727996</v>
      </c>
      <c r="H89" s="310">
        <f t="shared" si="6"/>
        <v>180.53834413055998</v>
      </c>
    </row>
    <row r="90" spans="1:8" s="70" customFormat="1" ht="15.75">
      <c r="A90" s="311" t="s">
        <v>604</v>
      </c>
      <c r="B90" s="306"/>
      <c r="C90" s="306"/>
      <c r="D90" s="306"/>
      <c r="E90" s="306"/>
      <c r="F90" s="306"/>
      <c r="G90" s="306"/>
      <c r="H90" s="306"/>
    </row>
    <row r="91" spans="1:8" s="70" customFormat="1" ht="15.75">
      <c r="A91" s="312" t="s">
        <v>605</v>
      </c>
      <c r="B91" s="306">
        <v>17.28558614016</v>
      </c>
      <c r="C91" s="306">
        <v>15.725081835839996</v>
      </c>
      <c r="D91" s="306">
        <v>23.76768094272</v>
      </c>
      <c r="E91" s="306">
        <v>13.804461153599998</v>
      </c>
      <c r="F91" s="306">
        <v>17.525663725439994</v>
      </c>
      <c r="G91" s="306">
        <v>26.76865075872</v>
      </c>
      <c r="H91" s="306">
        <v>24.007758527999997</v>
      </c>
    </row>
    <row r="92" spans="1:8" s="70" customFormat="1" ht="23.25" customHeight="1">
      <c r="A92" s="312" t="s">
        <v>606</v>
      </c>
      <c r="B92" s="306">
        <v>69.62249973119998</v>
      </c>
      <c r="C92" s="306">
        <v>72.02327558399999</v>
      </c>
      <c r="D92" s="306">
        <v>93.63025825920002</v>
      </c>
      <c r="E92" s="306">
        <v>72.02327558399999</v>
      </c>
      <c r="F92" s="306">
        <v>84.02715484800001</v>
      </c>
      <c r="G92" s="306">
        <v>110.43568922879999</v>
      </c>
      <c r="H92" s="306">
        <v>132.04267190399997</v>
      </c>
    </row>
    <row r="93" spans="1:8" s="70" customFormat="1" ht="15.75">
      <c r="A93" s="312" t="s">
        <v>607</v>
      </c>
      <c r="B93" s="306">
        <v>13.08422839776</v>
      </c>
      <c r="C93" s="306">
        <v>13.68442236096</v>
      </c>
      <c r="D93" s="306">
        <v>16.68539217696</v>
      </c>
      <c r="E93" s="306">
        <v>13.08422839776</v>
      </c>
      <c r="F93" s="306">
        <v>14.88481028736</v>
      </c>
      <c r="G93" s="306">
        <v>19.08616802976</v>
      </c>
      <c r="H93" s="306">
        <v>24.487913698559996</v>
      </c>
    </row>
    <row r="94" spans="1:12" s="70" customFormat="1" ht="19.5" customHeight="1">
      <c r="A94" s="313" t="s">
        <v>608</v>
      </c>
      <c r="B94" s="310">
        <f>B96+B97+B98</f>
        <v>8.04259910688</v>
      </c>
      <c r="C94" s="310">
        <f aca="true" t="shared" si="7" ref="C94:L94">C96+C97+C98</f>
        <v>11.283646508159999</v>
      </c>
      <c r="D94" s="310">
        <f t="shared" si="7"/>
        <v>15.00484908</v>
      </c>
      <c r="E94" s="310">
        <f t="shared" si="7"/>
        <v>16.685392176959997</v>
      </c>
      <c r="F94" s="310">
        <f t="shared" si="7"/>
        <v>19.2062068224</v>
      </c>
      <c r="G94" s="310">
        <f t="shared" si="7"/>
        <v>22.927409394239998</v>
      </c>
      <c r="H94" s="310">
        <f t="shared" si="7"/>
        <v>25.32818524704</v>
      </c>
      <c r="I94" s="310">
        <f t="shared" si="7"/>
        <v>0</v>
      </c>
      <c r="J94" s="310">
        <f t="shared" si="7"/>
        <v>0</v>
      </c>
      <c r="K94" s="310">
        <f t="shared" si="7"/>
        <v>0</v>
      </c>
      <c r="L94" s="310">
        <f t="shared" si="7"/>
        <v>0</v>
      </c>
    </row>
    <row r="95" spans="1:8" s="70" customFormat="1" ht="15.75">
      <c r="A95" s="311" t="s">
        <v>604</v>
      </c>
      <c r="B95" s="306"/>
      <c r="C95" s="306"/>
      <c r="D95" s="306"/>
      <c r="E95" s="306"/>
      <c r="F95" s="306"/>
      <c r="G95" s="306"/>
      <c r="H95" s="306"/>
    </row>
    <row r="96" spans="1:8" s="70" customFormat="1" ht="15.75">
      <c r="A96" s="312" t="s">
        <v>609</v>
      </c>
      <c r="B96" s="306">
        <v>2.0406594748799995</v>
      </c>
      <c r="C96" s="306">
        <v>2.2807370601599994</v>
      </c>
      <c r="D96" s="306">
        <v>3.0009698159999996</v>
      </c>
      <c r="E96" s="306">
        <v>2.2807370601599994</v>
      </c>
      <c r="F96" s="306">
        <v>1.8005818895999999</v>
      </c>
      <c r="G96" s="306">
        <v>2.5208146454400007</v>
      </c>
      <c r="H96" s="306">
        <v>2.5208146454400007</v>
      </c>
    </row>
    <row r="97" spans="1:8" s="70" customFormat="1" ht="18.75" customHeight="1">
      <c r="A97" s="312" t="s">
        <v>606</v>
      </c>
      <c r="B97" s="306">
        <v>4.8015517056</v>
      </c>
      <c r="C97" s="306">
        <v>7.2023275583999995</v>
      </c>
      <c r="D97" s="306">
        <v>9.6031034112</v>
      </c>
      <c r="E97" s="306">
        <v>12.003879263999998</v>
      </c>
      <c r="F97" s="306">
        <v>14.404655116799999</v>
      </c>
      <c r="G97" s="306">
        <v>16.805430969599996</v>
      </c>
      <c r="H97" s="306">
        <v>19.2062068224</v>
      </c>
    </row>
    <row r="98" spans="1:8" s="70" customFormat="1" ht="15.75">
      <c r="A98" s="312" t="s">
        <v>607</v>
      </c>
      <c r="B98" s="306">
        <v>1.2003879264</v>
      </c>
      <c r="C98" s="306">
        <v>1.8005818895999999</v>
      </c>
      <c r="D98" s="306">
        <v>2.4007758528</v>
      </c>
      <c r="E98" s="306">
        <v>2.4007758528</v>
      </c>
      <c r="F98" s="306">
        <v>3.0009698159999996</v>
      </c>
      <c r="G98" s="306">
        <v>3.6011637791999997</v>
      </c>
      <c r="H98" s="306">
        <v>3.6011637791999997</v>
      </c>
    </row>
    <row r="99" spans="1:8" s="70" customFormat="1" ht="16.5" customHeight="1">
      <c r="A99" s="314" t="s">
        <v>610</v>
      </c>
      <c r="B99" s="310">
        <v>11.043568922879997</v>
      </c>
      <c r="C99" s="310">
        <v>8.04259910688</v>
      </c>
      <c r="D99" s="310">
        <v>0</v>
      </c>
      <c r="E99" s="310">
        <v>5.761862046719998</v>
      </c>
      <c r="F99" s="310">
        <v>5.5217844614399985</v>
      </c>
      <c r="G99" s="310">
        <v>3.481124986559999</v>
      </c>
      <c r="H99" s="310">
        <v>5.5217844614399985</v>
      </c>
    </row>
    <row r="100" spans="1:8" s="70" customFormat="1" ht="15.75">
      <c r="A100" s="315" t="s">
        <v>598</v>
      </c>
      <c r="B100" s="310">
        <f>B89+B94+B99</f>
        <v>119.07848229887999</v>
      </c>
      <c r="C100" s="310">
        <f aca="true" t="shared" si="8" ref="C100:H100">C89+C94+C99</f>
        <v>120.75902539584</v>
      </c>
      <c r="D100" s="310">
        <f t="shared" si="8"/>
        <v>149.08818045888</v>
      </c>
      <c r="E100" s="310">
        <f t="shared" si="8"/>
        <v>121.35921935903998</v>
      </c>
      <c r="F100" s="310">
        <f t="shared" si="8"/>
        <v>141.16562014464</v>
      </c>
      <c r="G100" s="310">
        <f t="shared" si="8"/>
        <v>182.69904239807994</v>
      </c>
      <c r="H100" s="310">
        <f t="shared" si="8"/>
        <v>211.38831383904</v>
      </c>
    </row>
    <row r="101" spans="1:8" s="70" customFormat="1" ht="15.75">
      <c r="A101" s="316"/>
      <c r="B101" s="317"/>
      <c r="C101" s="317"/>
      <c r="D101" s="317"/>
      <c r="E101" s="317"/>
      <c r="F101" s="317"/>
      <c r="G101" s="317"/>
      <c r="H101" s="317"/>
    </row>
    <row r="102" spans="1:9" s="70" customFormat="1" ht="15.75">
      <c r="A102" s="295" t="s">
        <v>611</v>
      </c>
      <c r="B102"/>
      <c r="C102"/>
      <c r="D102"/>
      <c r="E102"/>
      <c r="F102"/>
      <c r="G102"/>
      <c r="H102"/>
      <c r="I102"/>
    </row>
    <row r="103" spans="1:9" s="70" customFormat="1" ht="25.5">
      <c r="A103" s="318" t="s">
        <v>217</v>
      </c>
      <c r="B103" s="318" t="s">
        <v>612</v>
      </c>
      <c r="C103"/>
      <c r="D103"/>
      <c r="E103"/>
      <c r="F103"/>
      <c r="G103"/>
      <c r="H103"/>
      <c r="I103"/>
    </row>
    <row r="104" spans="1:9" s="70" customFormat="1" ht="15.75">
      <c r="A104" s="349" t="s">
        <v>613</v>
      </c>
      <c r="B104" s="349"/>
      <c r="C104"/>
      <c r="D104"/>
      <c r="E104"/>
      <c r="F104"/>
      <c r="G104"/>
      <c r="H104"/>
      <c r="I104"/>
    </row>
    <row r="105" spans="1:9" s="70" customFormat="1" ht="15.75">
      <c r="A105" s="319" t="s">
        <v>614</v>
      </c>
      <c r="B105" s="318">
        <v>7.2</v>
      </c>
      <c r="C105" s="320"/>
      <c r="D105"/>
      <c r="E105"/>
      <c r="F105"/>
      <c r="G105"/>
      <c r="H105"/>
      <c r="I105"/>
    </row>
    <row r="106" spans="1:9" s="70" customFormat="1" ht="15.75">
      <c r="A106" s="349" t="s">
        <v>615</v>
      </c>
      <c r="B106" s="349"/>
      <c r="C106" s="320"/>
      <c r="D106"/>
      <c r="E106"/>
      <c r="F106"/>
      <c r="G106"/>
      <c r="H106"/>
      <c r="I106"/>
    </row>
    <row r="107" spans="1:9" s="70" customFormat="1" ht="15.75">
      <c r="A107" s="319" t="s">
        <v>616</v>
      </c>
      <c r="B107" s="318">
        <v>2.1</v>
      </c>
      <c r="C107" s="320"/>
      <c r="D107"/>
      <c r="E107"/>
      <c r="F107"/>
      <c r="G107"/>
      <c r="H107"/>
      <c r="I107"/>
    </row>
    <row r="108" spans="1:9" s="70" customFormat="1" ht="15.75">
      <c r="A108" s="319" t="s">
        <v>617</v>
      </c>
      <c r="B108" s="318">
        <v>4.9</v>
      </c>
      <c r="C108" s="320"/>
      <c r="D108"/>
      <c r="E108"/>
      <c r="F108"/>
      <c r="G108"/>
      <c r="H108"/>
      <c r="I108"/>
    </row>
    <row r="109" spans="1:9" s="70" customFormat="1" ht="15.75">
      <c r="A109" s="319" t="s">
        <v>133</v>
      </c>
      <c r="B109" s="318">
        <v>5.1</v>
      </c>
      <c r="C109" s="320"/>
      <c r="D109"/>
      <c r="E109"/>
      <c r="F109"/>
      <c r="G109"/>
      <c r="H109"/>
      <c r="I109"/>
    </row>
    <row r="110" spans="1:9" s="70" customFormat="1" ht="15.75">
      <c r="A110" s="319" t="s">
        <v>164</v>
      </c>
      <c r="B110" s="318">
        <v>1.5</v>
      </c>
      <c r="C110" s="320"/>
      <c r="D110"/>
      <c r="E110"/>
      <c r="F110"/>
      <c r="G110"/>
      <c r="H110"/>
      <c r="I110"/>
    </row>
    <row r="111" spans="1:11" s="70" customFormat="1" ht="15.75">
      <c r="A111" s="319" t="s">
        <v>618</v>
      </c>
      <c r="B111" s="318">
        <v>2.1</v>
      </c>
      <c r="C111" s="320"/>
      <c r="D111"/>
      <c r="E111"/>
      <c r="F111"/>
      <c r="G111"/>
      <c r="H111"/>
      <c r="I111"/>
      <c r="J111"/>
      <c r="K111"/>
    </row>
    <row r="112" spans="1:11" s="70" customFormat="1" ht="15.75">
      <c r="A112" s="319" t="s">
        <v>619</v>
      </c>
      <c r="B112" s="318">
        <v>2.1</v>
      </c>
      <c r="C112" s="320"/>
      <c r="D112"/>
      <c r="E112"/>
      <c r="F112"/>
      <c r="G112"/>
      <c r="H112"/>
      <c r="I112"/>
      <c r="J112"/>
      <c r="K112"/>
    </row>
    <row r="113" spans="1:11" s="70" customFormat="1" ht="15.75">
      <c r="A113" s="319" t="s">
        <v>508</v>
      </c>
      <c r="B113" s="318">
        <v>11.6</v>
      </c>
      <c r="C113" s="320"/>
      <c r="D113"/>
      <c r="E113"/>
      <c r="F113"/>
      <c r="G113"/>
      <c r="H113"/>
      <c r="I113"/>
      <c r="J113"/>
      <c r="K113"/>
    </row>
    <row r="114" spans="1:11" s="70" customFormat="1" ht="15.75">
      <c r="A114" s="319" t="s">
        <v>218</v>
      </c>
      <c r="B114" s="318">
        <v>14.7</v>
      </c>
      <c r="C114" s="320"/>
      <c r="D114"/>
      <c r="E114"/>
      <c r="F114"/>
      <c r="G114"/>
      <c r="H114"/>
      <c r="I114"/>
      <c r="J114"/>
      <c r="K114"/>
    </row>
    <row r="115" spans="1:11" s="70" customFormat="1" ht="15.75">
      <c r="A115" s="319" t="s">
        <v>219</v>
      </c>
      <c r="B115" s="318">
        <v>15</v>
      </c>
      <c r="C115" s="320"/>
      <c r="D115"/>
      <c r="E115"/>
      <c r="F115"/>
      <c r="G115"/>
      <c r="H115"/>
      <c r="I115"/>
      <c r="J115"/>
      <c r="K115"/>
    </row>
    <row r="116" spans="1:11" s="70" customFormat="1" ht="15.75">
      <c r="A116" s="319" t="s">
        <v>620</v>
      </c>
      <c r="B116" s="318">
        <v>2.7</v>
      </c>
      <c r="C116"/>
      <c r="D116"/>
      <c r="E116"/>
      <c r="F116"/>
      <c r="G116"/>
      <c r="H116"/>
      <c r="I116"/>
      <c r="J116"/>
      <c r="K116"/>
    </row>
    <row r="117" spans="1:11" s="70" customFormat="1" ht="15.75">
      <c r="A117" s="321"/>
      <c r="B117" s="322"/>
      <c r="C117"/>
      <c r="D117"/>
      <c r="E117"/>
      <c r="F117"/>
      <c r="G117"/>
      <c r="H117"/>
      <c r="I117"/>
      <c r="J117"/>
      <c r="K117"/>
    </row>
    <row r="118" spans="1:11" s="70" customFormat="1" ht="15.75">
      <c r="A118" s="295" t="s">
        <v>621</v>
      </c>
      <c r="B118"/>
      <c r="C118"/>
      <c r="D118"/>
      <c r="E118"/>
      <c r="F118"/>
      <c r="G118"/>
      <c r="H118"/>
      <c r="I118"/>
      <c r="J118"/>
      <c r="K118"/>
    </row>
    <row r="119" spans="1:15" s="70" customFormat="1" ht="12.75" customHeight="1">
      <c r="A119" s="323"/>
      <c r="B119" s="350" t="s">
        <v>622</v>
      </c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</row>
    <row r="120" spans="1:15" s="70" customFormat="1" ht="15.75">
      <c r="A120" s="324" t="s">
        <v>623</v>
      </c>
      <c r="B120" s="318">
        <v>1</v>
      </c>
      <c r="C120" s="318">
        <v>2</v>
      </c>
      <c r="D120" s="318">
        <v>3</v>
      </c>
      <c r="E120" s="318">
        <v>4</v>
      </c>
      <c r="F120" s="318">
        <v>5</v>
      </c>
      <c r="G120" s="318">
        <v>6</v>
      </c>
      <c r="H120" s="318">
        <v>7</v>
      </c>
      <c r="I120" s="318">
        <v>8</v>
      </c>
      <c r="J120" s="318">
        <v>9</v>
      </c>
      <c r="K120" s="318">
        <v>10</v>
      </c>
      <c r="M120" s="318">
        <v>8</v>
      </c>
      <c r="N120" s="318">
        <v>9</v>
      </c>
      <c r="O120" s="318">
        <v>10</v>
      </c>
    </row>
    <row r="121" spans="1:15" s="70" customFormat="1" ht="15.75">
      <c r="A121" s="318" t="s">
        <v>624</v>
      </c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M121" s="318"/>
      <c r="N121" s="318"/>
      <c r="O121" s="318"/>
    </row>
    <row r="122" spans="1:15" s="70" customFormat="1" ht="15.75">
      <c r="A122" s="319" t="s">
        <v>625</v>
      </c>
      <c r="B122" s="318">
        <v>1.2</v>
      </c>
      <c r="C122" s="318">
        <v>1.2</v>
      </c>
      <c r="D122" s="318">
        <v>1.14</v>
      </c>
      <c r="E122" s="318">
        <v>1.08</v>
      </c>
      <c r="F122" s="318">
        <v>1.03</v>
      </c>
      <c r="G122" s="318">
        <v>0.96</v>
      </c>
      <c r="H122" s="318">
        <v>0.92</v>
      </c>
      <c r="I122" s="318">
        <v>0.88</v>
      </c>
      <c r="J122" s="318">
        <v>0.84</v>
      </c>
      <c r="K122" s="318">
        <v>0.75</v>
      </c>
      <c r="M122" s="318">
        <v>0.88</v>
      </c>
      <c r="N122" s="318">
        <v>0.84</v>
      </c>
      <c r="O122" s="318">
        <v>0.75</v>
      </c>
    </row>
    <row r="123" spans="1:15" s="70" customFormat="1" ht="15.75">
      <c r="A123" s="319" t="s">
        <v>626</v>
      </c>
      <c r="B123" s="318">
        <v>1.16</v>
      </c>
      <c r="C123" s="318">
        <v>1.15</v>
      </c>
      <c r="D123" s="318" t="s">
        <v>627</v>
      </c>
      <c r="E123" s="318">
        <v>1.06</v>
      </c>
      <c r="F123" s="318">
        <v>1.03</v>
      </c>
      <c r="G123" s="318">
        <v>1</v>
      </c>
      <c r="H123" s="318">
        <v>0.96</v>
      </c>
      <c r="I123" s="318">
        <v>0.92</v>
      </c>
      <c r="J123" s="318">
        <v>0.84</v>
      </c>
      <c r="K123" s="318">
        <v>0.73</v>
      </c>
      <c r="M123" s="318">
        <v>0.92</v>
      </c>
      <c r="N123" s="318">
        <v>0.84</v>
      </c>
      <c r="O123" s="318">
        <v>0.73</v>
      </c>
    </row>
    <row r="124" spans="1:15" s="70" customFormat="1" ht="15.75">
      <c r="A124" s="319" t="s">
        <v>628</v>
      </c>
      <c r="B124" s="318">
        <v>1.12</v>
      </c>
      <c r="C124" s="318">
        <v>1.1</v>
      </c>
      <c r="D124" s="318">
        <v>1.07</v>
      </c>
      <c r="E124" s="318">
        <v>1.04</v>
      </c>
      <c r="F124" s="318">
        <v>1</v>
      </c>
      <c r="G124" s="318">
        <v>0.95</v>
      </c>
      <c r="H124" s="318">
        <v>0.9</v>
      </c>
      <c r="I124" s="318">
        <v>0.82</v>
      </c>
      <c r="J124" s="318"/>
      <c r="K124" s="318"/>
      <c r="M124" s="318">
        <v>0.82</v>
      </c>
      <c r="N124" s="318"/>
      <c r="O124" s="318"/>
    </row>
    <row r="125" spans="1:15" s="70" customFormat="1" ht="15.75">
      <c r="A125" s="319" t="s">
        <v>620</v>
      </c>
      <c r="B125" s="260">
        <v>1.14</v>
      </c>
      <c r="C125" s="260">
        <v>1.1</v>
      </c>
      <c r="D125" s="260">
        <v>1</v>
      </c>
      <c r="E125" s="260">
        <v>1.03</v>
      </c>
      <c r="F125" s="260">
        <v>1</v>
      </c>
      <c r="G125" s="260">
        <v>0.96</v>
      </c>
      <c r="H125" s="260">
        <v>0.9</v>
      </c>
      <c r="I125" s="260">
        <v>0.82</v>
      </c>
      <c r="J125" s="260"/>
      <c r="K125" s="260"/>
      <c r="M125" s="260">
        <v>0.82</v>
      </c>
      <c r="N125" s="260"/>
      <c r="O125" s="260"/>
    </row>
    <row r="126" spans="1:11" s="70" customFormat="1" ht="15.75">
      <c r="A126" s="316"/>
      <c r="B126" s="317"/>
      <c r="C126" s="317"/>
      <c r="D126" s="317"/>
      <c r="E126" s="317"/>
      <c r="F126" s="317"/>
      <c r="G126" s="317"/>
      <c r="H126" s="317"/>
      <c r="J126" s="316"/>
      <c r="K126" s="317"/>
    </row>
    <row r="127" spans="1:11" s="70" customFormat="1" ht="15.75">
      <c r="A127" s="325" t="s">
        <v>629</v>
      </c>
      <c r="B127"/>
      <c r="C127"/>
      <c r="D127"/>
      <c r="E127"/>
      <c r="F127"/>
      <c r="G127"/>
      <c r="H127"/>
      <c r="I127"/>
      <c r="J127"/>
      <c r="K127"/>
    </row>
    <row r="128" spans="1:13" s="70" customFormat="1" ht="33" customHeight="1">
      <c r="A128" s="318" t="s">
        <v>630</v>
      </c>
      <c r="B128" s="324" t="s">
        <v>218</v>
      </c>
      <c r="C128" s="324" t="s">
        <v>508</v>
      </c>
      <c r="D128" s="324" t="s">
        <v>131</v>
      </c>
      <c r="E128" s="324" t="s">
        <v>617</v>
      </c>
      <c r="F128" s="324" t="s">
        <v>594</v>
      </c>
      <c r="G128" s="324" t="s">
        <v>595</v>
      </c>
      <c r="H128" s="324" t="s">
        <v>631</v>
      </c>
      <c r="I128" s="324" t="s">
        <v>632</v>
      </c>
      <c r="J128"/>
      <c r="K128"/>
      <c r="M128" s="324" t="s">
        <v>632</v>
      </c>
    </row>
    <row r="129" spans="1:13" s="70" customFormat="1" ht="15.75">
      <c r="A129" s="318" t="s">
        <v>633</v>
      </c>
      <c r="B129" s="318">
        <v>0.5</v>
      </c>
      <c r="C129" s="318">
        <v>0.36</v>
      </c>
      <c r="D129" s="318">
        <v>0.54</v>
      </c>
      <c r="E129" s="318">
        <v>0.62</v>
      </c>
      <c r="F129" s="318">
        <v>0.62</v>
      </c>
      <c r="G129" s="318">
        <v>0.48</v>
      </c>
      <c r="H129" s="318">
        <v>0.43</v>
      </c>
      <c r="I129" s="318">
        <v>0.66</v>
      </c>
      <c r="J129"/>
      <c r="K129"/>
      <c r="M129" s="318">
        <v>0.66</v>
      </c>
    </row>
    <row r="130" spans="1:13" s="70" customFormat="1" ht="15.75">
      <c r="A130" s="318" t="s">
        <v>634</v>
      </c>
      <c r="B130" s="318">
        <v>0.61</v>
      </c>
      <c r="C130" s="318">
        <v>0.5</v>
      </c>
      <c r="D130" s="318">
        <v>0.67</v>
      </c>
      <c r="E130" s="318">
        <v>0.73</v>
      </c>
      <c r="F130" s="318">
        <v>0.71</v>
      </c>
      <c r="G130" s="318">
        <v>0.62</v>
      </c>
      <c r="H130" s="318">
        <v>0.58</v>
      </c>
      <c r="I130" s="318">
        <v>0.74</v>
      </c>
      <c r="J130"/>
      <c r="K130"/>
      <c r="M130" s="318">
        <v>0.74</v>
      </c>
    </row>
    <row r="131" spans="1:13" s="70" customFormat="1" ht="15.75">
      <c r="A131" s="318" t="s">
        <v>635</v>
      </c>
      <c r="B131" s="318">
        <v>0.75</v>
      </c>
      <c r="C131" s="318">
        <v>0.69</v>
      </c>
      <c r="D131" s="318">
        <v>0.79</v>
      </c>
      <c r="E131" s="318">
        <v>0.83</v>
      </c>
      <c r="F131" s="318">
        <v>0.81</v>
      </c>
      <c r="G131" s="318">
        <v>0.74</v>
      </c>
      <c r="H131" s="318">
        <v>0.72</v>
      </c>
      <c r="I131" s="318">
        <v>0.85</v>
      </c>
      <c r="J131"/>
      <c r="K131"/>
      <c r="M131" s="318">
        <v>0.85</v>
      </c>
    </row>
    <row r="132" spans="1:13" s="70" customFormat="1" ht="15.75">
      <c r="A132" s="318" t="s">
        <v>636</v>
      </c>
      <c r="B132" s="318">
        <v>0.88</v>
      </c>
      <c r="C132" s="318">
        <v>0.86</v>
      </c>
      <c r="D132" s="318">
        <v>0.89</v>
      </c>
      <c r="E132" s="318">
        <v>0.92</v>
      </c>
      <c r="F132" s="318">
        <v>0.92</v>
      </c>
      <c r="G132" s="318">
        <v>0.88</v>
      </c>
      <c r="H132" s="318">
        <v>0.86</v>
      </c>
      <c r="I132" s="318">
        <v>0.93</v>
      </c>
      <c r="J132"/>
      <c r="K132"/>
      <c r="M132" s="318">
        <v>0.93</v>
      </c>
    </row>
    <row r="133" spans="1:13" s="70" customFormat="1" ht="15.75">
      <c r="A133" s="318" t="s">
        <v>637</v>
      </c>
      <c r="B133" s="318">
        <v>1</v>
      </c>
      <c r="C133" s="318">
        <v>1</v>
      </c>
      <c r="D133" s="318">
        <v>1</v>
      </c>
      <c r="E133" s="318">
        <v>1</v>
      </c>
      <c r="F133" s="318">
        <v>1</v>
      </c>
      <c r="G133" s="318">
        <v>1</v>
      </c>
      <c r="H133" s="318">
        <v>1</v>
      </c>
      <c r="I133" s="326">
        <v>1</v>
      </c>
      <c r="J133"/>
      <c r="K133"/>
      <c r="M133" s="326">
        <v>1</v>
      </c>
    </row>
    <row r="134" spans="1:13" s="70" customFormat="1" ht="15.75">
      <c r="A134" s="318" t="s">
        <v>638</v>
      </c>
      <c r="B134" s="318">
        <v>1.1</v>
      </c>
      <c r="C134" s="318">
        <v>1.08</v>
      </c>
      <c r="D134" s="318">
        <v>1.07</v>
      </c>
      <c r="E134" s="318">
        <v>1.08</v>
      </c>
      <c r="F134" s="318">
        <v>1.08</v>
      </c>
      <c r="G134" s="318">
        <v>1.11</v>
      </c>
      <c r="H134" s="318">
        <v>1.13</v>
      </c>
      <c r="I134" s="318">
        <v>1.08</v>
      </c>
      <c r="J134"/>
      <c r="K134"/>
      <c r="M134" s="318">
        <v>1.08</v>
      </c>
    </row>
    <row r="135" spans="1:13" s="70" customFormat="1" ht="15.75">
      <c r="A135" s="318" t="s">
        <v>639</v>
      </c>
      <c r="B135" s="318">
        <v>1.18</v>
      </c>
      <c r="C135" s="318">
        <v>1.16</v>
      </c>
      <c r="D135" s="318">
        <v>1.14</v>
      </c>
      <c r="E135" s="318">
        <v>1.15</v>
      </c>
      <c r="F135" s="318">
        <v>1.12</v>
      </c>
      <c r="G135" s="318">
        <v>1.22</v>
      </c>
      <c r="H135" s="318">
        <v>1.25</v>
      </c>
      <c r="I135" s="318">
        <v>1.13</v>
      </c>
      <c r="J135"/>
      <c r="K135"/>
      <c r="M135" s="318">
        <v>1.13</v>
      </c>
    </row>
    <row r="136" spans="1:13" s="70" customFormat="1" ht="15.75">
      <c r="A136" s="318" t="s">
        <v>640</v>
      </c>
      <c r="B136" s="318">
        <v>1.24</v>
      </c>
      <c r="C136" s="318">
        <v>1.23</v>
      </c>
      <c r="D136" s="318">
        <v>1.19</v>
      </c>
      <c r="E136" s="318">
        <v>1.21</v>
      </c>
      <c r="F136" s="318">
        <v>1.17</v>
      </c>
      <c r="G136" s="318">
        <v>1.31</v>
      </c>
      <c r="H136" s="318">
        <v>1.32</v>
      </c>
      <c r="I136" s="318">
        <v>1.18</v>
      </c>
      <c r="J136"/>
      <c r="K136"/>
      <c r="M136" s="318">
        <v>1.18</v>
      </c>
    </row>
    <row r="137" spans="1:13" s="70" customFormat="1" ht="15.75">
      <c r="A137" s="318" t="s">
        <v>641</v>
      </c>
      <c r="B137" s="318">
        <v>1.28</v>
      </c>
      <c r="C137" s="318">
        <v>1.26</v>
      </c>
      <c r="D137" s="318">
        <v>1.22</v>
      </c>
      <c r="E137" s="318">
        <v>1.26</v>
      </c>
      <c r="F137" s="318">
        <v>1.2</v>
      </c>
      <c r="G137" s="318">
        <v>1.39</v>
      </c>
      <c r="H137" s="318">
        <v>1.39</v>
      </c>
      <c r="I137" s="318">
        <v>1.22</v>
      </c>
      <c r="J137"/>
      <c r="K137"/>
      <c r="M137" s="318">
        <v>1.22</v>
      </c>
    </row>
    <row r="138" spans="1:13" s="70" customFormat="1" ht="15.75">
      <c r="A138" s="318" t="s">
        <v>642</v>
      </c>
      <c r="B138" s="318">
        <v>1.32</v>
      </c>
      <c r="C138" s="318">
        <v>1.3</v>
      </c>
      <c r="D138" s="318">
        <v>1.25</v>
      </c>
      <c r="E138" s="318">
        <v>1.3</v>
      </c>
      <c r="F138" s="318">
        <v>1.22</v>
      </c>
      <c r="G138" s="318" t="s">
        <v>643</v>
      </c>
      <c r="H138" s="318">
        <v>1.43</v>
      </c>
      <c r="I138" s="318">
        <v>1.26</v>
      </c>
      <c r="J138"/>
      <c r="K138"/>
      <c r="M138" s="318">
        <v>1.26</v>
      </c>
    </row>
    <row r="139" spans="1:13" s="70" customFormat="1" ht="15.75">
      <c r="A139" s="318" t="s">
        <v>644</v>
      </c>
      <c r="B139" s="318">
        <v>1.35</v>
      </c>
      <c r="C139" s="318" t="s">
        <v>643</v>
      </c>
      <c r="D139" s="318">
        <v>1.27</v>
      </c>
      <c r="E139" s="318" t="s">
        <v>643</v>
      </c>
      <c r="F139" s="318">
        <v>1.24</v>
      </c>
      <c r="G139" s="318" t="s">
        <v>643</v>
      </c>
      <c r="H139" s="318" t="s">
        <v>643</v>
      </c>
      <c r="I139" s="318" t="s">
        <v>643</v>
      </c>
      <c r="J139"/>
      <c r="K139"/>
      <c r="M139" s="318" t="s">
        <v>643</v>
      </c>
    </row>
    <row r="140" spans="1:13" s="70" customFormat="1" ht="15.75">
      <c r="A140" s="318" t="s">
        <v>645</v>
      </c>
      <c r="B140" s="318" t="s">
        <v>643</v>
      </c>
      <c r="C140" s="318" t="s">
        <v>643</v>
      </c>
      <c r="D140" s="318">
        <v>1.29</v>
      </c>
      <c r="E140" s="318" t="s">
        <v>643</v>
      </c>
      <c r="F140" s="318">
        <v>1.26</v>
      </c>
      <c r="G140" s="318" t="s">
        <v>643</v>
      </c>
      <c r="H140" s="318" t="s">
        <v>643</v>
      </c>
      <c r="I140" s="318" t="s">
        <v>643</v>
      </c>
      <c r="J140"/>
      <c r="K140"/>
      <c r="M140" s="318" t="s">
        <v>643</v>
      </c>
    </row>
    <row r="141" spans="1:6" s="70" customFormat="1" ht="15.75">
      <c r="A141" s="271"/>
      <c r="B141" s="272"/>
      <c r="C141" s="272"/>
      <c r="D141" s="272"/>
      <c r="E141" s="294"/>
      <c r="F141" s="272"/>
    </row>
    <row r="142" spans="1:3" s="70" customFormat="1" ht="15.75">
      <c r="A142" s="327" t="s">
        <v>531</v>
      </c>
      <c r="B142" s="225" t="s">
        <v>532</v>
      </c>
      <c r="C142" s="226">
        <v>5.07</v>
      </c>
    </row>
    <row r="147" ht="15.75"/>
    <row r="148" ht="15.75"/>
    <row r="149" ht="15.75"/>
    <row r="150" ht="15.75"/>
    <row r="151" ht="15.75"/>
    <row r="152" ht="15.75"/>
    <row r="181" ht="29.25" customHeight="1"/>
  </sheetData>
  <sheetProtection/>
  <mergeCells count="35">
    <mergeCell ref="A83:I83"/>
    <mergeCell ref="A104:B104"/>
    <mergeCell ref="A106:B106"/>
    <mergeCell ref="B119:O119"/>
    <mergeCell ref="A12:H12"/>
    <mergeCell ref="A13:A14"/>
    <mergeCell ref="C13:H13"/>
    <mergeCell ref="B13:B14"/>
    <mergeCell ref="A42:B42"/>
    <mergeCell ref="C37:E37"/>
    <mergeCell ref="A27:A30"/>
    <mergeCell ref="A31:A34"/>
    <mergeCell ref="A41:D41"/>
    <mergeCell ref="A19:A22"/>
    <mergeCell ref="C47:D47"/>
    <mergeCell ref="A44:B44"/>
    <mergeCell ref="C44:D44"/>
    <mergeCell ref="C43:D43"/>
    <mergeCell ref="C38:E38"/>
    <mergeCell ref="A78:I78"/>
    <mergeCell ref="A74:I74"/>
    <mergeCell ref="A58:C58"/>
    <mergeCell ref="A45:B45"/>
    <mergeCell ref="A46:B46"/>
    <mergeCell ref="A43:B43"/>
    <mergeCell ref="A1:H1"/>
    <mergeCell ref="A2:C2"/>
    <mergeCell ref="A49:D49"/>
    <mergeCell ref="C45:D45"/>
    <mergeCell ref="C46:D46"/>
    <mergeCell ref="C39:E39"/>
    <mergeCell ref="A23:A26"/>
    <mergeCell ref="A47:B47"/>
    <mergeCell ref="C42:D42"/>
    <mergeCell ref="A15:A18"/>
  </mergeCells>
  <printOptions/>
  <pageMargins left="0.7480314960629921" right="0.46" top="0.5511811023622047" bottom="0.5511811023622047" header="0.5118110236220472" footer="0.5118110236220472"/>
  <pageSetup fitToHeight="2" horizontalDpi="600" verticalDpi="600" orientation="landscape" paperSize="9" scale="31" r:id="rId3"/>
  <headerFooter alignWithMargins="0">
    <oddFooter>&amp;LОтдел СЭР села ЯНИИСХ</oddFooter>
  </headerFooter>
  <rowBreaks count="1" manualBreakCount="1">
    <brk id="4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L98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9.125" style="82" customWidth="1"/>
    <col min="2" max="2" width="37.625" style="83" customWidth="1"/>
    <col min="3" max="3" width="13.625" style="82" bestFit="1" customWidth="1"/>
    <col min="4" max="4" width="13.625" style="239" customWidth="1"/>
    <col min="5" max="5" width="8.625" style="240" customWidth="1"/>
    <col min="6" max="6" width="8.625" style="233" customWidth="1"/>
    <col min="7" max="7" width="7.75390625" style="233" customWidth="1"/>
    <col min="8" max="8" width="10.375" style="233" customWidth="1"/>
    <col min="9" max="16384" width="9.125" style="82" customWidth="1"/>
  </cols>
  <sheetData>
    <row r="1" spans="2:8" ht="11.25" customHeight="1">
      <c r="B1" s="354" t="s">
        <v>575</v>
      </c>
      <c r="C1" s="354"/>
      <c r="D1" s="354"/>
      <c r="E1" s="354"/>
      <c r="F1" s="354"/>
      <c r="G1" s="354"/>
      <c r="H1" s="354"/>
    </row>
    <row r="2" spans="6:8" ht="11.25" customHeight="1">
      <c r="F2" s="241"/>
      <c r="G2" s="241"/>
      <c r="H2" s="241"/>
    </row>
    <row r="3" ht="11.25"/>
    <row r="4" spans="2:8" s="84" customFormat="1" ht="43.5" customHeight="1">
      <c r="B4" s="356" t="s">
        <v>243</v>
      </c>
      <c r="C4" s="356" t="s">
        <v>244</v>
      </c>
      <c r="D4" s="357" t="s">
        <v>570</v>
      </c>
      <c r="E4" s="355" t="s">
        <v>566</v>
      </c>
      <c r="F4" s="355" t="s">
        <v>567</v>
      </c>
      <c r="G4" s="355" t="s">
        <v>568</v>
      </c>
      <c r="H4" s="355" t="s">
        <v>569</v>
      </c>
    </row>
    <row r="5" spans="2:8" s="84" customFormat="1" ht="30.75" customHeight="1">
      <c r="B5" s="356"/>
      <c r="C5" s="356"/>
      <c r="D5" s="357"/>
      <c r="E5" s="355"/>
      <c r="F5" s="355"/>
      <c r="G5" s="355"/>
      <c r="H5" s="355"/>
    </row>
    <row r="6" spans="2:8" s="84" customFormat="1" ht="84.75" customHeight="1">
      <c r="B6" s="356"/>
      <c r="C6" s="356"/>
      <c r="D6" s="357"/>
      <c r="E6" s="355"/>
      <c r="F6" s="355"/>
      <c r="G6" s="355"/>
      <c r="H6" s="355"/>
    </row>
    <row r="7" spans="2:8" ht="11.25">
      <c r="B7" s="85" t="s">
        <v>247</v>
      </c>
      <c r="C7" s="86" t="s">
        <v>131</v>
      </c>
      <c r="D7" s="236">
        <v>463022.03</v>
      </c>
      <c r="E7" s="242">
        <v>8</v>
      </c>
      <c r="F7" s="281">
        <f>(100/E7)</f>
        <v>12.5</v>
      </c>
      <c r="G7" s="284">
        <v>1000</v>
      </c>
      <c r="H7" s="232">
        <f>((D7*F7%)/G7)*100%</f>
        <v>57.877753750000004</v>
      </c>
    </row>
    <row r="8" spans="2:8" ht="11.25">
      <c r="B8" s="85" t="s">
        <v>248</v>
      </c>
      <c r="C8" s="86" t="s">
        <v>249</v>
      </c>
      <c r="D8" s="236">
        <v>901423.73</v>
      </c>
      <c r="E8" s="242">
        <v>10</v>
      </c>
      <c r="F8" s="281">
        <f aca="true" t="shared" si="0" ref="F8:F71">(100/E8)</f>
        <v>10</v>
      </c>
      <c r="G8" s="231">
        <v>1200</v>
      </c>
      <c r="H8" s="232">
        <f aca="true" t="shared" si="1" ref="H8:H71">((D8*F8%)/G8)*100%</f>
        <v>75.11864416666667</v>
      </c>
    </row>
    <row r="9" spans="2:8" ht="11.25">
      <c r="B9" s="85" t="s">
        <v>250</v>
      </c>
      <c r="C9" s="86" t="s">
        <v>251</v>
      </c>
      <c r="D9" s="236">
        <v>386694.9</v>
      </c>
      <c r="E9" s="242">
        <v>10</v>
      </c>
      <c r="F9" s="281">
        <f t="shared" si="0"/>
        <v>10</v>
      </c>
      <c r="G9" s="231">
        <v>1200</v>
      </c>
      <c r="H9" s="232">
        <f t="shared" si="1"/>
        <v>32.224575</v>
      </c>
    </row>
    <row r="10" spans="2:8" ht="11.25">
      <c r="B10" s="85" t="s">
        <v>252</v>
      </c>
      <c r="C10" s="86" t="s">
        <v>133</v>
      </c>
      <c r="D10" s="287">
        <v>920000</v>
      </c>
      <c r="E10" s="242">
        <v>10</v>
      </c>
      <c r="F10" s="281">
        <f t="shared" si="0"/>
        <v>10</v>
      </c>
      <c r="G10" s="284">
        <v>1320</v>
      </c>
      <c r="H10" s="232">
        <f t="shared" si="1"/>
        <v>69.6969696969697</v>
      </c>
    </row>
    <row r="11" spans="2:8" ht="11.25">
      <c r="B11" s="85" t="s">
        <v>1</v>
      </c>
      <c r="C11" s="86" t="s">
        <v>219</v>
      </c>
      <c r="D11" s="236">
        <v>3256245</v>
      </c>
      <c r="E11" s="242">
        <v>10</v>
      </c>
      <c r="F11" s="281">
        <f t="shared" si="0"/>
        <v>10</v>
      </c>
      <c r="G11" s="284">
        <v>1790</v>
      </c>
      <c r="H11" s="232">
        <f t="shared" si="1"/>
        <v>181.9131284916201</v>
      </c>
    </row>
    <row r="12" spans="2:8" ht="11.25">
      <c r="B12" s="85" t="s">
        <v>253</v>
      </c>
      <c r="C12" s="86" t="s">
        <v>508</v>
      </c>
      <c r="D12" s="236">
        <v>679601.69</v>
      </c>
      <c r="E12" s="242">
        <v>10</v>
      </c>
      <c r="F12" s="281">
        <f t="shared" si="0"/>
        <v>10</v>
      </c>
      <c r="G12" s="284">
        <v>1100</v>
      </c>
      <c r="H12" s="232">
        <f t="shared" si="1"/>
        <v>61.781971818181816</v>
      </c>
    </row>
    <row r="13" spans="2:8" ht="11.25">
      <c r="B13" s="85" t="s">
        <v>253</v>
      </c>
      <c r="C13" s="86" t="s">
        <v>164</v>
      </c>
      <c r="D13" s="236">
        <v>345762.7</v>
      </c>
      <c r="E13" s="242">
        <v>8</v>
      </c>
      <c r="F13" s="281">
        <f t="shared" si="0"/>
        <v>12.5</v>
      </c>
      <c r="G13" s="231">
        <v>760</v>
      </c>
      <c r="H13" s="232">
        <f t="shared" si="1"/>
        <v>56.86886513157895</v>
      </c>
    </row>
    <row r="14" spans="2:12" s="233" customFormat="1" ht="12.75">
      <c r="B14" s="228" t="s">
        <v>537</v>
      </c>
      <c r="C14" s="229" t="s">
        <v>218</v>
      </c>
      <c r="D14" s="230">
        <v>901423.73</v>
      </c>
      <c r="E14" s="242">
        <v>10</v>
      </c>
      <c r="F14" s="281">
        <f t="shared" si="0"/>
        <v>10</v>
      </c>
      <c r="G14" s="284">
        <v>1100</v>
      </c>
      <c r="H14" s="232">
        <f t="shared" si="1"/>
        <v>81.94761181818183</v>
      </c>
      <c r="L14" s="234"/>
    </row>
    <row r="15" spans="2:8" ht="11.25">
      <c r="B15" s="85" t="s">
        <v>450</v>
      </c>
      <c r="C15" s="86" t="s">
        <v>407</v>
      </c>
      <c r="D15" s="236">
        <f>D13</f>
        <v>345762.7</v>
      </c>
      <c r="E15" s="242">
        <v>8</v>
      </c>
      <c r="F15" s="281">
        <f t="shared" si="0"/>
        <v>12.5</v>
      </c>
      <c r="G15" s="231">
        <v>1200</v>
      </c>
      <c r="H15" s="232">
        <f t="shared" si="1"/>
        <v>36.016947916666666</v>
      </c>
    </row>
    <row r="16" spans="2:12" s="233" customFormat="1" ht="12.75">
      <c r="B16" s="235" t="s">
        <v>538</v>
      </c>
      <c r="C16" s="231" t="s">
        <v>539</v>
      </c>
      <c r="D16" s="236">
        <v>3743397</v>
      </c>
      <c r="E16" s="242">
        <v>10</v>
      </c>
      <c r="F16" s="281">
        <f t="shared" si="0"/>
        <v>10</v>
      </c>
      <c r="G16" s="231">
        <v>150</v>
      </c>
      <c r="H16" s="232">
        <f t="shared" si="1"/>
        <v>2495.598</v>
      </c>
      <c r="L16" s="234"/>
    </row>
    <row r="17" spans="2:8" ht="11.25">
      <c r="B17" s="85" t="s">
        <v>254</v>
      </c>
      <c r="C17" s="86" t="s">
        <v>139</v>
      </c>
      <c r="D17" s="236">
        <v>1200366.1</v>
      </c>
      <c r="E17" s="242">
        <v>10</v>
      </c>
      <c r="F17" s="281">
        <f t="shared" si="0"/>
        <v>10</v>
      </c>
      <c r="G17" s="231">
        <v>115</v>
      </c>
      <c r="H17" s="232">
        <f t="shared" si="1"/>
        <v>1043.7966086956524</v>
      </c>
    </row>
    <row r="18" spans="2:8" s="233" customFormat="1" ht="11.25">
      <c r="B18" s="235" t="s">
        <v>540</v>
      </c>
      <c r="C18" s="231" t="s">
        <v>541</v>
      </c>
      <c r="D18" s="236">
        <v>1800000</v>
      </c>
      <c r="E18" s="242">
        <v>10</v>
      </c>
      <c r="F18" s="281">
        <f t="shared" si="0"/>
        <v>10</v>
      </c>
      <c r="G18" s="231">
        <v>150</v>
      </c>
      <c r="H18" s="232">
        <f t="shared" si="1"/>
        <v>1200</v>
      </c>
    </row>
    <row r="19" spans="2:8" ht="11.25" customHeight="1">
      <c r="B19" s="85" t="s">
        <v>255</v>
      </c>
      <c r="C19" s="28" t="s">
        <v>451</v>
      </c>
      <c r="D19" s="243">
        <v>630760</v>
      </c>
      <c r="E19" s="242">
        <v>10</v>
      </c>
      <c r="F19" s="281">
        <f t="shared" si="0"/>
        <v>10</v>
      </c>
      <c r="G19" s="231">
        <v>1200</v>
      </c>
      <c r="H19" s="232">
        <f t="shared" si="1"/>
        <v>52.56333333333333</v>
      </c>
    </row>
    <row r="20" spans="2:8" ht="11.25">
      <c r="B20" s="85" t="s">
        <v>256</v>
      </c>
      <c r="C20" s="86" t="s">
        <v>238</v>
      </c>
      <c r="D20" s="236">
        <v>15000</v>
      </c>
      <c r="E20" s="242">
        <v>8</v>
      </c>
      <c r="F20" s="281">
        <f t="shared" si="0"/>
        <v>12.5</v>
      </c>
      <c r="G20" s="231">
        <v>160</v>
      </c>
      <c r="H20" s="232">
        <f t="shared" si="1"/>
        <v>11.71875</v>
      </c>
    </row>
    <row r="21" spans="2:8" ht="11.25">
      <c r="B21" s="85" t="s">
        <v>257</v>
      </c>
      <c r="C21" s="86" t="s">
        <v>258</v>
      </c>
      <c r="D21" s="236">
        <v>101694.9</v>
      </c>
      <c r="E21" s="242">
        <v>8</v>
      </c>
      <c r="F21" s="281">
        <f t="shared" si="0"/>
        <v>12.5</v>
      </c>
      <c r="G21" s="284">
        <v>280</v>
      </c>
      <c r="H21" s="232">
        <f t="shared" si="1"/>
        <v>45.39950892857143</v>
      </c>
    </row>
    <row r="22" spans="2:8" ht="23.25" customHeight="1">
      <c r="B22" s="85" t="s">
        <v>444</v>
      </c>
      <c r="C22" s="85" t="s">
        <v>444</v>
      </c>
      <c r="D22" s="236">
        <f>D21</f>
        <v>101694.9</v>
      </c>
      <c r="E22" s="242">
        <v>8</v>
      </c>
      <c r="F22" s="281">
        <f t="shared" si="0"/>
        <v>12.5</v>
      </c>
      <c r="G22" s="284">
        <v>280</v>
      </c>
      <c r="H22" s="232">
        <f t="shared" si="1"/>
        <v>45.39950892857143</v>
      </c>
    </row>
    <row r="23" spans="2:8" ht="11.25">
      <c r="B23" s="85" t="s">
        <v>259</v>
      </c>
      <c r="C23" s="86" t="s">
        <v>260</v>
      </c>
      <c r="D23" s="236">
        <v>122033.8</v>
      </c>
      <c r="E23" s="242">
        <v>9</v>
      </c>
      <c r="F23" s="281">
        <f t="shared" si="0"/>
        <v>11.11111111111111</v>
      </c>
      <c r="G23" s="284">
        <v>280</v>
      </c>
      <c r="H23" s="232">
        <f t="shared" si="1"/>
        <v>48.426111111111105</v>
      </c>
    </row>
    <row r="24" spans="2:8" ht="11.25">
      <c r="B24" s="85" t="s">
        <v>261</v>
      </c>
      <c r="C24" s="86" t="s">
        <v>141</v>
      </c>
      <c r="D24" s="236">
        <v>1230426.27</v>
      </c>
      <c r="E24" s="242">
        <v>8</v>
      </c>
      <c r="F24" s="281">
        <f t="shared" si="0"/>
        <v>12.5</v>
      </c>
      <c r="G24" s="284">
        <v>280</v>
      </c>
      <c r="H24" s="232">
        <f t="shared" si="1"/>
        <v>549.2974419642857</v>
      </c>
    </row>
    <row r="25" spans="2:8" ht="11.25">
      <c r="B25" s="85" t="s">
        <v>262</v>
      </c>
      <c r="C25" s="86" t="s">
        <v>140</v>
      </c>
      <c r="D25" s="236">
        <v>73863.56</v>
      </c>
      <c r="E25" s="242">
        <v>10</v>
      </c>
      <c r="F25" s="281">
        <f t="shared" si="0"/>
        <v>10</v>
      </c>
      <c r="G25" s="285">
        <v>590</v>
      </c>
      <c r="H25" s="232">
        <f t="shared" si="1"/>
        <v>12.519247457627118</v>
      </c>
    </row>
    <row r="26" spans="2:8" ht="11.25">
      <c r="B26" s="85" t="s">
        <v>446</v>
      </c>
      <c r="C26" s="86" t="s">
        <v>445</v>
      </c>
      <c r="D26" s="236">
        <f>D25</f>
        <v>73863.56</v>
      </c>
      <c r="E26" s="242">
        <v>10</v>
      </c>
      <c r="F26" s="281">
        <f t="shared" si="0"/>
        <v>10</v>
      </c>
      <c r="G26" s="286">
        <f>G25</f>
        <v>590</v>
      </c>
      <c r="H26" s="232">
        <f t="shared" si="1"/>
        <v>12.519247457627118</v>
      </c>
    </row>
    <row r="27" spans="2:8" ht="11.25">
      <c r="B27" s="85" t="s">
        <v>263</v>
      </c>
      <c r="C27" s="86" t="s">
        <v>225</v>
      </c>
      <c r="D27" s="236">
        <v>371186.4</v>
      </c>
      <c r="E27" s="280">
        <v>8</v>
      </c>
      <c r="F27" s="281">
        <f t="shared" si="0"/>
        <v>12.5</v>
      </c>
      <c r="G27" s="86">
        <v>135</v>
      </c>
      <c r="H27" s="232">
        <f t="shared" si="1"/>
        <v>343.6911111111111</v>
      </c>
    </row>
    <row r="28" spans="2:8" ht="11.25">
      <c r="B28" s="85" t="s">
        <v>264</v>
      </c>
      <c r="C28" s="86" t="s">
        <v>229</v>
      </c>
      <c r="D28" s="236">
        <v>369491.53</v>
      </c>
      <c r="E28" s="242">
        <v>8</v>
      </c>
      <c r="F28" s="281">
        <f t="shared" si="0"/>
        <v>12.5</v>
      </c>
      <c r="G28" s="86">
        <v>120</v>
      </c>
      <c r="H28" s="232">
        <f t="shared" si="1"/>
        <v>384.88701041666667</v>
      </c>
    </row>
    <row r="29" spans="2:8" ht="11.25">
      <c r="B29" s="85" t="s">
        <v>265</v>
      </c>
      <c r="C29" s="86" t="s">
        <v>227</v>
      </c>
      <c r="D29" s="236">
        <v>166779.6</v>
      </c>
      <c r="E29" s="242">
        <v>7</v>
      </c>
      <c r="F29" s="281">
        <f t="shared" si="0"/>
        <v>14.285714285714286</v>
      </c>
      <c r="G29" s="86">
        <v>168</v>
      </c>
      <c r="H29" s="232">
        <f t="shared" si="1"/>
        <v>141.81938775510207</v>
      </c>
    </row>
    <row r="30" spans="2:8" ht="11.25">
      <c r="B30" s="85" t="s">
        <v>266</v>
      </c>
      <c r="C30" s="86" t="s">
        <v>226</v>
      </c>
      <c r="D30" s="236">
        <v>82627.12</v>
      </c>
      <c r="E30" s="242">
        <v>5</v>
      </c>
      <c r="F30" s="281">
        <f t="shared" si="0"/>
        <v>20</v>
      </c>
      <c r="G30" s="86">
        <v>115</v>
      </c>
      <c r="H30" s="232">
        <f t="shared" si="1"/>
        <v>143.69933913043477</v>
      </c>
    </row>
    <row r="31" spans="2:8" ht="11.25">
      <c r="B31" s="85" t="s">
        <v>267</v>
      </c>
      <c r="C31" s="86" t="s">
        <v>228</v>
      </c>
      <c r="D31" s="236">
        <v>494067.8</v>
      </c>
      <c r="E31" s="242">
        <v>6</v>
      </c>
      <c r="F31" s="281">
        <f t="shared" si="0"/>
        <v>16.666666666666668</v>
      </c>
      <c r="G31" s="86">
        <v>120</v>
      </c>
      <c r="H31" s="232">
        <f t="shared" si="1"/>
        <v>686.2052777777778</v>
      </c>
    </row>
    <row r="32" spans="2:8" ht="11.25">
      <c r="B32" s="87" t="s">
        <v>268</v>
      </c>
      <c r="C32" s="32" t="s">
        <v>182</v>
      </c>
      <c r="D32" s="236">
        <v>573559.3</v>
      </c>
      <c r="E32" s="242">
        <v>8</v>
      </c>
      <c r="F32" s="281">
        <f t="shared" si="0"/>
        <v>12.5</v>
      </c>
      <c r="G32" s="86">
        <v>600</v>
      </c>
      <c r="H32" s="232">
        <f t="shared" si="1"/>
        <v>119.49152083333334</v>
      </c>
    </row>
    <row r="33" spans="2:8" ht="11.25">
      <c r="B33" s="85" t="s">
        <v>269</v>
      </c>
      <c r="C33" s="86" t="s">
        <v>145</v>
      </c>
      <c r="D33" s="236">
        <v>92542.4</v>
      </c>
      <c r="E33" s="242">
        <v>5</v>
      </c>
      <c r="F33" s="281">
        <f t="shared" si="0"/>
        <v>20</v>
      </c>
      <c r="G33" s="285">
        <v>190</v>
      </c>
      <c r="H33" s="232">
        <f t="shared" si="1"/>
        <v>97.41305263157895</v>
      </c>
    </row>
    <row r="34" spans="2:8" ht="11.25">
      <c r="B34" s="85" t="s">
        <v>448</v>
      </c>
      <c r="C34" s="86" t="s">
        <v>447</v>
      </c>
      <c r="D34" s="236">
        <f>D33</f>
        <v>92542.4</v>
      </c>
      <c r="E34" s="242">
        <v>5</v>
      </c>
      <c r="F34" s="281">
        <f t="shared" si="0"/>
        <v>20</v>
      </c>
      <c r="G34" s="285">
        <v>190</v>
      </c>
      <c r="H34" s="232">
        <f t="shared" si="1"/>
        <v>97.41305263157895</v>
      </c>
    </row>
    <row r="35" spans="2:8" ht="11.25">
      <c r="B35" s="85" t="s">
        <v>2</v>
      </c>
      <c r="C35" s="86" t="s">
        <v>468</v>
      </c>
      <c r="D35" s="236">
        <v>600000</v>
      </c>
      <c r="E35" s="242">
        <v>5</v>
      </c>
      <c r="F35" s="281">
        <f t="shared" si="0"/>
        <v>20</v>
      </c>
      <c r="G35" s="285">
        <v>190</v>
      </c>
      <c r="H35" s="232">
        <f t="shared" si="1"/>
        <v>631.578947368421</v>
      </c>
    </row>
    <row r="36" spans="2:8" ht="11.25">
      <c r="B36" s="85" t="s">
        <v>270</v>
      </c>
      <c r="C36" s="86" t="s">
        <v>136</v>
      </c>
      <c r="D36" s="236">
        <v>280000</v>
      </c>
      <c r="E36" s="242">
        <v>5</v>
      </c>
      <c r="F36" s="281">
        <f t="shared" si="0"/>
        <v>20</v>
      </c>
      <c r="G36" s="285">
        <v>190</v>
      </c>
      <c r="H36" s="232">
        <f t="shared" si="1"/>
        <v>294.7368421052632</v>
      </c>
    </row>
    <row r="37" spans="2:8" ht="11.25">
      <c r="B37" s="85" t="s">
        <v>271</v>
      </c>
      <c r="C37" s="86" t="s">
        <v>272</v>
      </c>
      <c r="D37" s="236">
        <v>66101.6</v>
      </c>
      <c r="E37" s="242">
        <v>5</v>
      </c>
      <c r="F37" s="281">
        <f t="shared" si="0"/>
        <v>20</v>
      </c>
      <c r="G37" s="285">
        <v>190</v>
      </c>
      <c r="H37" s="232">
        <f t="shared" si="1"/>
        <v>69.58063157894738</v>
      </c>
    </row>
    <row r="38" spans="2:8" ht="11.25">
      <c r="B38" s="85" t="s">
        <v>273</v>
      </c>
      <c r="C38" s="86" t="s">
        <v>149</v>
      </c>
      <c r="D38" s="236">
        <v>172881.36</v>
      </c>
      <c r="E38" s="280">
        <v>2</v>
      </c>
      <c r="F38" s="281">
        <f t="shared" si="0"/>
        <v>50</v>
      </c>
      <c r="G38" s="86">
        <v>600</v>
      </c>
      <c r="H38" s="232">
        <f t="shared" si="1"/>
        <v>144.06779999999998</v>
      </c>
    </row>
    <row r="39" spans="2:8" ht="11.25">
      <c r="B39" s="85" t="s">
        <v>274</v>
      </c>
      <c r="C39" s="86" t="s">
        <v>275</v>
      </c>
      <c r="D39" s="236">
        <v>71237.2</v>
      </c>
      <c r="E39" s="242">
        <v>6</v>
      </c>
      <c r="F39" s="281">
        <f t="shared" si="0"/>
        <v>16.666666666666668</v>
      </c>
      <c r="G39" s="285">
        <v>122</v>
      </c>
      <c r="H39" s="232">
        <f t="shared" si="1"/>
        <v>97.31857923497267</v>
      </c>
    </row>
    <row r="40" spans="2:8" ht="11.25">
      <c r="B40" s="85" t="s">
        <v>276</v>
      </c>
      <c r="C40" s="86" t="s">
        <v>232</v>
      </c>
      <c r="D40" s="236">
        <v>29118.6</v>
      </c>
      <c r="E40" s="242">
        <v>6</v>
      </c>
      <c r="F40" s="281">
        <f t="shared" si="0"/>
        <v>16.666666666666668</v>
      </c>
      <c r="G40" s="285">
        <v>122</v>
      </c>
      <c r="H40" s="232">
        <f t="shared" si="1"/>
        <v>39.779508196721316</v>
      </c>
    </row>
    <row r="41" spans="2:8" ht="11.25">
      <c r="B41" s="85" t="s">
        <v>277</v>
      </c>
      <c r="C41" s="86" t="s">
        <v>240</v>
      </c>
      <c r="D41" s="236">
        <v>14872.8</v>
      </c>
      <c r="E41" s="242">
        <v>5</v>
      </c>
      <c r="F41" s="281">
        <f t="shared" si="0"/>
        <v>20</v>
      </c>
      <c r="G41" s="285">
        <v>168</v>
      </c>
      <c r="H41" s="232">
        <f t="shared" si="1"/>
        <v>17.705714285714286</v>
      </c>
    </row>
    <row r="42" spans="2:8" ht="11.25">
      <c r="B42" s="87" t="s">
        <v>278</v>
      </c>
      <c r="C42" s="32" t="s">
        <v>234</v>
      </c>
      <c r="D42" s="236">
        <v>22033.8</v>
      </c>
      <c r="E42" s="242">
        <v>6</v>
      </c>
      <c r="F42" s="281">
        <f t="shared" si="0"/>
        <v>16.666666666666668</v>
      </c>
      <c r="G42" s="285">
        <v>122</v>
      </c>
      <c r="H42" s="232">
        <f t="shared" si="1"/>
        <v>30.10081967213115</v>
      </c>
    </row>
    <row r="43" spans="2:8" ht="11.25">
      <c r="B43" s="85" t="s">
        <v>273</v>
      </c>
      <c r="C43" s="86" t="s">
        <v>177</v>
      </c>
      <c r="D43" s="236">
        <v>88135.5</v>
      </c>
      <c r="E43" s="280">
        <v>2</v>
      </c>
      <c r="F43" s="281">
        <f t="shared" si="0"/>
        <v>50</v>
      </c>
      <c r="G43" s="86">
        <v>600</v>
      </c>
      <c r="H43" s="232">
        <f t="shared" si="1"/>
        <v>73.44625</v>
      </c>
    </row>
    <row r="44" spans="2:8" ht="11.25">
      <c r="B44" s="85" t="s">
        <v>279</v>
      </c>
      <c r="C44" s="86" t="s">
        <v>157</v>
      </c>
      <c r="D44" s="236">
        <v>99679.66</v>
      </c>
      <c r="E44" s="242">
        <v>10</v>
      </c>
      <c r="F44" s="281">
        <f t="shared" si="0"/>
        <v>10</v>
      </c>
      <c r="G44" s="86">
        <v>675</v>
      </c>
      <c r="H44" s="232">
        <f t="shared" si="1"/>
        <v>14.767357037037037</v>
      </c>
    </row>
    <row r="45" spans="2:8" s="233" customFormat="1" ht="11.25">
      <c r="B45" s="228" t="s">
        <v>542</v>
      </c>
      <c r="C45" s="229" t="s">
        <v>543</v>
      </c>
      <c r="D45" s="230">
        <v>40645</v>
      </c>
      <c r="E45" s="242">
        <v>8</v>
      </c>
      <c r="F45" s="281">
        <f t="shared" si="0"/>
        <v>12.5</v>
      </c>
      <c r="G45" s="285">
        <v>112</v>
      </c>
      <c r="H45" s="232">
        <f t="shared" si="1"/>
        <v>45.362723214285715</v>
      </c>
    </row>
    <row r="46" spans="2:8" ht="11.25">
      <c r="B46" s="85" t="s">
        <v>280</v>
      </c>
      <c r="C46" s="86" t="s">
        <v>184</v>
      </c>
      <c r="D46" s="236">
        <v>40644.92</v>
      </c>
      <c r="E46" s="242">
        <v>8</v>
      </c>
      <c r="F46" s="281">
        <f t="shared" si="0"/>
        <v>12.5</v>
      </c>
      <c r="G46" s="285">
        <v>112</v>
      </c>
      <c r="H46" s="232">
        <f t="shared" si="1"/>
        <v>45.36263392857143</v>
      </c>
    </row>
    <row r="47" spans="2:8" ht="11.25">
      <c r="B47" s="85" t="s">
        <v>281</v>
      </c>
      <c r="C47" s="86" t="s">
        <v>224</v>
      </c>
      <c r="D47" s="236">
        <v>77118.6</v>
      </c>
      <c r="E47" s="242">
        <v>8</v>
      </c>
      <c r="F47" s="281">
        <f t="shared" si="0"/>
        <v>12.5</v>
      </c>
      <c r="G47" s="285">
        <v>112</v>
      </c>
      <c r="H47" s="232">
        <f t="shared" si="1"/>
        <v>86.06986607142858</v>
      </c>
    </row>
    <row r="48" spans="2:8" ht="11.25">
      <c r="B48" s="87" t="s">
        <v>282</v>
      </c>
      <c r="C48" s="32" t="s">
        <v>153</v>
      </c>
      <c r="D48" s="236">
        <v>208474.5</v>
      </c>
      <c r="E48" s="242">
        <v>8</v>
      </c>
      <c r="F48" s="281">
        <f t="shared" si="0"/>
        <v>12.5</v>
      </c>
      <c r="G48" s="86">
        <v>120</v>
      </c>
      <c r="H48" s="232">
        <f t="shared" si="1"/>
        <v>217.1609375</v>
      </c>
    </row>
    <row r="49" spans="2:8" ht="11.25">
      <c r="B49" s="85" t="s">
        <v>283</v>
      </c>
      <c r="C49" s="86" t="s">
        <v>158</v>
      </c>
      <c r="D49" s="287">
        <v>150000</v>
      </c>
      <c r="E49" s="242">
        <v>7</v>
      </c>
      <c r="F49" s="281">
        <f t="shared" si="0"/>
        <v>14.285714285714286</v>
      </c>
      <c r="G49" s="86">
        <v>135</v>
      </c>
      <c r="H49" s="232">
        <f t="shared" si="1"/>
        <v>158.73015873015876</v>
      </c>
    </row>
    <row r="50" spans="2:8" ht="11.25">
      <c r="B50" s="85" t="s">
        <v>284</v>
      </c>
      <c r="C50" s="86" t="s">
        <v>239</v>
      </c>
      <c r="D50" s="236">
        <v>18220.34</v>
      </c>
      <c r="E50" s="242">
        <v>5</v>
      </c>
      <c r="F50" s="281">
        <f t="shared" si="0"/>
        <v>20</v>
      </c>
      <c r="G50" s="86">
        <v>120</v>
      </c>
      <c r="H50" s="232">
        <f t="shared" si="1"/>
        <v>30.367233333333335</v>
      </c>
    </row>
    <row r="51" spans="2:8" ht="11.25">
      <c r="B51" s="85" t="s">
        <v>285</v>
      </c>
      <c r="C51" s="86" t="s">
        <v>286</v>
      </c>
      <c r="D51" s="236">
        <v>511102.54</v>
      </c>
      <c r="E51" s="242">
        <v>8</v>
      </c>
      <c r="F51" s="281">
        <f t="shared" si="0"/>
        <v>12.5</v>
      </c>
      <c r="G51" s="86">
        <v>200</v>
      </c>
      <c r="H51" s="232">
        <f t="shared" si="1"/>
        <v>319.43908749999997</v>
      </c>
    </row>
    <row r="52" spans="2:8" ht="11.25">
      <c r="B52" s="85" t="s">
        <v>287</v>
      </c>
      <c r="C52" s="86" t="s">
        <v>288</v>
      </c>
      <c r="D52" s="236">
        <v>74745.8</v>
      </c>
      <c r="E52" s="242">
        <v>8</v>
      </c>
      <c r="F52" s="281">
        <f t="shared" si="0"/>
        <v>12.5</v>
      </c>
      <c r="G52" s="285">
        <v>185</v>
      </c>
      <c r="H52" s="232">
        <f t="shared" si="1"/>
        <v>50.50391891891892</v>
      </c>
    </row>
    <row r="53" spans="2:8" ht="11.25">
      <c r="B53" s="85" t="s">
        <v>289</v>
      </c>
      <c r="C53" s="86" t="s">
        <v>146</v>
      </c>
      <c r="D53" s="236">
        <v>66101.6</v>
      </c>
      <c r="E53" s="242">
        <v>8</v>
      </c>
      <c r="F53" s="281">
        <f t="shared" si="0"/>
        <v>12.5</v>
      </c>
      <c r="G53" s="86">
        <v>160</v>
      </c>
      <c r="H53" s="232">
        <f t="shared" si="1"/>
        <v>51.641875000000006</v>
      </c>
    </row>
    <row r="54" spans="2:8" ht="11.25">
      <c r="B54" s="85" t="s">
        <v>290</v>
      </c>
      <c r="C54" s="86" t="s">
        <v>183</v>
      </c>
      <c r="D54" s="236">
        <v>69525.4</v>
      </c>
      <c r="E54" s="242">
        <v>8</v>
      </c>
      <c r="F54" s="281">
        <f t="shared" si="0"/>
        <v>12.5</v>
      </c>
      <c r="G54" s="86">
        <v>200</v>
      </c>
      <c r="H54" s="232">
        <f t="shared" si="1"/>
        <v>43.453374999999994</v>
      </c>
    </row>
    <row r="55" spans="2:8" ht="11.25">
      <c r="B55" s="85"/>
      <c r="C55" s="86" t="s">
        <v>469</v>
      </c>
      <c r="D55" s="236">
        <v>600000</v>
      </c>
      <c r="E55" s="242">
        <v>8</v>
      </c>
      <c r="F55" s="281">
        <f t="shared" si="0"/>
        <v>12.5</v>
      </c>
      <c r="G55" s="86">
        <v>65</v>
      </c>
      <c r="H55" s="232">
        <f t="shared" si="1"/>
        <v>1153.8461538461538</v>
      </c>
    </row>
    <row r="56" spans="2:8" ht="11.25">
      <c r="B56" s="85" t="s">
        <v>291</v>
      </c>
      <c r="C56" s="86" t="s">
        <v>155</v>
      </c>
      <c r="D56" s="236">
        <v>52203.4</v>
      </c>
      <c r="E56" s="242">
        <v>8</v>
      </c>
      <c r="F56" s="281">
        <f t="shared" si="0"/>
        <v>12.5</v>
      </c>
      <c r="G56" s="86">
        <v>195</v>
      </c>
      <c r="H56" s="232">
        <f t="shared" si="1"/>
        <v>33.46371794871795</v>
      </c>
    </row>
    <row r="57" spans="2:8" ht="11.25">
      <c r="B57" s="87" t="s">
        <v>292</v>
      </c>
      <c r="C57" s="32" t="s">
        <v>571</v>
      </c>
      <c r="D57" s="236">
        <v>19491.5</v>
      </c>
      <c r="E57" s="242">
        <v>5</v>
      </c>
      <c r="F57" s="281">
        <f t="shared" si="0"/>
        <v>20</v>
      </c>
      <c r="G57" s="86">
        <v>130</v>
      </c>
      <c r="H57" s="232">
        <f t="shared" si="1"/>
        <v>29.986923076923077</v>
      </c>
    </row>
    <row r="58" spans="2:8" ht="11.25">
      <c r="B58" s="85" t="s">
        <v>293</v>
      </c>
      <c r="C58" s="86" t="s">
        <v>231</v>
      </c>
      <c r="D58" s="236">
        <v>1423728.81</v>
      </c>
      <c r="E58" s="242">
        <v>7</v>
      </c>
      <c r="F58" s="281">
        <f t="shared" si="0"/>
        <v>14.285714285714286</v>
      </c>
      <c r="G58" s="86">
        <v>130</v>
      </c>
      <c r="H58" s="232">
        <f t="shared" si="1"/>
        <v>1564.5371538461543</v>
      </c>
    </row>
    <row r="59" spans="2:8" ht="11.25">
      <c r="B59" s="85" t="s">
        <v>3</v>
      </c>
      <c r="C59" s="86" t="s">
        <v>471</v>
      </c>
      <c r="D59" s="236">
        <v>450000</v>
      </c>
      <c r="E59" s="242">
        <v>8</v>
      </c>
      <c r="F59" s="281">
        <f t="shared" si="0"/>
        <v>12.5</v>
      </c>
      <c r="G59" s="86">
        <v>80</v>
      </c>
      <c r="H59" s="232">
        <f t="shared" si="1"/>
        <v>703.125</v>
      </c>
    </row>
    <row r="60" spans="2:8" ht="11.25">
      <c r="B60" s="85" t="s">
        <v>294</v>
      </c>
      <c r="C60" s="86" t="s">
        <v>162</v>
      </c>
      <c r="D60" s="236">
        <v>41864.4</v>
      </c>
      <c r="E60" s="242">
        <v>8</v>
      </c>
      <c r="F60" s="281">
        <f t="shared" si="0"/>
        <v>12.5</v>
      </c>
      <c r="G60" s="86">
        <v>125</v>
      </c>
      <c r="H60" s="232">
        <f t="shared" si="1"/>
        <v>41.8644</v>
      </c>
    </row>
    <row r="61" spans="2:8" ht="11.25">
      <c r="B61" s="85" t="s">
        <v>295</v>
      </c>
      <c r="C61" s="86" t="s">
        <v>159</v>
      </c>
      <c r="D61" s="236">
        <v>65254.2</v>
      </c>
      <c r="E61" s="242">
        <v>8</v>
      </c>
      <c r="F61" s="281">
        <f t="shared" si="0"/>
        <v>12.5</v>
      </c>
      <c r="G61" s="86">
        <v>160</v>
      </c>
      <c r="H61" s="232">
        <f t="shared" si="1"/>
        <v>50.97984375</v>
      </c>
    </row>
    <row r="62" spans="2:8" ht="11.25">
      <c r="B62" s="85" t="s">
        <v>296</v>
      </c>
      <c r="C62" s="86" t="s">
        <v>297</v>
      </c>
      <c r="D62" s="236">
        <v>233898.31</v>
      </c>
      <c r="E62" s="242">
        <v>8</v>
      </c>
      <c r="F62" s="281">
        <f t="shared" si="0"/>
        <v>12.5</v>
      </c>
      <c r="G62" s="285">
        <v>160</v>
      </c>
      <c r="H62" s="232">
        <f t="shared" si="1"/>
        <v>182.7330546875</v>
      </c>
    </row>
    <row r="63" spans="2:8" ht="11.25">
      <c r="B63" s="85" t="s">
        <v>296</v>
      </c>
      <c r="C63" s="86" t="s">
        <v>230</v>
      </c>
      <c r="D63" s="236">
        <v>320338.98</v>
      </c>
      <c r="E63" s="242">
        <v>8</v>
      </c>
      <c r="F63" s="281">
        <f t="shared" si="0"/>
        <v>12.5</v>
      </c>
      <c r="G63" s="285">
        <v>160</v>
      </c>
      <c r="H63" s="232">
        <f t="shared" si="1"/>
        <v>250.26482812499998</v>
      </c>
    </row>
    <row r="64" spans="2:8" ht="11.25">
      <c r="B64" s="85" t="s">
        <v>298</v>
      </c>
      <c r="C64" s="86" t="s">
        <v>151</v>
      </c>
      <c r="D64" s="236">
        <v>90666.95</v>
      </c>
      <c r="E64" s="242">
        <v>7</v>
      </c>
      <c r="F64" s="281">
        <f t="shared" si="0"/>
        <v>14.285714285714286</v>
      </c>
      <c r="G64" s="285">
        <v>120</v>
      </c>
      <c r="H64" s="232">
        <f t="shared" si="1"/>
        <v>107.93684523809524</v>
      </c>
    </row>
    <row r="65" spans="2:8" ht="11.25">
      <c r="B65" s="85" t="s">
        <v>299</v>
      </c>
      <c r="C65" s="86" t="s">
        <v>174</v>
      </c>
      <c r="D65" s="236">
        <v>61016.9</v>
      </c>
      <c r="E65" s="242">
        <v>7</v>
      </c>
      <c r="F65" s="281">
        <f t="shared" si="0"/>
        <v>14.285714285714286</v>
      </c>
      <c r="G65" s="285">
        <v>120</v>
      </c>
      <c r="H65" s="232">
        <f t="shared" si="1"/>
        <v>72.63916666666667</v>
      </c>
    </row>
    <row r="66" spans="2:8" ht="11.25">
      <c r="B66" s="85" t="s">
        <v>300</v>
      </c>
      <c r="C66" s="86" t="s">
        <v>137</v>
      </c>
      <c r="D66" s="236">
        <v>165254.24</v>
      </c>
      <c r="E66" s="242">
        <v>6</v>
      </c>
      <c r="F66" s="281">
        <f t="shared" si="0"/>
        <v>16.666666666666668</v>
      </c>
      <c r="G66" s="86">
        <v>140</v>
      </c>
      <c r="H66" s="232">
        <f t="shared" si="1"/>
        <v>196.73123809523813</v>
      </c>
    </row>
    <row r="67" spans="2:8" ht="11.25">
      <c r="B67" s="85" t="s">
        <v>301</v>
      </c>
      <c r="C67" s="32" t="s">
        <v>165</v>
      </c>
      <c r="D67" s="236">
        <v>172881.3</v>
      </c>
      <c r="E67" s="242">
        <v>10</v>
      </c>
      <c r="F67" s="281">
        <f t="shared" si="0"/>
        <v>10</v>
      </c>
      <c r="G67" s="86">
        <v>125</v>
      </c>
      <c r="H67" s="232">
        <f t="shared" si="1"/>
        <v>138.30504000000002</v>
      </c>
    </row>
    <row r="68" spans="2:8" ht="11.25">
      <c r="B68" s="87" t="s">
        <v>302</v>
      </c>
      <c r="C68" s="32" t="s">
        <v>175</v>
      </c>
      <c r="D68" s="236">
        <v>16400</v>
      </c>
      <c r="E68" s="242">
        <v>5</v>
      </c>
      <c r="F68" s="281">
        <f t="shared" si="0"/>
        <v>20</v>
      </c>
      <c r="G68" s="86">
        <v>26</v>
      </c>
      <c r="H68" s="232">
        <f t="shared" si="1"/>
        <v>126.15384615384616</v>
      </c>
    </row>
    <row r="69" spans="2:8" ht="11.25">
      <c r="B69" s="85" t="s">
        <v>303</v>
      </c>
      <c r="C69" s="86" t="s">
        <v>163</v>
      </c>
      <c r="D69" s="236">
        <v>82627.12</v>
      </c>
      <c r="E69" s="242">
        <v>7</v>
      </c>
      <c r="F69" s="281">
        <f t="shared" si="0"/>
        <v>14.285714285714286</v>
      </c>
      <c r="G69" s="86">
        <v>600</v>
      </c>
      <c r="H69" s="232">
        <f t="shared" si="1"/>
        <v>19.673123809523812</v>
      </c>
    </row>
    <row r="70" spans="2:8" ht="11.25">
      <c r="B70" s="85" t="s">
        <v>4</v>
      </c>
      <c r="C70" s="86" t="s">
        <v>470</v>
      </c>
      <c r="D70" s="236">
        <v>190000</v>
      </c>
      <c r="E70" s="242">
        <v>7</v>
      </c>
      <c r="F70" s="281">
        <f t="shared" si="0"/>
        <v>14.285714285714286</v>
      </c>
      <c r="G70" s="86">
        <v>600</v>
      </c>
      <c r="H70" s="232">
        <f t="shared" si="1"/>
        <v>45.23809523809524</v>
      </c>
    </row>
    <row r="71" spans="2:8" ht="11.25">
      <c r="B71" s="85" t="s">
        <v>304</v>
      </c>
      <c r="C71" s="86" t="s">
        <v>236</v>
      </c>
      <c r="D71" s="236">
        <v>70736.44</v>
      </c>
      <c r="E71" s="242">
        <v>7</v>
      </c>
      <c r="F71" s="281">
        <f t="shared" si="0"/>
        <v>14.285714285714286</v>
      </c>
      <c r="G71" s="86">
        <v>600</v>
      </c>
      <c r="H71" s="232">
        <f t="shared" si="1"/>
        <v>16.842009523809526</v>
      </c>
    </row>
    <row r="72" spans="2:8" ht="11.25">
      <c r="B72" s="85" t="s">
        <v>305</v>
      </c>
      <c r="C72" s="86" t="s">
        <v>138</v>
      </c>
      <c r="D72" s="236">
        <v>29139.83</v>
      </c>
      <c r="E72" s="242">
        <v>8</v>
      </c>
      <c r="F72" s="281">
        <f aca="true" t="shared" si="2" ref="F72:F98">(100/E72)</f>
        <v>12.5</v>
      </c>
      <c r="G72" s="285">
        <v>215</v>
      </c>
      <c r="H72" s="232">
        <f aca="true" t="shared" si="3" ref="H72:H98">((D72*F72%)/G72)*100%</f>
        <v>16.941761627906978</v>
      </c>
    </row>
    <row r="73" spans="2:8" ht="11.25">
      <c r="B73" s="85" t="s">
        <v>449</v>
      </c>
      <c r="C73" s="86" t="s">
        <v>431</v>
      </c>
      <c r="D73" s="236">
        <f>D72</f>
        <v>29139.83</v>
      </c>
      <c r="E73" s="242">
        <v>8</v>
      </c>
      <c r="F73" s="281">
        <f t="shared" si="2"/>
        <v>12.5</v>
      </c>
      <c r="G73" s="286">
        <v>215</v>
      </c>
      <c r="H73" s="232">
        <f t="shared" si="3"/>
        <v>16.941761627906978</v>
      </c>
    </row>
    <row r="74" spans="2:8" ht="11.25">
      <c r="B74" s="85" t="s">
        <v>306</v>
      </c>
      <c r="C74" s="86" t="s">
        <v>307</v>
      </c>
      <c r="D74" s="236">
        <v>181779.66</v>
      </c>
      <c r="E74" s="242">
        <v>6</v>
      </c>
      <c r="F74" s="281">
        <f t="shared" si="2"/>
        <v>16.666666666666668</v>
      </c>
      <c r="G74" s="286">
        <f>G73</f>
        <v>215</v>
      </c>
      <c r="H74" s="232">
        <f t="shared" si="3"/>
        <v>140.9144651162791</v>
      </c>
    </row>
    <row r="75" spans="2:8" ht="11.25">
      <c r="B75" s="87" t="s">
        <v>308</v>
      </c>
      <c r="C75" s="32" t="s">
        <v>237</v>
      </c>
      <c r="D75" s="236">
        <v>66101.6</v>
      </c>
      <c r="E75" s="242">
        <v>6</v>
      </c>
      <c r="F75" s="281">
        <f t="shared" si="2"/>
        <v>16.666666666666668</v>
      </c>
      <c r="G75" s="285">
        <v>120</v>
      </c>
      <c r="H75" s="232">
        <f t="shared" si="3"/>
        <v>91.8077777777778</v>
      </c>
    </row>
    <row r="76" spans="2:8" ht="11.25">
      <c r="B76" s="85" t="s">
        <v>267</v>
      </c>
      <c r="C76" s="86" t="s">
        <v>309</v>
      </c>
      <c r="D76" s="236">
        <v>132203.39</v>
      </c>
      <c r="E76" s="242">
        <v>6</v>
      </c>
      <c r="F76" s="281">
        <f t="shared" si="2"/>
        <v>16.666666666666668</v>
      </c>
      <c r="G76" s="285">
        <v>120</v>
      </c>
      <c r="H76" s="232">
        <f t="shared" si="3"/>
        <v>183.6158194444445</v>
      </c>
    </row>
    <row r="77" spans="2:8" ht="11.25">
      <c r="B77" s="87" t="s">
        <v>310</v>
      </c>
      <c r="C77" s="32" t="s">
        <v>235</v>
      </c>
      <c r="D77" s="236">
        <v>152542.3</v>
      </c>
      <c r="E77" s="242">
        <v>6</v>
      </c>
      <c r="F77" s="281">
        <f t="shared" si="2"/>
        <v>16.666666666666668</v>
      </c>
      <c r="G77" s="285">
        <v>120</v>
      </c>
      <c r="H77" s="232">
        <f t="shared" si="3"/>
        <v>211.86430555555555</v>
      </c>
    </row>
    <row r="78" spans="2:8" ht="11.25">
      <c r="B78" s="85" t="s">
        <v>311</v>
      </c>
      <c r="C78" s="32" t="s">
        <v>168</v>
      </c>
      <c r="D78" s="236">
        <v>215593.2</v>
      </c>
      <c r="E78" s="242">
        <v>9</v>
      </c>
      <c r="F78" s="281">
        <f t="shared" si="2"/>
        <v>11.11111111111111</v>
      </c>
      <c r="G78" s="86">
        <v>95</v>
      </c>
      <c r="H78" s="232">
        <f t="shared" si="3"/>
        <v>252.1557894736842</v>
      </c>
    </row>
    <row r="79" spans="2:8" ht="11.25">
      <c r="B79" s="85" t="s">
        <v>312</v>
      </c>
      <c r="C79" s="86" t="s">
        <v>178</v>
      </c>
      <c r="D79" s="236">
        <v>165221.1</v>
      </c>
      <c r="E79" s="242">
        <v>10</v>
      </c>
      <c r="F79" s="281">
        <f t="shared" si="2"/>
        <v>10</v>
      </c>
      <c r="G79" s="86">
        <v>650</v>
      </c>
      <c r="H79" s="232">
        <f t="shared" si="3"/>
        <v>25.41863076923077</v>
      </c>
    </row>
    <row r="80" spans="2:8" ht="11.25">
      <c r="B80" s="87" t="s">
        <v>313</v>
      </c>
      <c r="C80" s="32" t="s">
        <v>150</v>
      </c>
      <c r="D80" s="236">
        <v>73220.3</v>
      </c>
      <c r="E80" s="242">
        <v>7</v>
      </c>
      <c r="F80" s="281">
        <f t="shared" si="2"/>
        <v>14.285714285714286</v>
      </c>
      <c r="G80" s="86">
        <v>600</v>
      </c>
      <c r="H80" s="232">
        <f t="shared" si="3"/>
        <v>17.433404761904765</v>
      </c>
    </row>
    <row r="81" spans="2:8" ht="11.25">
      <c r="B81" s="85" t="s">
        <v>314</v>
      </c>
      <c r="C81" s="86" t="s">
        <v>154</v>
      </c>
      <c r="D81" s="236">
        <v>213559.3</v>
      </c>
      <c r="E81" s="242">
        <v>8</v>
      </c>
      <c r="F81" s="281">
        <f t="shared" si="2"/>
        <v>12.5</v>
      </c>
      <c r="G81" s="86">
        <v>110</v>
      </c>
      <c r="H81" s="232">
        <f t="shared" si="3"/>
        <v>242.6810227272727</v>
      </c>
    </row>
    <row r="82" spans="2:8" ht="11.25">
      <c r="B82" s="85" t="s">
        <v>315</v>
      </c>
      <c r="C82" s="86" t="s">
        <v>152</v>
      </c>
      <c r="D82" s="236">
        <v>104661.02</v>
      </c>
      <c r="E82" s="242">
        <v>6</v>
      </c>
      <c r="F82" s="281">
        <f t="shared" si="2"/>
        <v>16.666666666666668</v>
      </c>
      <c r="G82" s="86">
        <v>140</v>
      </c>
      <c r="H82" s="232">
        <f t="shared" si="3"/>
        <v>124.59645238095241</v>
      </c>
    </row>
    <row r="83" spans="2:8" ht="11.25">
      <c r="B83" s="85" t="s">
        <v>314</v>
      </c>
      <c r="C83" s="86" t="s">
        <v>179</v>
      </c>
      <c r="D83" s="236">
        <v>189152.5</v>
      </c>
      <c r="E83" s="242">
        <v>8</v>
      </c>
      <c r="F83" s="281">
        <f t="shared" si="2"/>
        <v>12.5</v>
      </c>
      <c r="G83" s="86">
        <v>110</v>
      </c>
      <c r="H83" s="232">
        <f t="shared" si="3"/>
        <v>214.94602272727272</v>
      </c>
    </row>
    <row r="84" spans="2:8" ht="11.25">
      <c r="B84" s="85" t="s">
        <v>316</v>
      </c>
      <c r="C84" s="86" t="s">
        <v>132</v>
      </c>
      <c r="D84" s="236">
        <v>176271.19</v>
      </c>
      <c r="E84" s="242">
        <v>8</v>
      </c>
      <c r="F84" s="281">
        <f t="shared" si="2"/>
        <v>12.5</v>
      </c>
      <c r="G84" s="86">
        <v>120</v>
      </c>
      <c r="H84" s="232">
        <f t="shared" si="3"/>
        <v>183.61582291666667</v>
      </c>
    </row>
    <row r="85" spans="2:8" ht="11.25">
      <c r="B85" s="85" t="s">
        <v>317</v>
      </c>
      <c r="C85" s="86" t="s">
        <v>135</v>
      </c>
      <c r="D85" s="236">
        <v>88983.1</v>
      </c>
      <c r="E85" s="242">
        <v>9.090909090909092</v>
      </c>
      <c r="F85" s="281">
        <f t="shared" si="2"/>
        <v>10.999999999999998</v>
      </c>
      <c r="G85" s="86">
        <v>90</v>
      </c>
      <c r="H85" s="232">
        <f t="shared" si="3"/>
        <v>108.75712222222222</v>
      </c>
    </row>
    <row r="86" spans="2:8" ht="11.25">
      <c r="B86" s="85" t="s">
        <v>318</v>
      </c>
      <c r="C86" s="86" t="s">
        <v>142</v>
      </c>
      <c r="D86" s="236">
        <v>837966.1</v>
      </c>
      <c r="E86" s="242">
        <v>10</v>
      </c>
      <c r="F86" s="281">
        <f t="shared" si="2"/>
        <v>10</v>
      </c>
      <c r="G86" s="86">
        <v>315</v>
      </c>
      <c r="H86" s="232">
        <f t="shared" si="3"/>
        <v>266.0209841269841</v>
      </c>
    </row>
    <row r="87" spans="2:8" ht="11.25">
      <c r="B87" s="85" t="s">
        <v>319</v>
      </c>
      <c r="C87" s="86" t="s">
        <v>320</v>
      </c>
      <c r="D87" s="236">
        <v>91525.42</v>
      </c>
      <c r="E87" s="242">
        <v>8</v>
      </c>
      <c r="F87" s="281">
        <f t="shared" si="2"/>
        <v>12.5</v>
      </c>
      <c r="G87" s="86">
        <v>100</v>
      </c>
      <c r="H87" s="232">
        <f t="shared" si="3"/>
        <v>114.406775</v>
      </c>
    </row>
    <row r="88" spans="2:8" ht="11.25">
      <c r="B88" s="85" t="s">
        <v>442</v>
      </c>
      <c r="C88" s="86" t="s">
        <v>180</v>
      </c>
      <c r="D88" s="236">
        <f>D87</f>
        <v>91525.42</v>
      </c>
      <c r="E88" s="242">
        <v>8</v>
      </c>
      <c r="F88" s="281">
        <f t="shared" si="2"/>
        <v>12.5</v>
      </c>
      <c r="G88" s="86">
        <v>100</v>
      </c>
      <c r="H88" s="232">
        <f t="shared" si="3"/>
        <v>114.406775</v>
      </c>
    </row>
    <row r="89" spans="2:8" ht="11.25">
      <c r="B89" s="87" t="s">
        <v>321</v>
      </c>
      <c r="C89" s="32" t="s">
        <v>161</v>
      </c>
      <c r="D89" s="236">
        <v>136271.1</v>
      </c>
      <c r="E89" s="242">
        <v>8</v>
      </c>
      <c r="F89" s="281">
        <f t="shared" si="2"/>
        <v>12.5</v>
      </c>
      <c r="G89" s="86">
        <v>120</v>
      </c>
      <c r="H89" s="232">
        <f t="shared" si="3"/>
        <v>141.9490625</v>
      </c>
    </row>
    <row r="90" spans="2:8" ht="11.25">
      <c r="B90" s="85" t="s">
        <v>322</v>
      </c>
      <c r="C90" s="86" t="s">
        <v>156</v>
      </c>
      <c r="D90" s="236">
        <v>178347.46</v>
      </c>
      <c r="E90" s="242">
        <v>9.00900900900901</v>
      </c>
      <c r="F90" s="281">
        <f t="shared" si="2"/>
        <v>11.1</v>
      </c>
      <c r="G90" s="86">
        <v>675</v>
      </c>
      <c r="H90" s="232">
        <f t="shared" si="3"/>
        <v>29.328248977777776</v>
      </c>
    </row>
    <row r="91" spans="2:8" ht="11.25">
      <c r="B91" s="85" t="s">
        <v>443</v>
      </c>
      <c r="C91" s="86" t="s">
        <v>220</v>
      </c>
      <c r="D91" s="236">
        <f>D90</f>
        <v>178347.46</v>
      </c>
      <c r="E91" s="242">
        <v>9.00900900900901</v>
      </c>
      <c r="F91" s="281">
        <f t="shared" si="2"/>
        <v>11.1</v>
      </c>
      <c r="G91" s="282">
        <f>G90</f>
        <v>675</v>
      </c>
      <c r="H91" s="232">
        <f t="shared" si="3"/>
        <v>29.328248977777776</v>
      </c>
    </row>
    <row r="92" spans="2:8" ht="11.25">
      <c r="B92" s="85" t="s">
        <v>323</v>
      </c>
      <c r="C92" s="86" t="s">
        <v>324</v>
      </c>
      <c r="D92" s="236">
        <v>382372.8</v>
      </c>
      <c r="E92" s="242">
        <v>9.00900900900901</v>
      </c>
      <c r="F92" s="281">
        <f t="shared" si="2"/>
        <v>11.1</v>
      </c>
      <c r="G92" s="86">
        <v>675</v>
      </c>
      <c r="H92" s="232">
        <f t="shared" si="3"/>
        <v>62.87908266666666</v>
      </c>
    </row>
    <row r="93" spans="2:8" ht="11.25">
      <c r="B93" s="85" t="s">
        <v>325</v>
      </c>
      <c r="C93" s="86" t="s">
        <v>326</v>
      </c>
      <c r="D93" s="236">
        <v>575135.59</v>
      </c>
      <c r="E93" s="242">
        <v>9.00900900900901</v>
      </c>
      <c r="F93" s="281">
        <f t="shared" si="2"/>
        <v>11.1</v>
      </c>
      <c r="G93" s="86">
        <v>675</v>
      </c>
      <c r="H93" s="232">
        <f t="shared" si="3"/>
        <v>94.57785257777778</v>
      </c>
    </row>
    <row r="94" spans="2:8" ht="11.25">
      <c r="B94" s="85" t="s">
        <v>327</v>
      </c>
      <c r="C94" s="86" t="s">
        <v>233</v>
      </c>
      <c r="D94" s="236">
        <v>142372.88</v>
      </c>
      <c r="E94" s="242">
        <v>8</v>
      </c>
      <c r="F94" s="281">
        <f t="shared" si="2"/>
        <v>12.5</v>
      </c>
      <c r="G94" s="86">
        <v>180</v>
      </c>
      <c r="H94" s="232">
        <f t="shared" si="3"/>
        <v>98.87005555555555</v>
      </c>
    </row>
    <row r="95" spans="2:8" ht="11.25">
      <c r="B95" s="85" t="s">
        <v>169</v>
      </c>
      <c r="C95" s="86" t="s">
        <v>328</v>
      </c>
      <c r="D95" s="236">
        <v>79322.03</v>
      </c>
      <c r="E95" s="242">
        <v>10</v>
      </c>
      <c r="F95" s="281">
        <f t="shared" si="2"/>
        <v>10</v>
      </c>
      <c r="G95" s="283">
        <v>800</v>
      </c>
      <c r="H95" s="232">
        <f t="shared" si="3"/>
        <v>9.91525375</v>
      </c>
    </row>
    <row r="96" spans="2:8" ht="11.25">
      <c r="B96" s="85" t="s">
        <v>169</v>
      </c>
      <c r="C96" s="86" t="s">
        <v>329</v>
      </c>
      <c r="D96" s="236">
        <v>309152.5</v>
      </c>
      <c r="E96" s="242">
        <v>10</v>
      </c>
      <c r="F96" s="281">
        <f t="shared" si="2"/>
        <v>10</v>
      </c>
      <c r="G96" s="86">
        <v>800</v>
      </c>
      <c r="H96" s="232">
        <f t="shared" si="3"/>
        <v>38.6440625</v>
      </c>
    </row>
    <row r="97" spans="2:8" ht="11.25">
      <c r="B97" s="85" t="s">
        <v>330</v>
      </c>
      <c r="C97" s="86" t="s">
        <v>166</v>
      </c>
      <c r="D97" s="236">
        <v>72800</v>
      </c>
      <c r="E97" s="242">
        <v>8</v>
      </c>
      <c r="F97" s="281">
        <f t="shared" si="2"/>
        <v>12.5</v>
      </c>
      <c r="G97" s="86">
        <v>150</v>
      </c>
      <c r="H97" s="232">
        <f t="shared" si="3"/>
        <v>60.666666666666664</v>
      </c>
    </row>
    <row r="98" spans="2:8" s="233" customFormat="1" ht="11.25">
      <c r="B98" s="237" t="s">
        <v>544</v>
      </c>
      <c r="C98" s="237" t="s">
        <v>545</v>
      </c>
      <c r="D98" s="238">
        <v>2655000</v>
      </c>
      <c r="E98" s="242">
        <v>10</v>
      </c>
      <c r="F98" s="281">
        <f t="shared" si="2"/>
        <v>10</v>
      </c>
      <c r="G98" s="231">
        <v>1200</v>
      </c>
      <c r="H98" s="232">
        <f t="shared" si="3"/>
        <v>221.25</v>
      </c>
    </row>
  </sheetData>
  <sheetProtection/>
  <mergeCells count="8">
    <mergeCell ref="B1:H1"/>
    <mergeCell ref="F4:F6"/>
    <mergeCell ref="H4:H6"/>
    <mergeCell ref="B4:B6"/>
    <mergeCell ref="C4:C6"/>
    <mergeCell ref="D4:D6"/>
    <mergeCell ref="E4:E6"/>
    <mergeCell ref="G4:G6"/>
  </mergeCells>
  <conditionalFormatting sqref="B19:B97 C20:C97 B7:C15 B17:C17">
    <cfRule type="cellIs" priority="6" dxfId="33" operator="equal" stopIfTrue="1">
      <formula>0</formula>
    </cfRule>
  </conditionalFormatting>
  <conditionalFormatting sqref="D17 D20:D97 D7:D15 D99:D65536">
    <cfRule type="cellIs" priority="7" dxfId="34" operator="equal" stopIfTrue="1">
      <formula>0</formula>
    </cfRule>
  </conditionalFormatting>
  <conditionalFormatting sqref="D14 D45">
    <cfRule type="cellIs" priority="3" dxfId="34" operator="equal" stopIfTrue="1">
      <formula>0</formula>
    </cfRule>
  </conditionalFormatting>
  <conditionalFormatting sqref="G92:G97 G25 G75:G90 G27:G72">
    <cfRule type="cellIs" priority="1" dxfId="33" operator="equal" stopIfTrue="1">
      <formula>0</formula>
    </cfRule>
  </conditionalFormatting>
  <conditionalFormatting sqref="G91 G26 G73:G74">
    <cfRule type="cellIs" priority="2" dxfId="34" operator="equal" stopIfTrue="1">
      <formula>0</formula>
    </cfRule>
  </conditionalFormatting>
  <printOptions/>
  <pageMargins left="0.7480314960629921" right="0.7480314960629921" top="0.4330708661417323" bottom="0.2755905511811024" header="0.5118110236220472" footer="0.5118110236220472"/>
  <pageSetup horizontalDpi="600" verticalDpi="600" orientation="portrait" paperSize="9" scale="60" r:id="rId3"/>
  <headerFooter alignWithMargins="0">
    <oddFooter>&amp;LОтдел СЭР села ЯНИИСХ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4"/>
  <sheetViews>
    <sheetView view="pageBreakPreview" zoomScale="90" zoomScaleNormal="80" zoomScaleSheetLayoutView="90" zoomScalePageLayoutView="0" workbookViewId="0" topLeftCell="A1">
      <selection activeCell="AE44" sqref="AE44"/>
    </sheetView>
  </sheetViews>
  <sheetFormatPr defaultColWidth="9.00390625" defaultRowHeight="12.75"/>
  <cols>
    <col min="1" max="1" width="9.125" style="129" customWidth="1"/>
    <col min="2" max="2" width="33.25390625" style="132" customWidth="1"/>
    <col min="3" max="3" width="5.625" style="137" customWidth="1"/>
    <col min="4" max="5" width="5.625" style="132" customWidth="1"/>
    <col min="6" max="6" width="5.625" style="133" customWidth="1"/>
    <col min="7" max="7" width="7.25390625" style="138" customWidth="1"/>
    <col min="8" max="8" width="8.125" style="133" customWidth="1"/>
    <col min="9" max="9" width="8.125" style="137" customWidth="1"/>
    <col min="10" max="11" width="8.125" style="132" customWidth="1"/>
    <col min="12" max="12" width="8.125" style="133" customWidth="1"/>
    <col min="13" max="13" width="9.625" style="139" customWidth="1"/>
    <col min="14" max="14" width="8.875" style="187" customWidth="1"/>
    <col min="15" max="16" width="8.125" style="133" customWidth="1"/>
    <col min="17" max="16384" width="9.125" style="129" customWidth="1"/>
  </cols>
  <sheetData>
    <row r="1" spans="2:16" ht="18" customHeight="1">
      <c r="B1" s="358" t="s">
        <v>576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3:13" ht="14.25" customHeight="1"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6" s="140" customFormat="1" ht="12.75" customHeight="1">
      <c r="A3" s="375" t="s">
        <v>357</v>
      </c>
      <c r="B3" s="375"/>
      <c r="C3" s="371" t="s">
        <v>358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s="140" customFormat="1" ht="29.25" customHeight="1">
      <c r="A4" s="375"/>
      <c r="B4" s="375"/>
      <c r="C4" s="371" t="s">
        <v>360</v>
      </c>
      <c r="D4" s="371"/>
      <c r="E4" s="371"/>
      <c r="F4" s="371"/>
      <c r="G4" s="371" t="s">
        <v>361</v>
      </c>
      <c r="H4" s="371"/>
      <c r="I4" s="371" t="s">
        <v>362</v>
      </c>
      <c r="J4" s="371"/>
      <c r="K4" s="371"/>
      <c r="L4" s="371"/>
      <c r="M4" s="359" t="s">
        <v>466</v>
      </c>
      <c r="N4" s="371" t="s">
        <v>465</v>
      </c>
      <c r="O4" s="371"/>
      <c r="P4" s="367" t="s">
        <v>467</v>
      </c>
    </row>
    <row r="5" spans="1:16" s="142" customFormat="1" ht="65.25" customHeight="1">
      <c r="A5" s="375"/>
      <c r="B5" s="375"/>
      <c r="C5" s="124" t="s">
        <v>25</v>
      </c>
      <c r="D5" s="128" t="s">
        <v>363</v>
      </c>
      <c r="E5" s="128" t="s">
        <v>359</v>
      </c>
      <c r="F5" s="128" t="s">
        <v>364</v>
      </c>
      <c r="G5" s="141" t="s">
        <v>365</v>
      </c>
      <c r="H5" s="128" t="s">
        <v>364</v>
      </c>
      <c r="I5" s="124" t="s">
        <v>25</v>
      </c>
      <c r="J5" s="128" t="s">
        <v>366</v>
      </c>
      <c r="K5" s="128" t="s">
        <v>367</v>
      </c>
      <c r="L5" s="128" t="s">
        <v>364</v>
      </c>
      <c r="M5" s="360"/>
      <c r="N5" s="371"/>
      <c r="O5" s="371"/>
      <c r="P5" s="368"/>
    </row>
    <row r="6" spans="1:16" s="135" customFormat="1" ht="11.25">
      <c r="A6" s="200">
        <v>1</v>
      </c>
      <c r="B6" s="198">
        <f aca="true" t="shared" si="0" ref="B6:P6">COLUMN(B6)</f>
        <v>2</v>
      </c>
      <c r="C6" s="134">
        <f t="shared" si="0"/>
        <v>3</v>
      </c>
      <c r="D6" s="134">
        <f t="shared" si="0"/>
        <v>4</v>
      </c>
      <c r="E6" s="134">
        <f t="shared" si="0"/>
        <v>5</v>
      </c>
      <c r="F6" s="134">
        <f t="shared" si="0"/>
        <v>6</v>
      </c>
      <c r="G6" s="134">
        <f t="shared" si="0"/>
        <v>7</v>
      </c>
      <c r="H6" s="134">
        <f t="shared" si="0"/>
        <v>8</v>
      </c>
      <c r="I6" s="134">
        <f t="shared" si="0"/>
        <v>9</v>
      </c>
      <c r="J6" s="134">
        <f t="shared" si="0"/>
        <v>10</v>
      </c>
      <c r="K6" s="134">
        <f t="shared" si="0"/>
        <v>11</v>
      </c>
      <c r="L6" s="134">
        <f t="shared" si="0"/>
        <v>12</v>
      </c>
      <c r="M6" s="134">
        <f t="shared" si="0"/>
        <v>13</v>
      </c>
      <c r="N6" s="134">
        <f t="shared" si="0"/>
        <v>14</v>
      </c>
      <c r="O6" s="134">
        <f t="shared" si="0"/>
        <v>15</v>
      </c>
      <c r="P6" s="134">
        <f t="shared" si="0"/>
        <v>16</v>
      </c>
    </row>
    <row r="7" spans="1:16" ht="11.25" customHeight="1">
      <c r="A7" s="374" t="s">
        <v>245</v>
      </c>
      <c r="B7" s="374"/>
      <c r="C7" s="365">
        <f>SUM(D7:E7)</f>
        <v>1000</v>
      </c>
      <c r="D7" s="363">
        <f>'О-РРсеб'!B6</f>
        <v>1000</v>
      </c>
      <c r="E7" s="361"/>
      <c r="F7" s="372" t="s">
        <v>148</v>
      </c>
      <c r="G7" s="369">
        <f>'О-РРсеб'!B7</f>
        <v>250</v>
      </c>
      <c r="H7" s="376" t="s">
        <v>373</v>
      </c>
      <c r="I7" s="365">
        <f aca="true" t="shared" si="1" ref="I7:I13">SUM(J7:K7)</f>
        <v>250000</v>
      </c>
      <c r="J7" s="363">
        <f>'О-РРсеб'!B8</f>
        <v>250000</v>
      </c>
      <c r="K7" s="361"/>
      <c r="L7" s="372" t="s">
        <v>374</v>
      </c>
      <c r="M7" s="363">
        <f>'О-РРсеб'!B37</f>
        <v>58508.89839286263</v>
      </c>
      <c r="N7" s="289">
        <f>'О-РРсеб'!B30/1000</f>
        <v>10.476839644157536</v>
      </c>
      <c r="O7" s="126" t="s">
        <v>375</v>
      </c>
      <c r="P7" s="363"/>
    </row>
    <row r="8" spans="1:16" ht="11.25" customHeight="1">
      <c r="A8" s="374"/>
      <c r="B8" s="374"/>
      <c r="C8" s="366"/>
      <c r="D8" s="364"/>
      <c r="E8" s="362"/>
      <c r="F8" s="373"/>
      <c r="G8" s="370"/>
      <c r="H8" s="377"/>
      <c r="I8" s="366"/>
      <c r="J8" s="364"/>
      <c r="K8" s="362"/>
      <c r="L8" s="373"/>
      <c r="M8" s="364"/>
      <c r="N8" s="136">
        <f>'О-РРсеб'!B29/1000</f>
        <v>2.619209911039384</v>
      </c>
      <c r="O8" s="126" t="s">
        <v>432</v>
      </c>
      <c r="P8" s="364"/>
    </row>
    <row r="9" spans="1:16" ht="12.75" customHeight="1">
      <c r="A9" s="374" t="s">
        <v>246</v>
      </c>
      <c r="B9" s="374"/>
      <c r="C9" s="365">
        <f>SUM(D9:E9)</f>
        <v>1200</v>
      </c>
      <c r="D9" s="363">
        <f>'О-РСсеб'!B6</f>
        <v>1200</v>
      </c>
      <c r="E9" s="361"/>
      <c r="F9" s="372" t="s">
        <v>148</v>
      </c>
      <c r="G9" s="369">
        <f>'О-РСсеб'!B7</f>
        <v>250</v>
      </c>
      <c r="H9" s="372" t="s">
        <v>373</v>
      </c>
      <c r="I9" s="365">
        <f t="shared" si="1"/>
        <v>300000</v>
      </c>
      <c r="J9" s="363">
        <f>'О-РСсеб'!B8</f>
        <v>300000</v>
      </c>
      <c r="K9" s="361"/>
      <c r="L9" s="372" t="s">
        <v>374</v>
      </c>
      <c r="M9" s="363">
        <f>'О-РСсеб'!B37</f>
        <v>57854.058913799774</v>
      </c>
      <c r="N9" s="289">
        <f>'О-РСсеб'!B30/1000</f>
        <v>9.162585785170169</v>
      </c>
      <c r="O9" s="126" t="s">
        <v>375</v>
      </c>
      <c r="P9" s="363"/>
    </row>
    <row r="10" spans="1:16" ht="11.25">
      <c r="A10" s="374"/>
      <c r="B10" s="374"/>
      <c r="C10" s="366"/>
      <c r="D10" s="364"/>
      <c r="E10" s="362"/>
      <c r="F10" s="373"/>
      <c r="G10" s="370"/>
      <c r="H10" s="373"/>
      <c r="I10" s="366"/>
      <c r="J10" s="364"/>
      <c r="K10" s="362"/>
      <c r="L10" s="373"/>
      <c r="M10" s="364"/>
      <c r="N10" s="136">
        <f>'О-РСсеб'!B29/1000</f>
        <v>2.290646446292542</v>
      </c>
      <c r="O10" s="126" t="s">
        <v>432</v>
      </c>
      <c r="P10" s="364"/>
    </row>
    <row r="11" spans="1:16" ht="12.75" customHeight="1">
      <c r="A11" s="374" t="s">
        <v>127</v>
      </c>
      <c r="B11" s="374"/>
      <c r="C11" s="365">
        <f>SUM(D11:E11)</f>
        <v>1</v>
      </c>
      <c r="D11" s="363">
        <f>'О-КРсеб'!B6</f>
        <v>1</v>
      </c>
      <c r="E11" s="361"/>
      <c r="F11" s="372" t="s">
        <v>134</v>
      </c>
      <c r="G11" s="369">
        <f>'О-КРсеб'!B7</f>
        <v>250</v>
      </c>
      <c r="H11" s="372" t="s">
        <v>369</v>
      </c>
      <c r="I11" s="365">
        <f t="shared" si="1"/>
        <v>250</v>
      </c>
      <c r="J11" s="363">
        <f>'О-КРсеб'!B8</f>
        <v>250</v>
      </c>
      <c r="K11" s="361"/>
      <c r="L11" s="372" t="s">
        <v>370</v>
      </c>
      <c r="M11" s="363">
        <f>'О-КРсеб'!B36</f>
        <v>51554.90829485939</v>
      </c>
      <c r="N11" s="289">
        <f>'О-КРсеб'!B29/100</f>
        <v>50.331254105241335</v>
      </c>
      <c r="O11" s="126" t="s">
        <v>372</v>
      </c>
      <c r="P11" s="363">
        <f>'О-КРсеб'!B27/1000</f>
        <v>1258.2813526310333</v>
      </c>
    </row>
    <row r="12" spans="1:16" ht="11.25" customHeight="1">
      <c r="A12" s="374"/>
      <c r="B12" s="374"/>
      <c r="C12" s="366"/>
      <c r="D12" s="364"/>
      <c r="E12" s="362"/>
      <c r="F12" s="373"/>
      <c r="G12" s="370"/>
      <c r="H12" s="373"/>
      <c r="I12" s="366"/>
      <c r="J12" s="364"/>
      <c r="K12" s="362"/>
      <c r="L12" s="373"/>
      <c r="M12" s="364"/>
      <c r="N12" s="189">
        <f>'О-КРсеб'!B28/1000</f>
        <v>1258.2813526310333</v>
      </c>
      <c r="O12" s="188" t="s">
        <v>371</v>
      </c>
      <c r="P12" s="364"/>
    </row>
    <row r="13" spans="1:16" ht="11.25" customHeight="1">
      <c r="A13" s="374" t="s">
        <v>86</v>
      </c>
      <c r="B13" s="374"/>
      <c r="C13" s="365">
        <f>SUM(D13:E13)</f>
        <v>10</v>
      </c>
      <c r="D13" s="363">
        <f>'О-КСсеб'!B6</f>
        <v>10</v>
      </c>
      <c r="E13" s="361"/>
      <c r="F13" s="372" t="s">
        <v>134</v>
      </c>
      <c r="G13" s="369">
        <f>'О-КСсеб'!B7</f>
        <v>250</v>
      </c>
      <c r="H13" s="372" t="s">
        <v>369</v>
      </c>
      <c r="I13" s="365">
        <f t="shared" si="1"/>
        <v>2500</v>
      </c>
      <c r="J13" s="363">
        <f>'О-КСсеб'!B8</f>
        <v>2500</v>
      </c>
      <c r="K13" s="361"/>
      <c r="L13" s="372" t="s">
        <v>370</v>
      </c>
      <c r="M13" s="363">
        <f>'О-КСсеб'!B37</f>
        <v>57003.031343931645</v>
      </c>
      <c r="N13" s="289">
        <f>'О-КСсеб'!B30/100</f>
        <v>37.508929180662555</v>
      </c>
      <c r="O13" s="126" t="s">
        <v>372</v>
      </c>
      <c r="P13" s="363">
        <f>'О-КСсеб'!B28/1000</f>
        <v>9377.232295165639</v>
      </c>
    </row>
    <row r="14" spans="1:16" ht="11.25">
      <c r="A14" s="374"/>
      <c r="B14" s="374"/>
      <c r="C14" s="366"/>
      <c r="D14" s="364"/>
      <c r="E14" s="362"/>
      <c r="F14" s="373"/>
      <c r="G14" s="370"/>
      <c r="H14" s="373"/>
      <c r="I14" s="366"/>
      <c r="J14" s="364"/>
      <c r="K14" s="362"/>
      <c r="L14" s="373"/>
      <c r="M14" s="364"/>
      <c r="N14" s="136">
        <f>'О-КСсеб'!B29/1000</f>
        <v>937.723229516564</v>
      </c>
      <c r="O14" s="126" t="s">
        <v>371</v>
      </c>
      <c r="P14" s="364"/>
    </row>
  </sheetData>
  <sheetProtection/>
  <mergeCells count="61">
    <mergeCell ref="L7:L8"/>
    <mergeCell ref="H7:H8"/>
    <mergeCell ref="J13:J14"/>
    <mergeCell ref="I7:I8"/>
    <mergeCell ref="J7:J8"/>
    <mergeCell ref="K13:K14"/>
    <mergeCell ref="I13:I14"/>
    <mergeCell ref="P7:P8"/>
    <mergeCell ref="K7:K8"/>
    <mergeCell ref="K9:K10"/>
    <mergeCell ref="P9:P10"/>
    <mergeCell ref="P13:P14"/>
    <mergeCell ref="M7:M8"/>
    <mergeCell ref="P11:P12"/>
    <mergeCell ref="L13:L14"/>
    <mergeCell ref="M9:M10"/>
    <mergeCell ref="L9:L10"/>
    <mergeCell ref="A3:B5"/>
    <mergeCell ref="A7:B8"/>
    <mergeCell ref="A9:B10"/>
    <mergeCell ref="D7:D8"/>
    <mergeCell ref="D9:D10"/>
    <mergeCell ref="C4:F4"/>
    <mergeCell ref="C3:P3"/>
    <mergeCell ref="E7:E8"/>
    <mergeCell ref="H9:H10"/>
    <mergeCell ref="I9:I10"/>
    <mergeCell ref="E9:E10"/>
    <mergeCell ref="F9:F10"/>
    <mergeCell ref="F7:F8"/>
    <mergeCell ref="G7:G8"/>
    <mergeCell ref="G9:G10"/>
    <mergeCell ref="A11:B12"/>
    <mergeCell ref="A13:B14"/>
    <mergeCell ref="J11:J12"/>
    <mergeCell ref="M13:M14"/>
    <mergeCell ref="M11:M12"/>
    <mergeCell ref="H11:H12"/>
    <mergeCell ref="E11:E12"/>
    <mergeCell ref="H13:H14"/>
    <mergeCell ref="G13:G14"/>
    <mergeCell ref="N4:O5"/>
    <mergeCell ref="F11:F12"/>
    <mergeCell ref="I4:L4"/>
    <mergeCell ref="L11:L12"/>
    <mergeCell ref="G4:H4"/>
    <mergeCell ref="C13:C14"/>
    <mergeCell ref="C9:C10"/>
    <mergeCell ref="D13:D14"/>
    <mergeCell ref="E13:E14"/>
    <mergeCell ref="F13:F14"/>
    <mergeCell ref="B1:P1"/>
    <mergeCell ref="M4:M5"/>
    <mergeCell ref="K11:K12"/>
    <mergeCell ref="J9:J10"/>
    <mergeCell ref="C7:C8"/>
    <mergeCell ref="P4:P5"/>
    <mergeCell ref="C11:C12"/>
    <mergeCell ref="G11:G12"/>
    <mergeCell ref="I11:I12"/>
    <mergeCell ref="D11:D12"/>
  </mergeCells>
  <printOptions/>
  <pageMargins left="0.41" right="0.28" top="0.19" bottom="0.17" header="0.35" footer="0.17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B48"/>
  <sheetViews>
    <sheetView view="pageBreakPreview" zoomScale="90" zoomScaleSheetLayoutView="90" zoomScalePageLayoutView="0" workbookViewId="0" topLeftCell="A1">
      <pane xSplit="5" ySplit="15" topLeftCell="AS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B2" sqref="B2"/>
    </sheetView>
  </sheetViews>
  <sheetFormatPr defaultColWidth="9.00390625" defaultRowHeight="12.75"/>
  <cols>
    <col min="1" max="1" width="3.875" style="15" customWidth="1"/>
    <col min="2" max="2" width="28.75390625" style="13" customWidth="1"/>
    <col min="3" max="3" width="6.125" style="13" bestFit="1" customWidth="1"/>
    <col min="4" max="4" width="7.25390625" style="13" customWidth="1"/>
    <col min="5" max="5" width="6.625" style="13" customWidth="1"/>
    <col min="6" max="6" width="6.875" style="15" customWidth="1"/>
    <col min="7" max="9" width="6.125" style="13" customWidth="1"/>
    <col min="10" max="10" width="5.375" style="13" customWidth="1"/>
    <col min="11" max="11" width="6.75390625" style="13" customWidth="1"/>
    <col min="12" max="16" width="6.125" style="13" customWidth="1"/>
    <col min="17" max="17" width="6.125" style="18" customWidth="1"/>
    <col min="18" max="20" width="6.125" style="13" customWidth="1"/>
    <col min="21" max="21" width="8.375" style="13" customWidth="1"/>
    <col min="22" max="22" width="7.625" style="13" customWidth="1"/>
    <col min="23" max="29" width="6.125" style="13" customWidth="1"/>
    <col min="30" max="30" width="8.00390625" style="13" customWidth="1"/>
    <col min="31" max="31" width="7.75390625" style="13" customWidth="1"/>
    <col min="32" max="32" width="8.125" style="13" customWidth="1"/>
    <col min="33" max="33" width="8.00390625" style="13" customWidth="1"/>
    <col min="34" max="35" width="8.25390625" style="13" customWidth="1"/>
    <col min="36" max="36" width="6.125" style="13" customWidth="1"/>
    <col min="37" max="37" width="8.25390625" style="13" customWidth="1"/>
    <col min="38" max="38" width="7.75390625" style="13" customWidth="1"/>
    <col min="39" max="39" width="8.25390625" style="13" customWidth="1"/>
    <col min="40" max="41" width="6.125" style="13" customWidth="1"/>
    <col min="42" max="42" width="7.25390625" style="16" customWidth="1"/>
    <col min="43" max="44" width="8.75390625" style="45" customWidth="1"/>
    <col min="45" max="45" width="9.625" style="16" customWidth="1"/>
    <col min="46" max="46" width="8.375" style="13" customWidth="1"/>
    <col min="47" max="47" width="5.625" style="16" customWidth="1"/>
    <col min="48" max="48" width="6.00390625" style="16" customWidth="1"/>
    <col min="49" max="49" width="9.125" style="16" customWidth="1"/>
    <col min="50" max="50" width="5.125" style="16" customWidth="1"/>
    <col min="51" max="53" width="7.125" style="16" customWidth="1"/>
    <col min="54" max="54" width="4.625" style="16" customWidth="1"/>
    <col min="55" max="55" width="4.75390625" style="16" customWidth="1"/>
    <col min="56" max="56" width="4.625" style="16" customWidth="1"/>
    <col min="57" max="57" width="4.375" style="16" customWidth="1"/>
    <col min="58" max="59" width="7.125" style="16" customWidth="1"/>
    <col min="60" max="60" width="5.00390625" style="16" customWidth="1"/>
    <col min="61" max="62" width="7.125" style="16" customWidth="1"/>
    <col min="63" max="63" width="5.125" style="16" customWidth="1"/>
    <col min="64" max="64" width="7.125" style="16" customWidth="1"/>
    <col min="65" max="75" width="7.375" style="16" customWidth="1"/>
    <col min="76" max="76" width="9.25390625" style="16" customWidth="1"/>
    <col min="77" max="78" width="7.375" style="16" customWidth="1"/>
    <col min="79" max="79" width="9.00390625" style="17" customWidth="1"/>
    <col min="80" max="16384" width="9.125" style="13" customWidth="1"/>
  </cols>
  <sheetData>
    <row r="1" spans="2:79" s="7" customFormat="1" ht="15.75" customHeight="1">
      <c r="B1" s="49" t="s">
        <v>664</v>
      </c>
      <c r="E1" s="8"/>
      <c r="G1" s="6"/>
      <c r="Q1" s="46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11"/>
    </row>
    <row r="2" spans="2:79" s="7" customFormat="1" ht="15.75">
      <c r="B2" s="49"/>
      <c r="E2" s="8"/>
      <c r="G2" s="6"/>
      <c r="Q2" s="46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1"/>
    </row>
    <row r="3" spans="2:79" s="7" customFormat="1" ht="15.75" customHeight="1">
      <c r="B3" s="6"/>
      <c r="E3" s="8"/>
      <c r="G3" s="6"/>
      <c r="Q3" s="46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/>
    </row>
    <row r="4" spans="2:79" s="1" customFormat="1" ht="12.75" customHeight="1">
      <c r="B4" s="48" t="s">
        <v>83</v>
      </c>
      <c r="E4" s="2"/>
      <c r="G4" s="48"/>
      <c r="L4" s="48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</row>
    <row r="5" spans="2:79" s="1" customFormat="1" ht="12.75" customHeight="1">
      <c r="B5" s="48" t="s">
        <v>410</v>
      </c>
      <c r="E5" s="2"/>
      <c r="G5" s="48"/>
      <c r="L5" s="48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</row>
    <row r="6" spans="2:79" s="1" customFormat="1" ht="12.75" customHeight="1">
      <c r="B6" s="48" t="s">
        <v>423</v>
      </c>
      <c r="D6" s="1">
        <v>1000</v>
      </c>
      <c r="E6" s="2"/>
      <c r="F6" s="1" t="s">
        <v>415</v>
      </c>
      <c r="G6" s="48"/>
      <c r="J6" s="1">
        <f>Нормы!B34</f>
        <v>250</v>
      </c>
      <c r="L6" s="48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/>
    </row>
    <row r="7" spans="2:44" ht="12.75" customHeight="1">
      <c r="B7" s="47" t="s">
        <v>411</v>
      </c>
      <c r="D7" s="13">
        <f>D6*J6</f>
        <v>250000</v>
      </c>
      <c r="E7" s="14"/>
      <c r="F7" s="7"/>
      <c r="G7" s="12"/>
      <c r="K7" s="7"/>
      <c r="L7" s="7"/>
      <c r="N7" s="7"/>
      <c r="Q7" s="15"/>
      <c r="AQ7" s="16"/>
      <c r="AR7" s="16"/>
    </row>
    <row r="8" spans="1:44" ht="12.75" customHeight="1">
      <c r="A8" s="47"/>
      <c r="D8" s="14"/>
      <c r="E8" s="7"/>
      <c r="F8" s="12"/>
      <c r="K8" s="7"/>
      <c r="L8" s="7"/>
      <c r="N8" s="7"/>
      <c r="Q8" s="15"/>
      <c r="AQ8" s="16"/>
      <c r="AR8" s="16"/>
    </row>
    <row r="9" spans="1:80" s="6" customFormat="1" ht="39.75" customHeight="1">
      <c r="A9" s="378" t="s">
        <v>50</v>
      </c>
      <c r="B9" s="384" t="s">
        <v>47</v>
      </c>
      <c r="C9" s="385"/>
      <c r="D9" s="385"/>
      <c r="E9" s="386"/>
      <c r="F9" s="378" t="s">
        <v>16</v>
      </c>
      <c r="G9" s="378" t="s">
        <v>30</v>
      </c>
      <c r="H9" s="384" t="s">
        <v>26</v>
      </c>
      <c r="I9" s="386"/>
      <c r="J9" s="378" t="s">
        <v>29</v>
      </c>
      <c r="K9" s="378" t="s">
        <v>35</v>
      </c>
      <c r="L9" s="378" t="s">
        <v>34</v>
      </c>
      <c r="M9" s="384" t="s">
        <v>31</v>
      </c>
      <c r="N9" s="386"/>
      <c r="O9" s="384" t="s">
        <v>340</v>
      </c>
      <c r="P9" s="386"/>
      <c r="Q9" s="384" t="s">
        <v>339</v>
      </c>
      <c r="R9" s="385"/>
      <c r="S9" s="385"/>
      <c r="T9" s="386"/>
      <c r="U9" s="384" t="s">
        <v>341</v>
      </c>
      <c r="V9" s="386"/>
      <c r="W9" s="384" t="s">
        <v>342</v>
      </c>
      <c r="X9" s="386"/>
      <c r="Y9" s="384" t="s">
        <v>343</v>
      </c>
      <c r="Z9" s="386"/>
      <c r="AA9" s="384" t="s">
        <v>344</v>
      </c>
      <c r="AB9" s="386"/>
      <c r="AC9" s="384" t="s">
        <v>472</v>
      </c>
      <c r="AD9" s="385"/>
      <c r="AE9" s="386"/>
      <c r="AF9" s="384" t="s">
        <v>0</v>
      </c>
      <c r="AG9" s="386"/>
      <c r="AH9" s="384" t="s">
        <v>345</v>
      </c>
      <c r="AI9" s="386"/>
      <c r="AJ9" s="384" t="s">
        <v>346</v>
      </c>
      <c r="AK9" s="386"/>
      <c r="AL9" s="384" t="s">
        <v>347</v>
      </c>
      <c r="AM9" s="386"/>
      <c r="AN9" s="384" t="s">
        <v>13</v>
      </c>
      <c r="AO9" s="385"/>
      <c r="AP9" s="385"/>
      <c r="AQ9" s="385"/>
      <c r="AR9" s="385"/>
      <c r="AS9" s="386"/>
      <c r="AT9" s="384" t="s">
        <v>221</v>
      </c>
      <c r="AU9" s="385"/>
      <c r="AV9" s="385"/>
      <c r="AW9" s="386"/>
      <c r="AX9" s="384" t="s">
        <v>412</v>
      </c>
      <c r="AY9" s="385"/>
      <c r="AZ9" s="385"/>
      <c r="BA9" s="386"/>
      <c r="BB9" s="384" t="s">
        <v>402</v>
      </c>
      <c r="BC9" s="385"/>
      <c r="BD9" s="385"/>
      <c r="BE9" s="386"/>
      <c r="BF9" s="384" t="s">
        <v>14</v>
      </c>
      <c r="BG9" s="385"/>
      <c r="BH9" s="385"/>
      <c r="BI9" s="386"/>
      <c r="BJ9" s="384" t="s">
        <v>439</v>
      </c>
      <c r="BK9" s="385"/>
      <c r="BL9" s="386"/>
      <c r="BM9" s="384" t="s">
        <v>41</v>
      </c>
      <c r="BN9" s="385"/>
      <c r="BO9" s="385"/>
      <c r="BP9" s="386"/>
      <c r="BQ9" s="384" t="s">
        <v>337</v>
      </c>
      <c r="BR9" s="385"/>
      <c r="BS9" s="385"/>
      <c r="BT9" s="385"/>
      <c r="BU9" s="385"/>
      <c r="BV9" s="385"/>
      <c r="BW9" s="386"/>
      <c r="BX9" s="384" t="s">
        <v>44</v>
      </c>
      <c r="BY9" s="386"/>
      <c r="BZ9" s="408" t="s">
        <v>464</v>
      </c>
      <c r="CA9" s="414" t="s">
        <v>52</v>
      </c>
      <c r="CB9" s="415"/>
    </row>
    <row r="10" spans="1:80" s="6" customFormat="1" ht="40.5" customHeight="1">
      <c r="A10" s="379"/>
      <c r="B10" s="387"/>
      <c r="C10" s="388"/>
      <c r="D10" s="388"/>
      <c r="E10" s="389"/>
      <c r="F10" s="379"/>
      <c r="G10" s="379"/>
      <c r="H10" s="387"/>
      <c r="I10" s="389"/>
      <c r="J10" s="379"/>
      <c r="K10" s="379"/>
      <c r="L10" s="379"/>
      <c r="M10" s="387"/>
      <c r="N10" s="389"/>
      <c r="O10" s="387"/>
      <c r="P10" s="389"/>
      <c r="Q10" s="387"/>
      <c r="R10" s="388"/>
      <c r="S10" s="388"/>
      <c r="T10" s="389"/>
      <c r="U10" s="387"/>
      <c r="V10" s="389"/>
      <c r="W10" s="387"/>
      <c r="X10" s="389"/>
      <c r="Y10" s="387"/>
      <c r="Z10" s="389"/>
      <c r="AA10" s="387"/>
      <c r="AB10" s="389"/>
      <c r="AC10" s="387"/>
      <c r="AD10" s="388"/>
      <c r="AE10" s="389"/>
      <c r="AF10" s="387"/>
      <c r="AG10" s="389"/>
      <c r="AH10" s="387"/>
      <c r="AI10" s="389"/>
      <c r="AJ10" s="387"/>
      <c r="AK10" s="389"/>
      <c r="AL10" s="387"/>
      <c r="AM10" s="389"/>
      <c r="AN10" s="387"/>
      <c r="AO10" s="388"/>
      <c r="AP10" s="388"/>
      <c r="AQ10" s="388"/>
      <c r="AR10" s="388"/>
      <c r="AS10" s="389"/>
      <c r="AT10" s="387"/>
      <c r="AU10" s="388"/>
      <c r="AV10" s="388"/>
      <c r="AW10" s="389"/>
      <c r="AX10" s="387"/>
      <c r="AY10" s="388"/>
      <c r="AZ10" s="388"/>
      <c r="BA10" s="389"/>
      <c r="BB10" s="387"/>
      <c r="BC10" s="388"/>
      <c r="BD10" s="388"/>
      <c r="BE10" s="389"/>
      <c r="BF10" s="387"/>
      <c r="BG10" s="388"/>
      <c r="BH10" s="388"/>
      <c r="BI10" s="389"/>
      <c r="BJ10" s="387"/>
      <c r="BK10" s="388"/>
      <c r="BL10" s="389"/>
      <c r="BM10" s="387"/>
      <c r="BN10" s="388"/>
      <c r="BO10" s="388"/>
      <c r="BP10" s="389"/>
      <c r="BQ10" s="387"/>
      <c r="BR10" s="388"/>
      <c r="BS10" s="388"/>
      <c r="BT10" s="388"/>
      <c r="BU10" s="388"/>
      <c r="BV10" s="388"/>
      <c r="BW10" s="389"/>
      <c r="BX10" s="387"/>
      <c r="BY10" s="389"/>
      <c r="BZ10" s="409"/>
      <c r="CA10" s="416"/>
      <c r="CB10" s="417"/>
    </row>
    <row r="11" spans="1:80" s="6" customFormat="1" ht="45.75" customHeight="1">
      <c r="A11" s="379"/>
      <c r="B11" s="408" t="s">
        <v>12</v>
      </c>
      <c r="C11" s="406" t="s">
        <v>36</v>
      </c>
      <c r="D11" s="411"/>
      <c r="E11" s="407"/>
      <c r="F11" s="379"/>
      <c r="G11" s="379"/>
      <c r="H11" s="378" t="s">
        <v>27</v>
      </c>
      <c r="I11" s="378" t="s">
        <v>28</v>
      </c>
      <c r="J11" s="379"/>
      <c r="K11" s="379"/>
      <c r="L11" s="379"/>
      <c r="M11" s="378" t="s">
        <v>32</v>
      </c>
      <c r="N11" s="378" t="s">
        <v>33</v>
      </c>
      <c r="O11" s="404">
        <f>'Исх.данные'!B10</f>
        <v>7.987854251012146</v>
      </c>
      <c r="P11" s="405"/>
      <c r="Q11" s="406" t="s">
        <v>32</v>
      </c>
      <c r="R11" s="407"/>
      <c r="S11" s="406" t="s">
        <v>33</v>
      </c>
      <c r="T11" s="407"/>
      <c r="U11" s="378" t="s">
        <v>17</v>
      </c>
      <c r="V11" s="378" t="s">
        <v>18</v>
      </c>
      <c r="W11" s="412">
        <v>0</v>
      </c>
      <c r="X11" s="413"/>
      <c r="Y11" s="75">
        <v>0.1</v>
      </c>
      <c r="Z11" s="75">
        <v>0.05</v>
      </c>
      <c r="AA11" s="400"/>
      <c r="AB11" s="401"/>
      <c r="AC11" s="378" t="s">
        <v>19</v>
      </c>
      <c r="AD11" s="378" t="s">
        <v>17</v>
      </c>
      <c r="AE11" s="378" t="s">
        <v>18</v>
      </c>
      <c r="AF11" s="400">
        <f>(((((AD48/O48)*'Исх.данные'!B6)/29.25*(52/12)))/((AD48/O48)*'Исх.данные'!B6))</f>
        <v>0.1481481481481481</v>
      </c>
      <c r="AG11" s="401"/>
      <c r="AH11" s="378" t="s">
        <v>17</v>
      </c>
      <c r="AI11" s="378" t="s">
        <v>18</v>
      </c>
      <c r="AJ11" s="400">
        <v>0.307</v>
      </c>
      <c r="AK11" s="401"/>
      <c r="AL11" s="378" t="s">
        <v>17</v>
      </c>
      <c r="AM11" s="378" t="s">
        <v>18</v>
      </c>
      <c r="AN11" s="378" t="s">
        <v>353</v>
      </c>
      <c r="AO11" s="378" t="s">
        <v>38</v>
      </c>
      <c r="AP11" s="381" t="s">
        <v>45</v>
      </c>
      <c r="AQ11" s="381" t="s">
        <v>39</v>
      </c>
      <c r="AR11" s="381" t="s">
        <v>348</v>
      </c>
      <c r="AS11" s="381" t="s">
        <v>349</v>
      </c>
      <c r="AT11" s="378" t="s">
        <v>413</v>
      </c>
      <c r="AU11" s="381" t="s">
        <v>416</v>
      </c>
      <c r="AV11" s="381" t="s">
        <v>350</v>
      </c>
      <c r="AW11" s="381" t="s">
        <v>349</v>
      </c>
      <c r="AX11" s="378" t="s">
        <v>413</v>
      </c>
      <c r="AY11" s="381" t="s">
        <v>222</v>
      </c>
      <c r="AZ11" s="381" t="s">
        <v>350</v>
      </c>
      <c r="BA11" s="381" t="s">
        <v>349</v>
      </c>
      <c r="BB11" s="378" t="s">
        <v>417</v>
      </c>
      <c r="BC11" s="381" t="s">
        <v>403</v>
      </c>
      <c r="BD11" s="381" t="s">
        <v>404</v>
      </c>
      <c r="BE11" s="381" t="s">
        <v>349</v>
      </c>
      <c r="BF11" s="378" t="s">
        <v>40</v>
      </c>
      <c r="BG11" s="381" t="s">
        <v>354</v>
      </c>
      <c r="BH11" s="381" t="s">
        <v>348</v>
      </c>
      <c r="BI11" s="381" t="s">
        <v>349</v>
      </c>
      <c r="BJ11" s="381" t="s">
        <v>440</v>
      </c>
      <c r="BK11" s="381" t="s">
        <v>441</v>
      </c>
      <c r="BL11" s="381" t="s">
        <v>349</v>
      </c>
      <c r="BM11" s="390" t="s">
        <v>42</v>
      </c>
      <c r="BN11" s="391"/>
      <c r="BO11" s="390" t="s">
        <v>43</v>
      </c>
      <c r="BP11" s="391"/>
      <c r="BQ11" s="390" t="s">
        <v>332</v>
      </c>
      <c r="BR11" s="391"/>
      <c r="BS11" s="390" t="s">
        <v>333</v>
      </c>
      <c r="BT11" s="391"/>
      <c r="BU11" s="390" t="s">
        <v>334</v>
      </c>
      <c r="BV11" s="391"/>
      <c r="BW11" s="378" t="s">
        <v>335</v>
      </c>
      <c r="BX11" s="381" t="s">
        <v>336</v>
      </c>
      <c r="BY11" s="381" t="s">
        <v>463</v>
      </c>
      <c r="BZ11" s="409"/>
      <c r="CA11" s="381" t="s">
        <v>46</v>
      </c>
      <c r="CB11" s="381" t="s">
        <v>15</v>
      </c>
    </row>
    <row r="12" spans="1:80" s="6" customFormat="1" ht="48" customHeight="1">
      <c r="A12" s="379"/>
      <c r="B12" s="409"/>
      <c r="C12" s="378" t="s">
        <v>37</v>
      </c>
      <c r="D12" s="378" t="s">
        <v>49</v>
      </c>
      <c r="E12" s="378" t="s">
        <v>48</v>
      </c>
      <c r="F12" s="379"/>
      <c r="G12" s="379"/>
      <c r="H12" s="379"/>
      <c r="I12" s="379"/>
      <c r="J12" s="379"/>
      <c r="K12" s="379"/>
      <c r="L12" s="379"/>
      <c r="M12" s="379"/>
      <c r="N12" s="379"/>
      <c r="O12" s="378" t="s">
        <v>32</v>
      </c>
      <c r="P12" s="378" t="s">
        <v>33</v>
      </c>
      <c r="Q12" s="402" t="s">
        <v>20</v>
      </c>
      <c r="R12" s="378" t="s">
        <v>21</v>
      </c>
      <c r="S12" s="402" t="s">
        <v>20</v>
      </c>
      <c r="T12" s="378" t="s">
        <v>21</v>
      </c>
      <c r="U12" s="379"/>
      <c r="V12" s="379"/>
      <c r="W12" s="378" t="s">
        <v>17</v>
      </c>
      <c r="X12" s="378" t="s">
        <v>18</v>
      </c>
      <c r="Y12" s="378" t="s">
        <v>208</v>
      </c>
      <c r="Z12" s="378" t="s">
        <v>209</v>
      </c>
      <c r="AA12" s="378" t="s">
        <v>17</v>
      </c>
      <c r="AB12" s="378" t="s">
        <v>18</v>
      </c>
      <c r="AC12" s="379"/>
      <c r="AD12" s="379"/>
      <c r="AE12" s="379"/>
      <c r="AF12" s="378" t="s">
        <v>17</v>
      </c>
      <c r="AG12" s="378" t="s">
        <v>18</v>
      </c>
      <c r="AH12" s="379"/>
      <c r="AI12" s="379"/>
      <c r="AJ12" s="378" t="s">
        <v>17</v>
      </c>
      <c r="AK12" s="378" t="s">
        <v>18</v>
      </c>
      <c r="AL12" s="379"/>
      <c r="AM12" s="379"/>
      <c r="AN12" s="379"/>
      <c r="AO12" s="379"/>
      <c r="AP12" s="382"/>
      <c r="AQ12" s="382"/>
      <c r="AR12" s="382"/>
      <c r="AS12" s="382"/>
      <c r="AT12" s="379"/>
      <c r="AU12" s="382"/>
      <c r="AV12" s="382"/>
      <c r="AW12" s="382"/>
      <c r="AX12" s="379"/>
      <c r="AY12" s="382"/>
      <c r="AZ12" s="382"/>
      <c r="BA12" s="382"/>
      <c r="BB12" s="379"/>
      <c r="BC12" s="382"/>
      <c r="BD12" s="382"/>
      <c r="BE12" s="382"/>
      <c r="BF12" s="379"/>
      <c r="BG12" s="382"/>
      <c r="BH12" s="382"/>
      <c r="BI12" s="382"/>
      <c r="BJ12" s="382"/>
      <c r="BK12" s="382"/>
      <c r="BL12" s="382"/>
      <c r="BM12" s="381" t="s">
        <v>572</v>
      </c>
      <c r="BN12" s="381" t="s">
        <v>338</v>
      </c>
      <c r="BO12" s="381" t="s">
        <v>572</v>
      </c>
      <c r="BP12" s="381" t="s">
        <v>338</v>
      </c>
      <c r="BQ12" s="381" t="s">
        <v>331</v>
      </c>
      <c r="BR12" s="381" t="s">
        <v>338</v>
      </c>
      <c r="BS12" s="381" t="s">
        <v>331</v>
      </c>
      <c r="BT12" s="381" t="s">
        <v>338</v>
      </c>
      <c r="BU12" s="381" t="s">
        <v>331</v>
      </c>
      <c r="BV12" s="381" t="s">
        <v>338</v>
      </c>
      <c r="BW12" s="379"/>
      <c r="BX12" s="382"/>
      <c r="BY12" s="382"/>
      <c r="BZ12" s="409"/>
      <c r="CA12" s="382"/>
      <c r="CB12" s="382"/>
    </row>
    <row r="13" spans="1:80" s="6" customFormat="1" ht="76.5" customHeight="1">
      <c r="A13" s="380"/>
      <c r="B13" s="41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403"/>
      <c r="R13" s="380"/>
      <c r="S13" s="403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3"/>
      <c r="AQ13" s="383"/>
      <c r="AR13" s="383"/>
      <c r="AS13" s="383"/>
      <c r="AT13" s="380"/>
      <c r="AU13" s="383"/>
      <c r="AV13" s="383"/>
      <c r="AW13" s="383"/>
      <c r="AX13" s="380"/>
      <c r="AY13" s="383"/>
      <c r="AZ13" s="383"/>
      <c r="BA13" s="383"/>
      <c r="BB13" s="380"/>
      <c r="BC13" s="383"/>
      <c r="BD13" s="383"/>
      <c r="BE13" s="383"/>
      <c r="BF13" s="380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0"/>
      <c r="BX13" s="383"/>
      <c r="BY13" s="383"/>
      <c r="BZ13" s="410"/>
      <c r="CA13" s="383"/>
      <c r="CB13" s="383"/>
    </row>
    <row r="14" spans="1:80" ht="11.25">
      <c r="A14" s="20">
        <f>COLUMN(A14)</f>
        <v>1</v>
      </c>
      <c r="B14" s="393">
        <f>COLUMN(B14)</f>
        <v>2</v>
      </c>
      <c r="C14" s="394"/>
      <c r="D14" s="394"/>
      <c r="E14" s="395"/>
      <c r="F14" s="20">
        <v>3</v>
      </c>
      <c r="G14" s="20">
        <f>F14+1</f>
        <v>4</v>
      </c>
      <c r="H14" s="20">
        <f aca="true" t="shared" si="0" ref="H14:CB14">G14+1</f>
        <v>5</v>
      </c>
      <c r="I14" s="20">
        <f t="shared" si="0"/>
        <v>6</v>
      </c>
      <c r="J14" s="20">
        <f>I14+1</f>
        <v>7</v>
      </c>
      <c r="K14" s="20">
        <f t="shared" si="0"/>
        <v>8</v>
      </c>
      <c r="L14" s="20">
        <f t="shared" si="0"/>
        <v>9</v>
      </c>
      <c r="M14" s="20">
        <f t="shared" si="0"/>
        <v>10</v>
      </c>
      <c r="N14" s="20">
        <f t="shared" si="0"/>
        <v>11</v>
      </c>
      <c r="O14" s="20">
        <f t="shared" si="0"/>
        <v>12</v>
      </c>
      <c r="P14" s="20">
        <f t="shared" si="0"/>
        <v>13</v>
      </c>
      <c r="Q14" s="20">
        <f t="shared" si="0"/>
        <v>14</v>
      </c>
      <c r="R14" s="20">
        <f t="shared" si="0"/>
        <v>15</v>
      </c>
      <c r="S14" s="20">
        <f t="shared" si="0"/>
        <v>16</v>
      </c>
      <c r="T14" s="20">
        <f t="shared" si="0"/>
        <v>17</v>
      </c>
      <c r="U14" s="20">
        <f t="shared" si="0"/>
        <v>18</v>
      </c>
      <c r="V14" s="20">
        <f t="shared" si="0"/>
        <v>19</v>
      </c>
      <c r="W14" s="20">
        <f t="shared" si="0"/>
        <v>20</v>
      </c>
      <c r="X14" s="20">
        <f t="shared" si="0"/>
        <v>21</v>
      </c>
      <c r="Y14" s="20">
        <f t="shared" si="0"/>
        <v>22</v>
      </c>
      <c r="Z14" s="20">
        <f t="shared" si="0"/>
        <v>23</v>
      </c>
      <c r="AA14" s="20">
        <f t="shared" si="0"/>
        <v>24</v>
      </c>
      <c r="AB14" s="20">
        <f t="shared" si="0"/>
        <v>25</v>
      </c>
      <c r="AC14" s="20">
        <f t="shared" si="0"/>
        <v>26</v>
      </c>
      <c r="AD14" s="20">
        <f t="shared" si="0"/>
        <v>27</v>
      </c>
      <c r="AE14" s="20">
        <f t="shared" si="0"/>
        <v>28</v>
      </c>
      <c r="AF14" s="20">
        <f t="shared" si="0"/>
        <v>29</v>
      </c>
      <c r="AG14" s="20">
        <f t="shared" si="0"/>
        <v>30</v>
      </c>
      <c r="AH14" s="20">
        <f t="shared" si="0"/>
        <v>31</v>
      </c>
      <c r="AI14" s="20">
        <f t="shared" si="0"/>
        <v>32</v>
      </c>
      <c r="AJ14" s="20">
        <f t="shared" si="0"/>
        <v>33</v>
      </c>
      <c r="AK14" s="20">
        <f t="shared" si="0"/>
        <v>34</v>
      </c>
      <c r="AL14" s="20">
        <f t="shared" si="0"/>
        <v>35</v>
      </c>
      <c r="AM14" s="20">
        <f t="shared" si="0"/>
        <v>36</v>
      </c>
      <c r="AN14" s="20">
        <f t="shared" si="0"/>
        <v>37</v>
      </c>
      <c r="AO14" s="20">
        <f t="shared" si="0"/>
        <v>38</v>
      </c>
      <c r="AP14" s="20">
        <f t="shared" si="0"/>
        <v>39</v>
      </c>
      <c r="AQ14" s="20">
        <f t="shared" si="0"/>
        <v>40</v>
      </c>
      <c r="AR14" s="20">
        <f t="shared" si="0"/>
        <v>41</v>
      </c>
      <c r="AS14" s="20">
        <f t="shared" si="0"/>
        <v>42</v>
      </c>
      <c r="AT14" s="20">
        <f t="shared" si="0"/>
        <v>43</v>
      </c>
      <c r="AU14" s="20">
        <f t="shared" si="0"/>
        <v>44</v>
      </c>
      <c r="AV14" s="20">
        <f t="shared" si="0"/>
        <v>45</v>
      </c>
      <c r="AW14" s="20">
        <f t="shared" si="0"/>
        <v>46</v>
      </c>
      <c r="AX14" s="20">
        <f t="shared" si="0"/>
        <v>47</v>
      </c>
      <c r="AY14" s="20">
        <f t="shared" si="0"/>
        <v>48</v>
      </c>
      <c r="AZ14" s="20">
        <f t="shared" si="0"/>
        <v>49</v>
      </c>
      <c r="BA14" s="20">
        <f t="shared" si="0"/>
        <v>50</v>
      </c>
      <c r="BB14" s="20">
        <f t="shared" si="0"/>
        <v>51</v>
      </c>
      <c r="BC14" s="20">
        <f t="shared" si="0"/>
        <v>52</v>
      </c>
      <c r="BD14" s="20">
        <f t="shared" si="0"/>
        <v>53</v>
      </c>
      <c r="BE14" s="20">
        <f t="shared" si="0"/>
        <v>54</v>
      </c>
      <c r="BF14" s="20">
        <f t="shared" si="0"/>
        <v>55</v>
      </c>
      <c r="BG14" s="20">
        <f t="shared" si="0"/>
        <v>56</v>
      </c>
      <c r="BH14" s="20">
        <f t="shared" si="0"/>
        <v>57</v>
      </c>
      <c r="BI14" s="20">
        <f t="shared" si="0"/>
        <v>58</v>
      </c>
      <c r="BJ14" s="20">
        <f t="shared" si="0"/>
        <v>59</v>
      </c>
      <c r="BK14" s="20">
        <f t="shared" si="0"/>
        <v>60</v>
      </c>
      <c r="BL14" s="20">
        <f t="shared" si="0"/>
        <v>61</v>
      </c>
      <c r="BM14" s="20">
        <f t="shared" si="0"/>
        <v>62</v>
      </c>
      <c r="BN14" s="20">
        <f t="shared" si="0"/>
        <v>63</v>
      </c>
      <c r="BO14" s="20">
        <f t="shared" si="0"/>
        <v>64</v>
      </c>
      <c r="BP14" s="20">
        <f t="shared" si="0"/>
        <v>65</v>
      </c>
      <c r="BQ14" s="20">
        <f t="shared" si="0"/>
        <v>66</v>
      </c>
      <c r="BR14" s="20">
        <f t="shared" si="0"/>
        <v>67</v>
      </c>
      <c r="BS14" s="20">
        <f t="shared" si="0"/>
        <v>68</v>
      </c>
      <c r="BT14" s="20">
        <f t="shared" si="0"/>
        <v>69</v>
      </c>
      <c r="BU14" s="20">
        <f t="shared" si="0"/>
        <v>70</v>
      </c>
      <c r="BV14" s="20">
        <f t="shared" si="0"/>
        <v>71</v>
      </c>
      <c r="BW14" s="20">
        <f t="shared" si="0"/>
        <v>72</v>
      </c>
      <c r="BX14" s="20">
        <f t="shared" si="0"/>
        <v>73</v>
      </c>
      <c r="BY14" s="20">
        <f t="shared" si="0"/>
        <v>74</v>
      </c>
      <c r="BZ14" s="20">
        <f t="shared" si="0"/>
        <v>75</v>
      </c>
      <c r="CA14" s="20">
        <f t="shared" si="0"/>
        <v>76</v>
      </c>
      <c r="CB14" s="20">
        <f t="shared" si="0"/>
        <v>77</v>
      </c>
    </row>
    <row r="15" spans="1:80" s="7" customFormat="1" ht="15.75" customHeight="1">
      <c r="A15" s="21"/>
      <c r="B15" s="396" t="s">
        <v>66</v>
      </c>
      <c r="C15" s="397"/>
      <c r="D15" s="397"/>
      <c r="E15" s="398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  <c r="S15" s="24"/>
      <c r="T15" s="24"/>
      <c r="U15" s="24"/>
      <c r="V15" s="24"/>
      <c r="W15" s="36"/>
      <c r="X15" s="7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6"/>
      <c r="AQ15" s="27"/>
      <c r="AR15" s="27"/>
      <c r="AS15" s="26"/>
      <c r="AT15" s="24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4"/>
    </row>
    <row r="16" spans="1:80" ht="11.25">
      <c r="A16" s="19">
        <v>1</v>
      </c>
      <c r="B16" s="28" t="s">
        <v>57</v>
      </c>
      <c r="C16" s="30"/>
      <c r="D16" s="31" t="s">
        <v>508</v>
      </c>
      <c r="E16" s="32" t="s">
        <v>149</v>
      </c>
      <c r="F16" s="29" t="s">
        <v>144</v>
      </c>
      <c r="G16" s="174">
        <f>D6*Нормы!B19/1000</f>
        <v>50</v>
      </c>
      <c r="H16" s="30" t="s">
        <v>514</v>
      </c>
      <c r="I16" s="30" t="s">
        <v>515</v>
      </c>
      <c r="J16" s="81">
        <v>0.25</v>
      </c>
      <c r="K16" s="33">
        <v>300</v>
      </c>
      <c r="L16" s="34">
        <f>G16/K16</f>
        <v>0.16666666666666666</v>
      </c>
      <c r="M16" s="35">
        <f>L16/J16</f>
        <v>0.6666666666666666</v>
      </c>
      <c r="N16" s="35"/>
      <c r="O16" s="36">
        <f>IF(M16=0,0,L16*$O$11)</f>
        <v>1.3313090418353575</v>
      </c>
      <c r="P16" s="36">
        <f>IF(N16=0,0,L16*$O$11)</f>
        <v>0</v>
      </c>
      <c r="Q16" s="35">
        <v>5</v>
      </c>
      <c r="R16" s="81">
        <f>'Исх.данные'!G26</f>
        <v>219.30404460212878</v>
      </c>
      <c r="S16" s="35"/>
      <c r="T16" s="34"/>
      <c r="U16" s="144">
        <f>O16*R16*'Исх.данные'!$C$43%</f>
        <v>0</v>
      </c>
      <c r="V16" s="144">
        <f>P16*T16*'Исх.данные'!$C$44%</f>
        <v>0</v>
      </c>
      <c r="W16" s="144">
        <f>O16*R16*$W$11</f>
        <v>0</v>
      </c>
      <c r="X16" s="145">
        <f>P16*T16*$W$11</f>
        <v>0</v>
      </c>
      <c r="Y16" s="144">
        <f>(O16*R16+U16+W16)*$Y$11</f>
        <v>29.19614574898786</v>
      </c>
      <c r="Z16" s="145">
        <f>(P16*T16+V16+X16)*$Z$11</f>
        <v>0</v>
      </c>
      <c r="AA16" s="144">
        <f>(O16*R16+U16)*$AA$11</f>
        <v>0</v>
      </c>
      <c r="AB16" s="145">
        <f>(P16*T16+V16)*$AA$11</f>
        <v>0</v>
      </c>
      <c r="AC16" s="143">
        <v>2.5</v>
      </c>
      <c r="AD16" s="144">
        <f>(O16*R16+U16+W16+Y16+AA16)*AC16</f>
        <v>802.8940080971661</v>
      </c>
      <c r="AE16" s="144">
        <f>(P16*T16+V16+X16+Z16+AB16)*AC16</f>
        <v>0</v>
      </c>
      <c r="AF16" s="36">
        <f>AD16*$AF$11</f>
        <v>118.9472604588394</v>
      </c>
      <c r="AG16" s="74">
        <f>AE16*$AF$11</f>
        <v>0</v>
      </c>
      <c r="AH16" s="36">
        <f>AD16+AF16</f>
        <v>921.8412685560055</v>
      </c>
      <c r="AI16" s="36">
        <f>AE16+AG16</f>
        <v>0</v>
      </c>
      <c r="AJ16" s="36">
        <f>AH16*$AJ$11</f>
        <v>283.00526944669366</v>
      </c>
      <c r="AK16" s="74">
        <f>AI16*$AJ$11</f>
        <v>0</v>
      </c>
      <c r="AL16" s="36">
        <f>AH16+AJ16</f>
        <v>1204.8465380026992</v>
      </c>
      <c r="AM16" s="74">
        <f>AK16+AI16</f>
        <v>0</v>
      </c>
      <c r="AN16" s="33">
        <v>0.44</v>
      </c>
      <c r="AO16" s="34">
        <f>'Исх.данные'!C60</f>
        <v>0.84</v>
      </c>
      <c r="AP16" s="79">
        <f>(G16*AN16)*AO16/100</f>
        <v>0.1848</v>
      </c>
      <c r="AQ16" s="127" t="s">
        <v>186</v>
      </c>
      <c r="AR16" s="81">
        <f>'Исх.данные'!$E$85</f>
        <v>9477.451428571429</v>
      </c>
      <c r="AS16" s="37">
        <f>AP16*AR16</f>
        <v>1751.433024</v>
      </c>
      <c r="AT16" s="33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>
        <f>аморт!$H$12</f>
        <v>61.781971818181816</v>
      </c>
      <c r="BN16" s="37">
        <f>BM16*L16*$O$11</f>
        <v>82.25089770396269</v>
      </c>
      <c r="BO16" s="37">
        <f>аморт!$H$38</f>
        <v>144.06779999999998</v>
      </c>
      <c r="BP16" s="37">
        <f>BO16*L16*$O$11</f>
        <v>191.7987647773279</v>
      </c>
      <c r="BQ16" s="39">
        <f>'Исх.данные'!$C$89</f>
        <v>101.43277978079999</v>
      </c>
      <c r="BR16" s="37">
        <f>BQ16*CB16</f>
        <v>196.10337424287997</v>
      </c>
      <c r="BS16" s="39">
        <f>'Исх.данные'!$C$94</f>
        <v>11.283646508159999</v>
      </c>
      <c r="BT16" s="37">
        <f>BS16*CB16</f>
        <v>21.815049915775994</v>
      </c>
      <c r="BU16" s="37">
        <f>'Исх.данные'!$C$99</f>
        <v>8.04259910688</v>
      </c>
      <c r="BV16" s="37">
        <f>BU16*CB16</f>
        <v>15.549024939967996</v>
      </c>
      <c r="BW16" s="37"/>
      <c r="BX16" s="37">
        <f>AL16+AM16+AS16+AW16+BA16+BE16+BI16+BL16+BN16+BP16+BR16+BT16+BV16+BW16</f>
        <v>3463.796673582614</v>
      </c>
      <c r="BY16" s="39">
        <f>BX16/$D$6</f>
        <v>3.463796673582614</v>
      </c>
      <c r="BZ16" s="117">
        <f>(O16+P16)/$D$6</f>
        <v>0.0013313090418353576</v>
      </c>
      <c r="CA16" s="39">
        <f>'Исх.данные'!$B$113</f>
        <v>11.6</v>
      </c>
      <c r="CB16" s="40">
        <f>CA16*L16</f>
        <v>1.9333333333333331</v>
      </c>
    </row>
    <row r="17" spans="1:80" ht="11.25">
      <c r="A17" s="20">
        <f aca="true" t="shared" si="1" ref="A17:A25">A16+1</f>
        <v>2</v>
      </c>
      <c r="B17" s="28" t="s">
        <v>58</v>
      </c>
      <c r="C17" s="30"/>
      <c r="D17" s="31" t="s">
        <v>508</v>
      </c>
      <c r="E17" s="32" t="s">
        <v>236</v>
      </c>
      <c r="F17" s="29" t="s">
        <v>144</v>
      </c>
      <c r="G17" s="174">
        <f>G16</f>
        <v>50</v>
      </c>
      <c r="H17" s="30" t="s">
        <v>514</v>
      </c>
      <c r="I17" s="30" t="s">
        <v>515</v>
      </c>
      <c r="J17" s="81">
        <v>0.63</v>
      </c>
      <c r="K17" s="33">
        <v>120</v>
      </c>
      <c r="L17" s="34">
        <f aca="true" t="shared" si="2" ref="L17:L25">G17/K17</f>
        <v>0.4166666666666667</v>
      </c>
      <c r="M17" s="35">
        <f>L17/J17</f>
        <v>0.6613756613756614</v>
      </c>
      <c r="N17" s="35">
        <f aca="true" t="shared" si="3" ref="N17:N22">L17/J17</f>
        <v>0.6613756613756614</v>
      </c>
      <c r="O17" s="36">
        <f aca="true" t="shared" si="4" ref="O17:O25">IF(M17=0,0,L17*$O$11)</f>
        <v>3.328272604588394</v>
      </c>
      <c r="P17" s="36">
        <f aca="true" t="shared" si="5" ref="P17:P25">IF(N17=0,0,L17*$O$11)</f>
        <v>3.328272604588394</v>
      </c>
      <c r="Q17" s="35">
        <v>5</v>
      </c>
      <c r="R17" s="81">
        <f>'Исх.данные'!G26</f>
        <v>219.30404460212878</v>
      </c>
      <c r="S17" s="35">
        <v>4</v>
      </c>
      <c r="T17" s="81">
        <f>IF(AND(N17&gt;0,P17&gt;0),SUMIF('Исх.данные'!$C$14:$J$15,S17,'Исх.данные'!$C$34:J40),IF(N17=0,0,IF(S17=0,"РОТ")))</f>
        <v>123.48200709579322</v>
      </c>
      <c r="U17" s="144">
        <f>O17*R17*'Исх.данные'!$C$43%</f>
        <v>0</v>
      </c>
      <c r="V17" s="144">
        <f>P17*T17*'Исх.данные'!$C$44%</f>
        <v>0</v>
      </c>
      <c r="W17" s="144">
        <f aca="true" t="shared" si="6" ref="W17:W25">O17*R17*$W$11</f>
        <v>0</v>
      </c>
      <c r="X17" s="145">
        <f aca="true" t="shared" si="7" ref="X17:X25">P17*T17*$W$11</f>
        <v>0</v>
      </c>
      <c r="Y17" s="144">
        <f aca="true" t="shared" si="8" ref="Y17:Y25">(O17*R17+U17+W17)*$Y$11</f>
        <v>72.99036437246966</v>
      </c>
      <c r="Z17" s="145">
        <f aca="true" t="shared" si="9" ref="Z17:Z25">(P17*T17+V17+X17)*$Z$11</f>
        <v>20.549089068825914</v>
      </c>
      <c r="AA17" s="144">
        <f aca="true" t="shared" si="10" ref="AA17:AA25">(O17*R17+U17)*$AA$11</f>
        <v>0</v>
      </c>
      <c r="AB17" s="145">
        <f aca="true" t="shared" si="11" ref="AB17:AB25">(P17*T17+V17)*$AA$11</f>
        <v>0</v>
      </c>
      <c r="AC17" s="143">
        <v>2.5</v>
      </c>
      <c r="AD17" s="144">
        <f aca="true" t="shared" si="12" ref="AD17:AD25">(O17*R17+U17+W17+Y17+AA17)*AC17</f>
        <v>2007.2350202429154</v>
      </c>
      <c r="AE17" s="144">
        <f aca="true" t="shared" si="13" ref="AE17:AE25">(P17*T17+V17+X17+Z17+AB17)*AC17</f>
        <v>1078.8271761133606</v>
      </c>
      <c r="AF17" s="36">
        <f aca="true" t="shared" si="14" ref="AF17:AF25">AD17*$AF$11</f>
        <v>297.3681511470985</v>
      </c>
      <c r="AG17" s="74">
        <f aca="true" t="shared" si="15" ref="AG17:AG25">AE17*$AF$11</f>
        <v>159.82624831309042</v>
      </c>
      <c r="AH17" s="36">
        <f aca="true" t="shared" si="16" ref="AH17:AH25">AD17+AF17</f>
        <v>2304.603171390014</v>
      </c>
      <c r="AI17" s="36">
        <f aca="true" t="shared" si="17" ref="AI17:AI25">AE17+AG17</f>
        <v>1238.653424426451</v>
      </c>
      <c r="AJ17" s="36">
        <f aca="true" t="shared" si="18" ref="AJ17:AJ25">AH17*$AJ$11</f>
        <v>707.5131736167342</v>
      </c>
      <c r="AK17" s="74">
        <f aca="true" t="shared" si="19" ref="AK17:AK25">AI17*$AJ$11</f>
        <v>380.2666012989205</v>
      </c>
      <c r="AL17" s="36">
        <f aca="true" t="shared" si="20" ref="AL17:AL25">AH17+AJ17</f>
        <v>3012.116345006748</v>
      </c>
      <c r="AM17" s="74">
        <f aca="true" t="shared" si="21" ref="AM17:AM25">AK17+AI17</f>
        <v>1618.9200257253715</v>
      </c>
      <c r="AN17" s="33">
        <v>0.52</v>
      </c>
      <c r="AO17" s="34">
        <f>AO16</f>
        <v>0.84</v>
      </c>
      <c r="AP17" s="79">
        <f>(G17*AN17)*AO17/100</f>
        <v>0.2184</v>
      </c>
      <c r="AQ17" s="127" t="s">
        <v>186</v>
      </c>
      <c r="AR17" s="81">
        <f>'Исх.данные'!$E$85</f>
        <v>9477.451428571429</v>
      </c>
      <c r="AS17" s="37">
        <f>AP17*AR17</f>
        <v>2069.875392</v>
      </c>
      <c r="AT17" s="33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>
        <f>аморт!$H$12</f>
        <v>61.781971818181816</v>
      </c>
      <c r="BN17" s="37">
        <f>BM17*L17*$O$11</f>
        <v>205.62724425990677</v>
      </c>
      <c r="BO17" s="37">
        <f>аморт!H71</f>
        <v>16.842009523809526</v>
      </c>
      <c r="BP17" s="37">
        <f>BO17*L17*$O$11</f>
        <v>56.05479890431207</v>
      </c>
      <c r="BQ17" s="39">
        <f>'Исх.данные'!$C$89</f>
        <v>101.43277978079999</v>
      </c>
      <c r="BR17" s="37">
        <f>BQ17*CB17</f>
        <v>490.25843560719994</v>
      </c>
      <c r="BS17" s="39">
        <f>'Исх.данные'!$C$94</f>
        <v>11.283646508159999</v>
      </c>
      <c r="BT17" s="37">
        <f>BS17*CB17</f>
        <v>54.53762478943999</v>
      </c>
      <c r="BU17" s="37">
        <f>'Исх.данные'!$C$99</f>
        <v>8.04259910688</v>
      </c>
      <c r="BV17" s="37">
        <f>BU17*CB17</f>
        <v>38.872562349919995</v>
      </c>
      <c r="BW17" s="37">
        <f>аморт!D69*10%/аморт!G69*L17*O11</f>
        <v>45.83426331533963</v>
      </c>
      <c r="BX17" s="37">
        <f aca="true" t="shared" si="22" ref="BX17:BX25">AL17+AM17+AS17+AW17+BA17+BE17+BI17+BL17+BN17+BP17+BR17+BT17+BV17+BW17</f>
        <v>7592.096691958239</v>
      </c>
      <c r="BY17" s="39">
        <f aca="true" t="shared" si="23" ref="BY17:BY25">BX17/$D$6</f>
        <v>7.592096691958239</v>
      </c>
      <c r="BZ17" s="117">
        <f aca="true" t="shared" si="24" ref="BZ17:BZ25">(O17+P17)/$D$6</f>
        <v>0.0066565452091767886</v>
      </c>
      <c r="CA17" s="39">
        <f>'Исх.данные'!$B$113</f>
        <v>11.6</v>
      </c>
      <c r="CB17" s="40">
        <f>CA17*L17</f>
        <v>4.833333333333333</v>
      </c>
    </row>
    <row r="18" spans="1:80" ht="22.5">
      <c r="A18" s="20">
        <f t="shared" si="1"/>
        <v>3</v>
      </c>
      <c r="B18" s="28" t="s">
        <v>59</v>
      </c>
      <c r="C18" s="30"/>
      <c r="D18" s="31" t="s">
        <v>133</v>
      </c>
      <c r="E18" s="32" t="s">
        <v>140</v>
      </c>
      <c r="F18" s="29" t="s">
        <v>144</v>
      </c>
      <c r="G18" s="174">
        <f>G16</f>
        <v>50</v>
      </c>
      <c r="H18" s="30" t="s">
        <v>514</v>
      </c>
      <c r="I18" s="30" t="s">
        <v>515</v>
      </c>
      <c r="J18" s="81">
        <v>1.96</v>
      </c>
      <c r="K18" s="33">
        <v>25.5</v>
      </c>
      <c r="L18" s="34">
        <f t="shared" si="2"/>
        <v>1.9607843137254901</v>
      </c>
      <c r="M18" s="35">
        <f>L18/J18</f>
        <v>1.0004001600640255</v>
      </c>
      <c r="N18" s="35">
        <f t="shared" si="3"/>
        <v>1.0004001600640255</v>
      </c>
      <c r="O18" s="36">
        <f t="shared" si="4"/>
        <v>15.66245931571009</v>
      </c>
      <c r="P18" s="36">
        <f t="shared" si="5"/>
        <v>15.66245931571009</v>
      </c>
      <c r="Q18" s="35">
        <v>2</v>
      </c>
      <c r="R18" s="81">
        <f>'Исх.данные'!D18</f>
        <v>126.44557526609226</v>
      </c>
      <c r="S18" s="35">
        <v>2</v>
      </c>
      <c r="T18" s="81">
        <f>IF(AND(N18&gt;0,P18&gt;0),SUMIF('Исх.данные'!$C$14:$J$15,S18,'Исх.данные'!$C$34:J40),IF(N18=0,0,IF(S18=0,"РОТ")))</f>
        <v>105.700598073999</v>
      </c>
      <c r="U18" s="144">
        <f>O18*R18*'Исх.данные'!$C$43%</f>
        <v>0</v>
      </c>
      <c r="V18" s="144">
        <f>P18*T18*'Исх.данные'!$C$44%</f>
        <v>0</v>
      </c>
      <c r="W18" s="144">
        <f t="shared" si="6"/>
        <v>0</v>
      </c>
      <c r="X18" s="145">
        <f t="shared" si="7"/>
        <v>0</v>
      </c>
      <c r="Y18" s="144">
        <f t="shared" si="8"/>
        <v>198.0448678256728</v>
      </c>
      <c r="Z18" s="145">
        <f t="shared" si="9"/>
        <v>82.77656584901169</v>
      </c>
      <c r="AA18" s="144">
        <f t="shared" si="10"/>
        <v>0</v>
      </c>
      <c r="AB18" s="145">
        <f t="shared" si="11"/>
        <v>0</v>
      </c>
      <c r="AC18" s="143">
        <v>2.5</v>
      </c>
      <c r="AD18" s="144">
        <f t="shared" si="12"/>
        <v>5446.2338652060025</v>
      </c>
      <c r="AE18" s="144">
        <f t="shared" si="13"/>
        <v>4345.769707073113</v>
      </c>
      <c r="AF18" s="36">
        <f t="shared" si="14"/>
        <v>806.8494615120002</v>
      </c>
      <c r="AG18" s="74">
        <f t="shared" si="15"/>
        <v>643.8177343812017</v>
      </c>
      <c r="AH18" s="36">
        <f t="shared" si="16"/>
        <v>6253.083326718002</v>
      </c>
      <c r="AI18" s="36">
        <f t="shared" si="17"/>
        <v>4989.587441454314</v>
      </c>
      <c r="AJ18" s="36">
        <f t="shared" si="18"/>
        <v>1919.6965813024267</v>
      </c>
      <c r="AK18" s="74">
        <f t="shared" si="19"/>
        <v>1531.8033445264743</v>
      </c>
      <c r="AL18" s="36">
        <f t="shared" si="20"/>
        <v>8172.7799080204295</v>
      </c>
      <c r="AM18" s="74">
        <f t="shared" si="21"/>
        <v>6521.390785980789</v>
      </c>
      <c r="AN18" s="33">
        <v>1.14</v>
      </c>
      <c r="AO18" s="34">
        <f aca="true" t="shared" si="25" ref="AO18:AO25">AO17</f>
        <v>0.84</v>
      </c>
      <c r="AP18" s="79">
        <f>(G18*AN18)*AO18/100</f>
        <v>0.47879999999999995</v>
      </c>
      <c r="AQ18" s="127" t="s">
        <v>186</v>
      </c>
      <c r="AR18" s="81">
        <f>'Исх.данные'!$G$85</f>
        <v>9559.371428571429</v>
      </c>
      <c r="AS18" s="37">
        <f>AP18*AR18</f>
        <v>4577.02704</v>
      </c>
      <c r="AT18" s="33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>
        <f>аморт!$H$10</f>
        <v>69.6969696969697</v>
      </c>
      <c r="BN18" s="37">
        <f>BM18*L18*$O$11</f>
        <v>1091.6259523070669</v>
      </c>
      <c r="BO18" s="88">
        <f>аморт!$H$25</f>
        <v>12.519247457627118</v>
      </c>
      <c r="BP18" s="37">
        <f>BO18*L18*$O$11</f>
        <v>196.0822039683917</v>
      </c>
      <c r="BQ18" s="39">
        <f>'Исх.данные'!$E$89</f>
        <v>98.91196513535999</v>
      </c>
      <c r="BR18" s="37">
        <f>BQ18*CB18</f>
        <v>989.1196513535997</v>
      </c>
      <c r="BS18" s="39">
        <f>'Исх.данные'!$E$94</f>
        <v>16.685392176959997</v>
      </c>
      <c r="BT18" s="37">
        <f>BS18*CB18</f>
        <v>166.85392176959994</v>
      </c>
      <c r="BU18" s="153">
        <f>'Исх.данные'!$E$99</f>
        <v>5.761862046719998</v>
      </c>
      <c r="BV18" s="37">
        <f>BU18*CB18</f>
        <v>57.618620467199975</v>
      </c>
      <c r="BW18" s="37">
        <f>аморт!$D$25*10%/аморт!$G$25*L18*O11</f>
        <v>196.0822039683917</v>
      </c>
      <c r="BX18" s="37">
        <f t="shared" si="22"/>
        <v>21968.58028783547</v>
      </c>
      <c r="BY18" s="39">
        <f t="shared" si="23"/>
        <v>21.96858028783547</v>
      </c>
      <c r="BZ18" s="117">
        <f t="shared" si="24"/>
        <v>0.03132491863142018</v>
      </c>
      <c r="CA18" s="39">
        <f>'Исх.данные'!$B$109</f>
        <v>5.1</v>
      </c>
      <c r="CB18" s="40">
        <f>CA18*L18</f>
        <v>9.999999999999998</v>
      </c>
    </row>
    <row r="19" spans="1:80" ht="22.5">
      <c r="A19" s="20">
        <f t="shared" si="1"/>
        <v>4</v>
      </c>
      <c r="B19" s="28" t="s">
        <v>60</v>
      </c>
      <c r="C19" s="30"/>
      <c r="D19" s="418" t="s">
        <v>143</v>
      </c>
      <c r="E19" s="419"/>
      <c r="F19" s="29" t="s">
        <v>144</v>
      </c>
      <c r="G19" s="175">
        <f>D6*Нормы!B17/1000</f>
        <v>0.5</v>
      </c>
      <c r="H19" s="30" t="s">
        <v>514</v>
      </c>
      <c r="I19" s="30" t="s">
        <v>515</v>
      </c>
      <c r="J19" s="81">
        <v>0.09</v>
      </c>
      <c r="K19" s="33">
        <v>5.5</v>
      </c>
      <c r="L19" s="34">
        <f t="shared" si="2"/>
        <v>0.09090909090909091</v>
      </c>
      <c r="M19" s="35"/>
      <c r="N19" s="35">
        <f t="shared" si="3"/>
        <v>1.0101010101010102</v>
      </c>
      <c r="O19" s="36">
        <f t="shared" si="4"/>
        <v>0</v>
      </c>
      <c r="P19" s="36">
        <f t="shared" si="5"/>
        <v>0.7261685682738315</v>
      </c>
      <c r="Q19" s="35"/>
      <c r="R19" s="81">
        <f>IF(AND(O19&gt;0,Q19&gt;0),SUMIF('Исх.данные'!$C$14:$H$14,Q19,'Исх.данные'!$C$18:$H$18),IF(O19=0,0,IF(Q19=0,"РОТ")))</f>
        <v>0</v>
      </c>
      <c r="S19" s="35">
        <v>2</v>
      </c>
      <c r="T19" s="81">
        <f>IF(AND(N19&gt;0,P19&gt;0),SUMIF('Исх.данные'!$C$14:$J$15,S19,'Исх.данные'!$C$34:J41),IF(N19=0,0,IF(S19=0,"РОТ")))</f>
        <v>105.700598073999</v>
      </c>
      <c r="U19" s="144">
        <f>O19*R19*'Исх.данные'!$C$43%</f>
        <v>0</v>
      </c>
      <c r="V19" s="144">
        <f>P19*T19*'Исх.данные'!$C$44%</f>
        <v>0</v>
      </c>
      <c r="W19" s="144">
        <f t="shared" si="6"/>
        <v>0</v>
      </c>
      <c r="X19" s="145">
        <f t="shared" si="7"/>
        <v>0</v>
      </c>
      <c r="Y19" s="144">
        <f t="shared" si="8"/>
        <v>0</v>
      </c>
      <c r="Z19" s="145">
        <f t="shared" si="9"/>
        <v>3.8378225984541787</v>
      </c>
      <c r="AA19" s="144">
        <f t="shared" si="10"/>
        <v>0</v>
      </c>
      <c r="AB19" s="145">
        <f t="shared" si="11"/>
        <v>0</v>
      </c>
      <c r="AC19" s="143">
        <v>2.5</v>
      </c>
      <c r="AD19" s="144">
        <f t="shared" si="12"/>
        <v>0</v>
      </c>
      <c r="AE19" s="144">
        <f t="shared" si="13"/>
        <v>201.48568641884438</v>
      </c>
      <c r="AF19" s="36">
        <f t="shared" si="14"/>
        <v>0</v>
      </c>
      <c r="AG19" s="74">
        <f t="shared" si="15"/>
        <v>29.849731321310273</v>
      </c>
      <c r="AH19" s="36">
        <f t="shared" si="16"/>
        <v>0</v>
      </c>
      <c r="AI19" s="36">
        <f t="shared" si="17"/>
        <v>231.33541774015464</v>
      </c>
      <c r="AJ19" s="36">
        <f t="shared" si="18"/>
        <v>0</v>
      </c>
      <c r="AK19" s="74">
        <f t="shared" si="19"/>
        <v>71.01997324622748</v>
      </c>
      <c r="AL19" s="36">
        <f t="shared" si="20"/>
        <v>0</v>
      </c>
      <c r="AM19" s="74">
        <f t="shared" si="21"/>
        <v>302.35539098638213</v>
      </c>
      <c r="AN19" s="33"/>
      <c r="AO19" s="34">
        <f t="shared" si="25"/>
        <v>0.84</v>
      </c>
      <c r="AP19" s="79"/>
      <c r="AQ19" s="127"/>
      <c r="AR19" s="81"/>
      <c r="AS19" s="37"/>
      <c r="AT19" s="33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>
        <f aca="true" t="shared" si="26" ref="BN19:BN46">BM19*L19</f>
        <v>0</v>
      </c>
      <c r="BO19" s="37"/>
      <c r="BP19" s="37">
        <f aca="true" t="shared" si="27" ref="BP19:BP46">BO19*L19</f>
        <v>0</v>
      </c>
      <c r="BQ19" s="39"/>
      <c r="BR19" s="37"/>
      <c r="BS19" s="39"/>
      <c r="BT19" s="37"/>
      <c r="BU19" s="39"/>
      <c r="BV19" s="37"/>
      <c r="BW19" s="37"/>
      <c r="BX19" s="37">
        <f t="shared" si="22"/>
        <v>302.35539098638213</v>
      </c>
      <c r="BY19" s="39">
        <f t="shared" si="23"/>
        <v>0.30235539098638214</v>
      </c>
      <c r="BZ19" s="117">
        <f t="shared" si="24"/>
        <v>0.0007261685682738314</v>
      </c>
      <c r="CA19" s="39"/>
      <c r="CB19" s="40"/>
    </row>
    <row r="20" spans="1:80" ht="11.25">
      <c r="A20" s="20">
        <f t="shared" si="1"/>
        <v>5</v>
      </c>
      <c r="B20" s="28" t="s">
        <v>61</v>
      </c>
      <c r="C20" s="30"/>
      <c r="D20" s="31" t="s">
        <v>133</v>
      </c>
      <c r="E20" s="32" t="s">
        <v>140</v>
      </c>
      <c r="F20" s="29" t="s">
        <v>144</v>
      </c>
      <c r="G20" s="175">
        <f>G19</f>
        <v>0.5</v>
      </c>
      <c r="H20" s="30" t="s">
        <v>514</v>
      </c>
      <c r="I20" s="30" t="s">
        <v>515</v>
      </c>
      <c r="J20" s="81">
        <v>0.03</v>
      </c>
      <c r="K20" s="33">
        <v>30</v>
      </c>
      <c r="L20" s="34">
        <f t="shared" si="2"/>
        <v>0.016666666666666666</v>
      </c>
      <c r="M20" s="35">
        <f>L20/J20</f>
        <v>0.5555555555555556</v>
      </c>
      <c r="N20" s="35">
        <f t="shared" si="3"/>
        <v>0.5555555555555556</v>
      </c>
      <c r="O20" s="36">
        <f t="shared" si="4"/>
        <v>0.13313090418353576</v>
      </c>
      <c r="P20" s="36">
        <f t="shared" si="5"/>
        <v>0.13313090418353576</v>
      </c>
      <c r="Q20" s="35">
        <v>2</v>
      </c>
      <c r="R20" s="81">
        <f>IF(AND(O20&gt;0,Q20&gt;0),SUMIF('Исх.данные'!$C$14:$H$14,Q20,'Исх.данные'!$C$18:$H$18),IF(O20=0,0,IF(Q20=0,"РОТ")))</f>
        <v>126.44557526609226</v>
      </c>
      <c r="S20" s="35">
        <v>2</v>
      </c>
      <c r="T20" s="81">
        <f>IF(AND(N20&gt;0,P20&gt;0),SUMIF('Исх.данные'!$C$14:$J$15,S20,'Исх.данные'!$C$34:J41),IF(N20=0,0,IF(S20=0,"РОТ")))</f>
        <v>105.700598073999</v>
      </c>
      <c r="U20" s="144">
        <f>O20*R20*'Исх.данные'!$C$43%</f>
        <v>0</v>
      </c>
      <c r="V20" s="144">
        <f>P20*T20*'Исх.данные'!$C$44%</f>
        <v>0</v>
      </c>
      <c r="W20" s="144">
        <f t="shared" si="6"/>
        <v>0</v>
      </c>
      <c r="X20" s="145">
        <f t="shared" si="7"/>
        <v>0</v>
      </c>
      <c r="Y20" s="144">
        <f t="shared" si="8"/>
        <v>1.683381376518219</v>
      </c>
      <c r="Z20" s="145">
        <f t="shared" si="9"/>
        <v>0.7036008097165993</v>
      </c>
      <c r="AA20" s="144">
        <f t="shared" si="10"/>
        <v>0</v>
      </c>
      <c r="AB20" s="145">
        <f t="shared" si="11"/>
        <v>0</v>
      </c>
      <c r="AC20" s="143">
        <v>2.5</v>
      </c>
      <c r="AD20" s="144">
        <f t="shared" si="12"/>
        <v>46.292987854251024</v>
      </c>
      <c r="AE20" s="144">
        <f t="shared" si="13"/>
        <v>36.93904251012147</v>
      </c>
      <c r="AF20" s="36">
        <f t="shared" si="14"/>
        <v>6.858220422852002</v>
      </c>
      <c r="AG20" s="74">
        <f t="shared" si="15"/>
        <v>5.472450742240216</v>
      </c>
      <c r="AH20" s="36">
        <f t="shared" si="16"/>
        <v>53.151208277103024</v>
      </c>
      <c r="AI20" s="36">
        <f t="shared" si="17"/>
        <v>42.41149325236168</v>
      </c>
      <c r="AJ20" s="36">
        <f t="shared" si="18"/>
        <v>16.31742094107063</v>
      </c>
      <c r="AK20" s="74">
        <f t="shared" si="19"/>
        <v>13.020328428475036</v>
      </c>
      <c r="AL20" s="36">
        <f t="shared" si="20"/>
        <v>69.46862921817365</v>
      </c>
      <c r="AM20" s="74">
        <f t="shared" si="21"/>
        <v>55.43182168083672</v>
      </c>
      <c r="AN20" s="176">
        <v>2</v>
      </c>
      <c r="AO20" s="34">
        <f t="shared" si="25"/>
        <v>0.84</v>
      </c>
      <c r="AP20" s="79">
        <f>(G20*AN20)*AO20/100</f>
        <v>0.0084</v>
      </c>
      <c r="AQ20" s="127" t="s">
        <v>186</v>
      </c>
      <c r="AR20" s="81">
        <f>'Исх.данные'!$G$85</f>
        <v>9559.371428571429</v>
      </c>
      <c r="AS20" s="37">
        <f>AP20*AR20</f>
        <v>80.29871999999999</v>
      </c>
      <c r="AT20" s="33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>
        <f>аморт!$H$10</f>
        <v>69.6969696969697</v>
      </c>
      <c r="BN20" s="37">
        <f>BM20*L20*$O$11</f>
        <v>9.27882059461007</v>
      </c>
      <c r="BO20" s="88">
        <f>аморт!$H$25</f>
        <v>12.519247457627118</v>
      </c>
      <c r="BP20" s="37">
        <f>BO20*L20*$O$11</f>
        <v>1.6666987337313295</v>
      </c>
      <c r="BQ20" s="39">
        <f>'Исх.данные'!$E$89</f>
        <v>98.91196513535999</v>
      </c>
      <c r="BR20" s="37">
        <f>BQ20*CB20</f>
        <v>8.407517036505599</v>
      </c>
      <c r="BS20" s="39">
        <f>'Исх.данные'!$E$94</f>
        <v>16.685392176959997</v>
      </c>
      <c r="BT20" s="37">
        <f>BS20*CB20</f>
        <v>1.4182583350415996</v>
      </c>
      <c r="BU20" s="153">
        <f>'Исх.данные'!$E$99</f>
        <v>5.761862046719998</v>
      </c>
      <c r="BV20" s="37">
        <f>BU20*CB20</f>
        <v>0.4897582739711998</v>
      </c>
      <c r="BW20" s="37">
        <f>аморт!$D$25*10%/аморт!$G$25*L20*O11</f>
        <v>1.6666987337313295</v>
      </c>
      <c r="BX20" s="37">
        <f t="shared" si="22"/>
        <v>228.12692260660148</v>
      </c>
      <c r="BY20" s="39">
        <f t="shared" si="23"/>
        <v>0.22812692260660147</v>
      </c>
      <c r="BZ20" s="117">
        <f t="shared" si="24"/>
        <v>0.00026626180836707153</v>
      </c>
      <c r="CA20" s="39">
        <f>'Исх.данные'!$B$109</f>
        <v>5.1</v>
      </c>
      <c r="CB20" s="40">
        <f>CA20*L20</f>
        <v>0.08499999999999999</v>
      </c>
    </row>
    <row r="21" spans="1:80" ht="22.5">
      <c r="A21" s="20">
        <f t="shared" si="1"/>
        <v>6</v>
      </c>
      <c r="B21" s="28" t="s">
        <v>62</v>
      </c>
      <c r="C21" s="30"/>
      <c r="D21" s="418" t="s">
        <v>143</v>
      </c>
      <c r="E21" s="419"/>
      <c r="F21" s="29" t="s">
        <v>144</v>
      </c>
      <c r="G21" s="174">
        <f>G16</f>
        <v>50</v>
      </c>
      <c r="H21" s="30" t="s">
        <v>514</v>
      </c>
      <c r="I21" s="30" t="s">
        <v>515</v>
      </c>
      <c r="J21" s="81">
        <v>7.69</v>
      </c>
      <c r="K21" s="33">
        <v>6.5</v>
      </c>
      <c r="L21" s="34">
        <f t="shared" si="2"/>
        <v>7.6923076923076925</v>
      </c>
      <c r="M21" s="35"/>
      <c r="N21" s="35">
        <f t="shared" si="3"/>
        <v>1.000300090027008</v>
      </c>
      <c r="O21" s="36">
        <f t="shared" si="4"/>
        <v>0</v>
      </c>
      <c r="P21" s="36">
        <f t="shared" si="5"/>
        <v>61.44503270009343</v>
      </c>
      <c r="Q21" s="35"/>
      <c r="R21" s="34"/>
      <c r="S21" s="35">
        <v>3</v>
      </c>
      <c r="T21" s="81">
        <f>IF(AND(N21&gt;0,P21&gt;0),SUMIF('Исх.данные'!$C$14:$J$15,S21,'Исх.данные'!$C$34:J42),IF(N21=0,0,IF(S21=0,"РОТ")))</f>
        <v>113.60344652812975</v>
      </c>
      <c r="U21" s="144">
        <f>O21*R21*'Исх.данные'!$C$43%</f>
        <v>0</v>
      </c>
      <c r="V21" s="144">
        <f>P21*T21*'Исх.данные'!$C$44%</f>
        <v>0</v>
      </c>
      <c r="W21" s="144">
        <f t="shared" si="6"/>
        <v>0</v>
      </c>
      <c r="X21" s="145">
        <f t="shared" si="7"/>
        <v>0</v>
      </c>
      <c r="Y21" s="144">
        <f t="shared" si="8"/>
        <v>0</v>
      </c>
      <c r="Z21" s="145">
        <f t="shared" si="9"/>
        <v>349.0183743382124</v>
      </c>
      <c r="AA21" s="144">
        <f t="shared" si="10"/>
        <v>0</v>
      </c>
      <c r="AB21" s="145">
        <f t="shared" si="11"/>
        <v>0</v>
      </c>
      <c r="AC21" s="143">
        <v>2.5</v>
      </c>
      <c r="AD21" s="144">
        <f t="shared" si="12"/>
        <v>0</v>
      </c>
      <c r="AE21" s="144">
        <f t="shared" si="13"/>
        <v>18323.46465275615</v>
      </c>
      <c r="AF21" s="36">
        <f t="shared" si="14"/>
        <v>0</v>
      </c>
      <c r="AG21" s="74">
        <f t="shared" si="15"/>
        <v>2714.587355963873</v>
      </c>
      <c r="AH21" s="36">
        <f t="shared" si="16"/>
        <v>0</v>
      </c>
      <c r="AI21" s="36">
        <f t="shared" si="17"/>
        <v>21038.05200872002</v>
      </c>
      <c r="AJ21" s="36">
        <f t="shared" si="18"/>
        <v>0</v>
      </c>
      <c r="AK21" s="74">
        <f t="shared" si="19"/>
        <v>6458.681966677046</v>
      </c>
      <c r="AL21" s="36">
        <f t="shared" si="20"/>
        <v>0</v>
      </c>
      <c r="AM21" s="74">
        <f t="shared" si="21"/>
        <v>27496.733975397066</v>
      </c>
      <c r="AN21" s="33"/>
      <c r="AO21" s="34">
        <f t="shared" si="25"/>
        <v>0.84</v>
      </c>
      <c r="AP21" s="79"/>
      <c r="AQ21" s="127"/>
      <c r="AR21" s="81"/>
      <c r="AS21" s="37"/>
      <c r="AT21" s="33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>
        <f t="shared" si="26"/>
        <v>0</v>
      </c>
      <c r="BO21" s="37"/>
      <c r="BP21" s="37">
        <f t="shared" si="27"/>
        <v>0</v>
      </c>
      <c r="BQ21" s="37"/>
      <c r="BR21" s="37"/>
      <c r="BS21" s="37"/>
      <c r="BT21" s="37"/>
      <c r="BU21" s="37"/>
      <c r="BV21" s="37"/>
      <c r="BW21" s="37"/>
      <c r="BX21" s="37">
        <f t="shared" si="22"/>
        <v>27496.733975397066</v>
      </c>
      <c r="BY21" s="39">
        <f t="shared" si="23"/>
        <v>27.496733975397067</v>
      </c>
      <c r="BZ21" s="117">
        <f t="shared" si="24"/>
        <v>0.06144503270009343</v>
      </c>
      <c r="CA21" s="39"/>
      <c r="CB21" s="40"/>
    </row>
    <row r="22" spans="1:80" ht="11.25">
      <c r="A22" s="20">
        <f t="shared" si="1"/>
        <v>7</v>
      </c>
      <c r="B22" s="28" t="s">
        <v>63</v>
      </c>
      <c r="C22" s="30"/>
      <c r="D22" s="418" t="s">
        <v>143</v>
      </c>
      <c r="E22" s="419"/>
      <c r="F22" s="29" t="s">
        <v>144</v>
      </c>
      <c r="G22" s="174">
        <f>G16</f>
        <v>50</v>
      </c>
      <c r="H22" s="30" t="s">
        <v>516</v>
      </c>
      <c r="I22" s="30" t="s">
        <v>516</v>
      </c>
      <c r="J22" s="81">
        <v>4.2</v>
      </c>
      <c r="K22" s="33">
        <v>6</v>
      </c>
      <c r="L22" s="34">
        <f t="shared" si="2"/>
        <v>8.333333333333334</v>
      </c>
      <c r="M22" s="35"/>
      <c r="N22" s="35">
        <f t="shared" si="3"/>
        <v>1.9841269841269842</v>
      </c>
      <c r="O22" s="36">
        <f t="shared" si="4"/>
        <v>0</v>
      </c>
      <c r="P22" s="36">
        <f t="shared" si="5"/>
        <v>66.56545209176788</v>
      </c>
      <c r="Q22" s="35"/>
      <c r="R22" s="81">
        <f>IF(AND(O22&gt;0,Q22&gt;0),SUMIF('Исх.данные'!$C$14:$H$14,Q22,'Исх.данные'!$C$18:$H$18),IF(O22=0,0,IF(Q22=0,"РОТ")))</f>
        <v>0</v>
      </c>
      <c r="S22" s="35">
        <v>2</v>
      </c>
      <c r="T22" s="81">
        <f>IF(AND(N22&gt;0,P22&gt;0),SUMIF('Исх.данные'!$C$14:$J$15,S22,'Исх.данные'!$C$34:J43),IF(N22=0,0,IF(S22=0,"РОТ")))</f>
        <v>105.700598073999</v>
      </c>
      <c r="U22" s="144">
        <f>O22*R22*'Исх.данные'!$C$43%</f>
        <v>0</v>
      </c>
      <c r="V22" s="144">
        <f>P22*T22*'Исх.данные'!$C$44%</f>
        <v>0</v>
      </c>
      <c r="W22" s="144">
        <f t="shared" si="6"/>
        <v>0</v>
      </c>
      <c r="X22" s="145">
        <f t="shared" si="7"/>
        <v>0</v>
      </c>
      <c r="Y22" s="144">
        <f t="shared" si="8"/>
        <v>0</v>
      </c>
      <c r="Z22" s="145">
        <f t="shared" si="9"/>
        <v>351.80040485829966</v>
      </c>
      <c r="AA22" s="144">
        <f t="shared" si="10"/>
        <v>0</v>
      </c>
      <c r="AB22" s="145">
        <f t="shared" si="11"/>
        <v>0</v>
      </c>
      <c r="AC22" s="143">
        <v>2.5</v>
      </c>
      <c r="AD22" s="144">
        <f t="shared" si="12"/>
        <v>0</v>
      </c>
      <c r="AE22" s="144">
        <f t="shared" si="13"/>
        <v>18469.521255060732</v>
      </c>
      <c r="AF22" s="36">
        <f t="shared" si="14"/>
        <v>0</v>
      </c>
      <c r="AG22" s="74">
        <f t="shared" si="15"/>
        <v>2736.225371120108</v>
      </c>
      <c r="AH22" s="36">
        <f t="shared" si="16"/>
        <v>0</v>
      </c>
      <c r="AI22" s="36">
        <f t="shared" si="17"/>
        <v>21205.74662618084</v>
      </c>
      <c r="AJ22" s="36">
        <f t="shared" si="18"/>
        <v>0</v>
      </c>
      <c r="AK22" s="74">
        <f t="shared" si="19"/>
        <v>6510.164214237518</v>
      </c>
      <c r="AL22" s="36">
        <f t="shared" si="20"/>
        <v>0</v>
      </c>
      <c r="AM22" s="74">
        <f t="shared" si="21"/>
        <v>27715.910840418357</v>
      </c>
      <c r="AN22" s="33"/>
      <c r="AO22" s="34">
        <f t="shared" si="25"/>
        <v>0.84</v>
      </c>
      <c r="AP22" s="79"/>
      <c r="AQ22" s="127"/>
      <c r="AR22" s="81"/>
      <c r="AS22" s="37"/>
      <c r="AT22" s="33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>
        <f t="shared" si="26"/>
        <v>0</v>
      </c>
      <c r="BO22" s="37"/>
      <c r="BP22" s="37">
        <f t="shared" si="27"/>
        <v>0</v>
      </c>
      <c r="BQ22" s="39"/>
      <c r="BR22" s="37"/>
      <c r="BS22" s="39"/>
      <c r="BT22" s="37"/>
      <c r="BU22" s="39"/>
      <c r="BV22" s="37"/>
      <c r="BW22" s="37"/>
      <c r="BX22" s="37">
        <f t="shared" si="22"/>
        <v>27715.910840418357</v>
      </c>
      <c r="BY22" s="39">
        <f t="shared" si="23"/>
        <v>27.715910840418356</v>
      </c>
      <c r="BZ22" s="117">
        <f t="shared" si="24"/>
        <v>0.06656545209176788</v>
      </c>
      <c r="CA22" s="39"/>
      <c r="CB22" s="40"/>
    </row>
    <row r="23" spans="1:80" ht="11.25">
      <c r="A23" s="20">
        <f t="shared" si="1"/>
        <v>8</v>
      </c>
      <c r="B23" s="28" t="s">
        <v>519</v>
      </c>
      <c r="C23" s="30"/>
      <c r="D23" s="31" t="s">
        <v>133</v>
      </c>
      <c r="E23" s="32" t="s">
        <v>140</v>
      </c>
      <c r="F23" s="29" t="s">
        <v>144</v>
      </c>
      <c r="G23" s="174">
        <f>G16</f>
        <v>50</v>
      </c>
      <c r="H23" s="30" t="s">
        <v>516</v>
      </c>
      <c r="I23" s="30" t="s">
        <v>516</v>
      </c>
      <c r="J23" s="81">
        <v>2.7</v>
      </c>
      <c r="K23" s="33">
        <v>30</v>
      </c>
      <c r="L23" s="34">
        <f t="shared" si="2"/>
        <v>1.6666666666666667</v>
      </c>
      <c r="M23" s="35">
        <f>L23/J23</f>
        <v>0.6172839506172839</v>
      </c>
      <c r="N23" s="35"/>
      <c r="O23" s="36">
        <f t="shared" si="4"/>
        <v>13.313090418353577</v>
      </c>
      <c r="P23" s="36">
        <f t="shared" si="5"/>
        <v>0</v>
      </c>
      <c r="Q23" s="35">
        <v>2</v>
      </c>
      <c r="R23" s="81">
        <f>IF(AND(O23&gt;0,Q23&gt;0),SUMIF('Исх.данные'!$C$14:$H$14,Q23,'Исх.данные'!$C$18:$H$18),IF(O23=0,0,IF(Q23=0,"РОТ")))</f>
        <v>126.44557526609226</v>
      </c>
      <c r="S23" s="35">
        <v>2</v>
      </c>
      <c r="T23" s="81">
        <f>IF(AND(N23&gt;0,P23&gt;0),SUMIF('Исх.данные'!$C$14:$J$15,S23,'Исх.данные'!$C$34:J44),IF(N23=0,0,IF(S23=0,"РОТ")))</f>
        <v>0</v>
      </c>
      <c r="U23" s="144">
        <f>O23*R23*'Исх.данные'!$C$43%</f>
        <v>0</v>
      </c>
      <c r="V23" s="144">
        <f>P23*T23*'Исх.данные'!$C$44%</f>
        <v>0</v>
      </c>
      <c r="W23" s="144">
        <f t="shared" si="6"/>
        <v>0</v>
      </c>
      <c r="X23" s="145">
        <f t="shared" si="7"/>
        <v>0</v>
      </c>
      <c r="Y23" s="144">
        <f t="shared" si="8"/>
        <v>168.3381376518219</v>
      </c>
      <c r="Z23" s="145">
        <f t="shared" si="9"/>
        <v>0</v>
      </c>
      <c r="AA23" s="144">
        <f t="shared" si="10"/>
        <v>0</v>
      </c>
      <c r="AB23" s="145">
        <f t="shared" si="11"/>
        <v>0</v>
      </c>
      <c r="AC23" s="143">
        <v>2.5</v>
      </c>
      <c r="AD23" s="144">
        <f t="shared" si="12"/>
        <v>4629.298785425102</v>
      </c>
      <c r="AE23" s="144">
        <f t="shared" si="13"/>
        <v>0</v>
      </c>
      <c r="AF23" s="36">
        <f t="shared" si="14"/>
        <v>685.8220422852002</v>
      </c>
      <c r="AG23" s="74">
        <f t="shared" si="15"/>
        <v>0</v>
      </c>
      <c r="AH23" s="36">
        <f t="shared" si="16"/>
        <v>5315.120827710302</v>
      </c>
      <c r="AI23" s="36">
        <f t="shared" si="17"/>
        <v>0</v>
      </c>
      <c r="AJ23" s="36">
        <f t="shared" si="18"/>
        <v>1631.7420941070627</v>
      </c>
      <c r="AK23" s="74">
        <f t="shared" si="19"/>
        <v>0</v>
      </c>
      <c r="AL23" s="36">
        <f t="shared" si="20"/>
        <v>6946.862921817365</v>
      </c>
      <c r="AM23" s="74">
        <f t="shared" si="21"/>
        <v>0</v>
      </c>
      <c r="AN23" s="176">
        <v>2</v>
      </c>
      <c r="AO23" s="34">
        <f t="shared" si="25"/>
        <v>0.84</v>
      </c>
      <c r="AP23" s="79">
        <f>(G23*AN23)*AO23/100</f>
        <v>0.84</v>
      </c>
      <c r="AQ23" s="127" t="s">
        <v>186</v>
      </c>
      <c r="AR23" s="81">
        <f>'Исх.данные'!$G$85</f>
        <v>9559.371428571429</v>
      </c>
      <c r="AS23" s="37">
        <f>AP23*AR23</f>
        <v>8029.871999999999</v>
      </c>
      <c r="AT23" s="33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>
        <f>аморт!$H$10</f>
        <v>69.6969696969697</v>
      </c>
      <c r="BN23" s="37">
        <f>BM23*L23*$O$11</f>
        <v>927.882059461007</v>
      </c>
      <c r="BO23" s="88">
        <f>аморт!$H$25</f>
        <v>12.519247457627118</v>
      </c>
      <c r="BP23" s="37">
        <f>BO23*L23*$O$11</f>
        <v>166.66987337313296</v>
      </c>
      <c r="BQ23" s="39">
        <f>'Исх.данные'!$E$89</f>
        <v>98.91196513535999</v>
      </c>
      <c r="BR23" s="37">
        <f>BQ23*CB23</f>
        <v>840.7517036505599</v>
      </c>
      <c r="BS23" s="39">
        <f>'Исх.данные'!$E$94</f>
        <v>16.685392176959997</v>
      </c>
      <c r="BT23" s="37">
        <f>BS23*CB23</f>
        <v>141.82583350416</v>
      </c>
      <c r="BU23" s="153">
        <f>'Исх.данные'!$E$99</f>
        <v>5.761862046719998</v>
      </c>
      <c r="BV23" s="37">
        <f>BU23*CB23</f>
        <v>48.975827397119986</v>
      </c>
      <c r="BW23" s="37">
        <f>аморт!$D$25*10%/аморт!$G$25*L23*O11</f>
        <v>166.66987337313296</v>
      </c>
      <c r="BX23" s="37">
        <f t="shared" si="22"/>
        <v>17269.51009257648</v>
      </c>
      <c r="BY23" s="39">
        <f t="shared" si="23"/>
        <v>17.26951009257648</v>
      </c>
      <c r="BZ23" s="117">
        <f t="shared" si="24"/>
        <v>0.013313090418353577</v>
      </c>
      <c r="CA23" s="39">
        <f>'Исх.данные'!$B$109</f>
        <v>5.1</v>
      </c>
      <c r="CB23" s="40">
        <f>CA23*L23</f>
        <v>8.5</v>
      </c>
    </row>
    <row r="24" spans="1:80" ht="22.5">
      <c r="A24" s="20">
        <f t="shared" si="1"/>
        <v>9</v>
      </c>
      <c r="B24" s="28" t="s">
        <v>64</v>
      </c>
      <c r="C24" s="30"/>
      <c r="D24" s="418" t="s">
        <v>143</v>
      </c>
      <c r="E24" s="419"/>
      <c r="F24" s="29" t="s">
        <v>148</v>
      </c>
      <c r="G24" s="177">
        <f>D6</f>
        <v>1000</v>
      </c>
      <c r="H24" s="30" t="s">
        <v>516</v>
      </c>
      <c r="I24" s="30" t="s">
        <v>516</v>
      </c>
      <c r="J24" s="81">
        <v>3.33</v>
      </c>
      <c r="K24" s="33">
        <v>300</v>
      </c>
      <c r="L24" s="34">
        <f t="shared" si="2"/>
        <v>3.3333333333333335</v>
      </c>
      <c r="M24" s="35"/>
      <c r="N24" s="35">
        <f>L24/J24</f>
        <v>1.001001001001001</v>
      </c>
      <c r="O24" s="36">
        <f t="shared" si="4"/>
        <v>0</v>
      </c>
      <c r="P24" s="36">
        <f t="shared" si="5"/>
        <v>26.626180836707153</v>
      </c>
      <c r="Q24" s="35"/>
      <c r="R24" s="81"/>
      <c r="S24" s="35">
        <v>3</v>
      </c>
      <c r="T24" s="81">
        <f>IF(AND(N24&gt;0,P24&gt;0),SUMIF('Исх.данные'!$C$14:$J$15,S24,'Исх.данные'!$C$34:J45),IF(N24=0,0,IF(S24=0,"РОТ")))</f>
        <v>113.60344652812975</v>
      </c>
      <c r="U24" s="144">
        <f>O24*R24*'Исх.данные'!$C$43%</f>
        <v>0</v>
      </c>
      <c r="V24" s="144">
        <f>P24*T24*'Исх.данные'!$C$44%</f>
        <v>0</v>
      </c>
      <c r="W24" s="144">
        <f t="shared" si="6"/>
        <v>0</v>
      </c>
      <c r="X24" s="145">
        <f t="shared" si="7"/>
        <v>0</v>
      </c>
      <c r="Y24" s="144">
        <f t="shared" si="8"/>
        <v>0</v>
      </c>
      <c r="Z24" s="145">
        <f t="shared" si="9"/>
        <v>151.24129554655872</v>
      </c>
      <c r="AA24" s="144">
        <f t="shared" si="10"/>
        <v>0</v>
      </c>
      <c r="AB24" s="145">
        <f t="shared" si="11"/>
        <v>0</v>
      </c>
      <c r="AC24" s="143">
        <v>2.5</v>
      </c>
      <c r="AD24" s="144">
        <f t="shared" si="12"/>
        <v>0</v>
      </c>
      <c r="AE24" s="144">
        <f t="shared" si="13"/>
        <v>7940.168016194333</v>
      </c>
      <c r="AF24" s="36">
        <f t="shared" si="14"/>
        <v>0</v>
      </c>
      <c r="AG24" s="74">
        <f t="shared" si="15"/>
        <v>1176.3211875843454</v>
      </c>
      <c r="AH24" s="36">
        <f t="shared" si="16"/>
        <v>0</v>
      </c>
      <c r="AI24" s="36">
        <f t="shared" si="17"/>
        <v>9116.489203778678</v>
      </c>
      <c r="AJ24" s="36">
        <f t="shared" si="18"/>
        <v>0</v>
      </c>
      <c r="AK24" s="74">
        <f t="shared" si="19"/>
        <v>2798.762185560054</v>
      </c>
      <c r="AL24" s="36">
        <f t="shared" si="20"/>
        <v>0</v>
      </c>
      <c r="AM24" s="74">
        <f t="shared" si="21"/>
        <v>11915.251389338731</v>
      </c>
      <c r="AN24" s="176"/>
      <c r="AO24" s="34">
        <f t="shared" si="25"/>
        <v>0.84</v>
      </c>
      <c r="AP24" s="79"/>
      <c r="AQ24" s="127"/>
      <c r="AR24" s="81"/>
      <c r="AS24" s="37"/>
      <c r="AT24" s="33"/>
      <c r="AU24" s="37"/>
      <c r="AV24" s="37"/>
      <c r="AW24" s="37"/>
      <c r="AX24" s="37">
        <f>Нормы!B19</f>
        <v>50</v>
      </c>
      <c r="AY24" s="37">
        <f>AX24*G24/1000</f>
        <v>50</v>
      </c>
      <c r="AZ24" s="117">
        <f>Нормы!D19</f>
        <v>1.4164704000000001</v>
      </c>
      <c r="BA24" s="37">
        <f>AY24*AZ24*1000</f>
        <v>70823.52</v>
      </c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>
        <f t="shared" si="26"/>
        <v>0</v>
      </c>
      <c r="BO24" s="37"/>
      <c r="BP24" s="37">
        <f t="shared" si="27"/>
        <v>0</v>
      </c>
      <c r="BQ24" s="39"/>
      <c r="BR24" s="37"/>
      <c r="BS24" s="39"/>
      <c r="BT24" s="37"/>
      <c r="BU24" s="39"/>
      <c r="BV24" s="37"/>
      <c r="BW24" s="37"/>
      <c r="BX24" s="37">
        <f t="shared" si="22"/>
        <v>82738.77138933874</v>
      </c>
      <c r="BY24" s="39">
        <f t="shared" si="23"/>
        <v>82.73877138933874</v>
      </c>
      <c r="BZ24" s="117">
        <f t="shared" si="24"/>
        <v>0.026626180836707154</v>
      </c>
      <c r="CA24" s="39"/>
      <c r="CB24" s="40"/>
    </row>
    <row r="25" spans="1:80" ht="11.25">
      <c r="A25" s="20">
        <f t="shared" si="1"/>
        <v>10</v>
      </c>
      <c r="B25" s="28" t="s">
        <v>65</v>
      </c>
      <c r="C25" s="30"/>
      <c r="D25" s="418" t="s">
        <v>143</v>
      </c>
      <c r="E25" s="419"/>
      <c r="F25" s="29" t="s">
        <v>148</v>
      </c>
      <c r="G25" s="177">
        <f>D6</f>
        <v>1000</v>
      </c>
      <c r="H25" s="30" t="s">
        <v>516</v>
      </c>
      <c r="I25" s="30" t="s">
        <v>516</v>
      </c>
      <c r="J25" s="81">
        <v>1.43</v>
      </c>
      <c r="K25" s="33">
        <v>700</v>
      </c>
      <c r="L25" s="34">
        <f t="shared" si="2"/>
        <v>1.4285714285714286</v>
      </c>
      <c r="M25" s="35"/>
      <c r="N25" s="35">
        <f>L25/J25</f>
        <v>0.999000999000999</v>
      </c>
      <c r="O25" s="36">
        <f t="shared" si="4"/>
        <v>0</v>
      </c>
      <c r="P25" s="36">
        <f t="shared" si="5"/>
        <v>11.41122035858878</v>
      </c>
      <c r="Q25" s="35"/>
      <c r="R25" s="34"/>
      <c r="S25" s="35">
        <v>2</v>
      </c>
      <c r="T25" s="81">
        <f>IF(AND(N25&gt;0,P25&gt;0),SUMIF('Исх.данные'!$C$14:$J$15,S25,'Исх.данные'!$C$34:J46),IF(N25=0,0,IF(S25=0,"РОТ")))</f>
        <v>105.700598073999</v>
      </c>
      <c r="U25" s="144">
        <f>O25*R25*'Исх.данные'!$C$43%</f>
        <v>0</v>
      </c>
      <c r="V25" s="144">
        <f>P25*T25*'Исх.данные'!$C$44%</f>
        <v>0</v>
      </c>
      <c r="W25" s="144">
        <f t="shared" si="6"/>
        <v>0</v>
      </c>
      <c r="X25" s="145">
        <f t="shared" si="7"/>
        <v>0</v>
      </c>
      <c r="Y25" s="144">
        <f t="shared" si="8"/>
        <v>0</v>
      </c>
      <c r="Z25" s="145">
        <f t="shared" si="9"/>
        <v>60.308640832851374</v>
      </c>
      <c r="AA25" s="144">
        <f t="shared" si="10"/>
        <v>0</v>
      </c>
      <c r="AB25" s="145">
        <f t="shared" si="11"/>
        <v>0</v>
      </c>
      <c r="AC25" s="143">
        <v>2.5</v>
      </c>
      <c r="AD25" s="144">
        <f t="shared" si="12"/>
        <v>0</v>
      </c>
      <c r="AE25" s="144">
        <f t="shared" si="13"/>
        <v>3166.203643724697</v>
      </c>
      <c r="AF25" s="36">
        <f t="shared" si="14"/>
        <v>0</v>
      </c>
      <c r="AG25" s="74">
        <f t="shared" si="15"/>
        <v>469.0672064777328</v>
      </c>
      <c r="AH25" s="36">
        <f t="shared" si="16"/>
        <v>0</v>
      </c>
      <c r="AI25" s="36">
        <f t="shared" si="17"/>
        <v>3635.2708502024298</v>
      </c>
      <c r="AJ25" s="36">
        <f t="shared" si="18"/>
        <v>0</v>
      </c>
      <c r="AK25" s="74">
        <f t="shared" si="19"/>
        <v>1116.0281510121458</v>
      </c>
      <c r="AL25" s="36">
        <f t="shared" si="20"/>
        <v>0</v>
      </c>
      <c r="AM25" s="74">
        <f t="shared" si="21"/>
        <v>4751.299001214576</v>
      </c>
      <c r="AN25" s="33"/>
      <c r="AO25" s="34">
        <f t="shared" si="25"/>
        <v>0.84</v>
      </c>
      <c r="AP25" s="37"/>
      <c r="AQ25" s="38"/>
      <c r="AR25" s="38"/>
      <c r="AS25" s="37"/>
      <c r="AT25" s="33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>
        <f t="shared" si="26"/>
        <v>0</v>
      </c>
      <c r="BO25" s="37"/>
      <c r="BP25" s="37">
        <f t="shared" si="27"/>
        <v>0</v>
      </c>
      <c r="BQ25" s="37"/>
      <c r="BR25" s="37"/>
      <c r="BS25" s="37"/>
      <c r="BT25" s="37"/>
      <c r="BU25" s="37"/>
      <c r="BV25" s="37"/>
      <c r="BW25" s="37"/>
      <c r="BX25" s="37">
        <f t="shared" si="22"/>
        <v>4751.299001214576</v>
      </c>
      <c r="BY25" s="39">
        <f t="shared" si="23"/>
        <v>4.7512990012145755</v>
      </c>
      <c r="BZ25" s="117">
        <f t="shared" si="24"/>
        <v>0.01141122035858878</v>
      </c>
      <c r="CA25" s="39"/>
      <c r="CB25" s="40"/>
    </row>
    <row r="26" spans="1:80" s="65" customFormat="1" ht="11.25">
      <c r="A26" s="62"/>
      <c r="B26" s="55" t="s">
        <v>22</v>
      </c>
      <c r="C26" s="64"/>
      <c r="D26" s="67"/>
      <c r="E26" s="61"/>
      <c r="F26" s="63"/>
      <c r="G26" s="64"/>
      <c r="H26" s="64"/>
      <c r="I26" s="64"/>
      <c r="J26" s="59">
        <f>SUM(J16:J25)</f>
        <v>22.310000000000002</v>
      </c>
      <c r="K26" s="59"/>
      <c r="L26" s="59">
        <f aca="true" t="shared" si="28" ref="L26:BT26">SUM(L16:L25)</f>
        <v>25.105905858847034</v>
      </c>
      <c r="M26" s="59">
        <f t="shared" si="28"/>
        <v>3.501281994279193</v>
      </c>
      <c r="N26" s="59">
        <f t="shared" si="28"/>
        <v>8.211861461252246</v>
      </c>
      <c r="O26" s="59">
        <f t="shared" si="28"/>
        <v>33.76826228467095</v>
      </c>
      <c r="P26" s="59">
        <f t="shared" si="28"/>
        <v>185.8979173799131</v>
      </c>
      <c r="Q26" s="59"/>
      <c r="R26" s="59"/>
      <c r="S26" s="59"/>
      <c r="T26" s="59"/>
      <c r="U26" s="59">
        <f t="shared" si="28"/>
        <v>0</v>
      </c>
      <c r="V26" s="59">
        <f t="shared" si="28"/>
        <v>0</v>
      </c>
      <c r="W26" s="59">
        <f t="shared" si="28"/>
        <v>0</v>
      </c>
      <c r="X26" s="59">
        <f t="shared" si="28"/>
        <v>0</v>
      </c>
      <c r="Y26" s="59">
        <f t="shared" si="28"/>
        <v>470.2528969754705</v>
      </c>
      <c r="Z26" s="59">
        <f t="shared" si="28"/>
        <v>1020.2357939019305</v>
      </c>
      <c r="AA26" s="59">
        <f t="shared" si="28"/>
        <v>0</v>
      </c>
      <c r="AB26" s="59">
        <f t="shared" si="28"/>
        <v>0</v>
      </c>
      <c r="AC26" s="59"/>
      <c r="AD26" s="59">
        <f t="shared" si="28"/>
        <v>12931.954666825437</v>
      </c>
      <c r="AE26" s="59">
        <f t="shared" si="28"/>
        <v>53562.379179851356</v>
      </c>
      <c r="AF26" s="59">
        <f t="shared" si="28"/>
        <v>1915.84513582599</v>
      </c>
      <c r="AG26" s="59">
        <f t="shared" si="28"/>
        <v>7935.167285903902</v>
      </c>
      <c r="AH26" s="59">
        <f t="shared" si="28"/>
        <v>14847.799802651425</v>
      </c>
      <c r="AI26" s="59">
        <f t="shared" si="28"/>
        <v>61497.54646575525</v>
      </c>
      <c r="AJ26" s="59">
        <f t="shared" si="28"/>
        <v>4558.274539413987</v>
      </c>
      <c r="AK26" s="59">
        <f t="shared" si="28"/>
        <v>18879.746764986863</v>
      </c>
      <c r="AL26" s="59">
        <f t="shared" si="28"/>
        <v>19406.074342065414</v>
      </c>
      <c r="AM26" s="59">
        <f t="shared" si="28"/>
        <v>80377.29323074211</v>
      </c>
      <c r="AN26" s="42"/>
      <c r="AO26" s="59"/>
      <c r="AP26" s="59">
        <f t="shared" si="28"/>
        <v>1.7304</v>
      </c>
      <c r="AQ26" s="59"/>
      <c r="AR26" s="59"/>
      <c r="AS26" s="59">
        <f t="shared" si="28"/>
        <v>16508.506176000003</v>
      </c>
      <c r="AT26" s="59"/>
      <c r="AU26" s="59">
        <f t="shared" si="28"/>
        <v>0</v>
      </c>
      <c r="AV26" s="59"/>
      <c r="AW26" s="59">
        <f t="shared" si="28"/>
        <v>0</v>
      </c>
      <c r="AX26" s="59"/>
      <c r="AY26" s="59">
        <f t="shared" si="28"/>
        <v>50</v>
      </c>
      <c r="AZ26" s="59"/>
      <c r="BA26" s="59">
        <f t="shared" si="28"/>
        <v>70823.52</v>
      </c>
      <c r="BB26" s="42"/>
      <c r="BC26" s="59">
        <f t="shared" si="28"/>
        <v>0</v>
      </c>
      <c r="BD26" s="59"/>
      <c r="BE26" s="59">
        <f t="shared" si="28"/>
        <v>0</v>
      </c>
      <c r="BF26" s="59"/>
      <c r="BG26" s="59">
        <f t="shared" si="28"/>
        <v>0</v>
      </c>
      <c r="BH26" s="59"/>
      <c r="BI26" s="59">
        <f t="shared" si="28"/>
        <v>0</v>
      </c>
      <c r="BJ26" s="59"/>
      <c r="BK26" s="59"/>
      <c r="BL26" s="59"/>
      <c r="BM26" s="59"/>
      <c r="BN26" s="59">
        <f t="shared" si="28"/>
        <v>2316.6649743265534</v>
      </c>
      <c r="BO26" s="59"/>
      <c r="BP26" s="59">
        <f t="shared" si="28"/>
        <v>612.2723397568959</v>
      </c>
      <c r="BQ26" s="59"/>
      <c r="BR26" s="59">
        <f t="shared" si="28"/>
        <v>2524.6406818907453</v>
      </c>
      <c r="BS26" s="59"/>
      <c r="BT26" s="59">
        <f t="shared" si="28"/>
        <v>386.4506883140175</v>
      </c>
      <c r="BU26" s="59"/>
      <c r="BV26" s="59">
        <f aca="true" t="shared" si="29" ref="BV26:CB26">SUM(BV16:BV25)</f>
        <v>161.50579342817917</v>
      </c>
      <c r="BW26" s="59">
        <f t="shared" si="29"/>
        <v>410.25303939059563</v>
      </c>
      <c r="BX26" s="59">
        <f t="shared" si="29"/>
        <v>193527.18126591452</v>
      </c>
      <c r="BY26" s="59"/>
      <c r="BZ26" s="59"/>
      <c r="CA26" s="59"/>
      <c r="CB26" s="59">
        <f t="shared" si="29"/>
        <v>25.351666666666667</v>
      </c>
    </row>
    <row r="27" spans="1:80" s="7" customFormat="1" ht="11.25">
      <c r="A27" s="21"/>
      <c r="B27" s="399" t="s">
        <v>75</v>
      </c>
      <c r="C27" s="399"/>
      <c r="D27" s="399"/>
      <c r="E27" s="399"/>
      <c r="F27" s="23"/>
      <c r="G27" s="24"/>
      <c r="H27" s="24"/>
      <c r="I27" s="24"/>
      <c r="J27" s="24"/>
      <c r="K27" s="24"/>
      <c r="L27" s="41"/>
      <c r="M27" s="24"/>
      <c r="N27" s="24"/>
      <c r="O27" s="42"/>
      <c r="P27" s="42"/>
      <c r="Q27" s="26"/>
      <c r="R27" s="24"/>
      <c r="S27" s="26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2"/>
      <c r="AI27" s="42"/>
      <c r="AJ27" s="42"/>
      <c r="AK27" s="42"/>
      <c r="AL27" s="42"/>
      <c r="AM27" s="42"/>
      <c r="AN27" s="24"/>
      <c r="AO27" s="24"/>
      <c r="AP27" s="44"/>
      <c r="AQ27" s="27"/>
      <c r="AR27" s="27"/>
      <c r="AS27" s="44"/>
      <c r="AT27" s="2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37">
        <f t="shared" si="26"/>
        <v>0</v>
      </c>
      <c r="BO27" s="44"/>
      <c r="BP27" s="37">
        <f t="shared" si="27"/>
        <v>0</v>
      </c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s="7" customFormat="1" ht="11.25">
      <c r="A28" s="19">
        <v>1</v>
      </c>
      <c r="B28" s="28" t="s">
        <v>67</v>
      </c>
      <c r="C28" s="30"/>
      <c r="D28" s="32" t="s">
        <v>165</v>
      </c>
      <c r="E28" s="24"/>
      <c r="F28" s="29" t="s">
        <v>148</v>
      </c>
      <c r="G28" s="177">
        <f>D6</f>
        <v>1000</v>
      </c>
      <c r="H28" s="31" t="s">
        <v>517</v>
      </c>
      <c r="I28" s="31" t="s">
        <v>517</v>
      </c>
      <c r="J28" s="81">
        <v>2.3</v>
      </c>
      <c r="K28" s="33">
        <v>220</v>
      </c>
      <c r="L28" s="34">
        <f aca="true" t="shared" si="30" ref="L28:L37">G28/K28</f>
        <v>4.545454545454546</v>
      </c>
      <c r="M28" s="24"/>
      <c r="N28" s="35">
        <f aca="true" t="shared" si="31" ref="N28:N37">L28/J28</f>
        <v>1.9762845849802375</v>
      </c>
      <c r="O28" s="36">
        <f aca="true" t="shared" si="32" ref="O28:O37">IF(M28=0,0,L28*$O$11)</f>
        <v>0</v>
      </c>
      <c r="P28" s="36">
        <f aca="true" t="shared" si="33" ref="P28:P37">IF(N28=0,0,L28*$O$11)</f>
        <v>36.30842841369157</v>
      </c>
      <c r="Q28" s="26"/>
      <c r="R28" s="24"/>
      <c r="S28" s="26">
        <v>3</v>
      </c>
      <c r="T28" s="81">
        <f>IF(AND(N28&gt;0,P28&gt;0),SUMIF('Исх.данные'!$C$14:$J$15,S28,'Исх.данные'!$C$34:J49),IF(N28=0,0,IF(S28=0,"РОТ")))</f>
        <v>113.60344652812975</v>
      </c>
      <c r="U28" s="144">
        <f>O28*R28*'Исх.данные'!$C$43%</f>
        <v>0</v>
      </c>
      <c r="V28" s="144">
        <f>P28*T28*'Исх.данные'!$C$44%</f>
        <v>0</v>
      </c>
      <c r="W28" s="144">
        <f aca="true" t="shared" si="34" ref="W28:W37">O28*R28*$W$11</f>
        <v>0</v>
      </c>
      <c r="X28" s="145">
        <f aca="true" t="shared" si="35" ref="X28:X37">P28*T28*$W$11</f>
        <v>0</v>
      </c>
      <c r="Y28" s="144">
        <f aca="true" t="shared" si="36" ref="Y28:Y37">(O28*R28+U28+W28)*$Y$11</f>
        <v>0</v>
      </c>
      <c r="Z28" s="145">
        <f aca="true" t="shared" si="37" ref="Z28:Z37">(P28*T28+V28+X28)*$Z$11</f>
        <v>206.2381302907619</v>
      </c>
      <c r="AA28" s="144">
        <f aca="true" t="shared" si="38" ref="AA28:AA37">(O28*R28+U28)*$AA$11</f>
        <v>0</v>
      </c>
      <c r="AB28" s="145">
        <f aca="true" t="shared" si="39" ref="AB28:AB37">(P28*T28+V28)*$AA$11</f>
        <v>0</v>
      </c>
      <c r="AC28" s="143">
        <v>2.5</v>
      </c>
      <c r="AD28" s="144">
        <f aca="true" t="shared" si="40" ref="AD28:AD37">(O28*R28+U28+W28+Y28+AA28)*AC28</f>
        <v>0</v>
      </c>
      <c r="AE28" s="144">
        <f aca="true" t="shared" si="41" ref="AE28:AE37">(P28*T28+V28+X28+Z28+AB28)*AC28</f>
        <v>10827.501840264997</v>
      </c>
      <c r="AF28" s="36">
        <f aca="true" t="shared" si="42" ref="AF28:AF37">AD28*$AF$11</f>
        <v>0</v>
      </c>
      <c r="AG28" s="74">
        <f aca="true" t="shared" si="43" ref="AG28:AG37">AE28*$AF$11</f>
        <v>1604.074346705925</v>
      </c>
      <c r="AH28" s="36">
        <f aca="true" t="shared" si="44" ref="AH28:AH37">AD28+AF28</f>
        <v>0</v>
      </c>
      <c r="AI28" s="36">
        <f aca="true" t="shared" si="45" ref="AI28:AI37">AE28+AG28</f>
        <v>12431.576186970922</v>
      </c>
      <c r="AJ28" s="36">
        <f aca="true" t="shared" si="46" ref="AJ28:AJ37">AH28*$AJ$11</f>
        <v>0</v>
      </c>
      <c r="AK28" s="74">
        <f aca="true" t="shared" si="47" ref="AK28:AK37">AI28*$AJ$11</f>
        <v>3816.493889400073</v>
      </c>
      <c r="AL28" s="36">
        <f aca="true" t="shared" si="48" ref="AL28:AL37">AH28+AJ28</f>
        <v>0</v>
      </c>
      <c r="AM28" s="74">
        <f aca="true" t="shared" si="49" ref="AM28:AM37">AK28+AI28</f>
        <v>16248.070076370996</v>
      </c>
      <c r="AN28" s="24"/>
      <c r="AO28" s="24"/>
      <c r="AP28" s="44"/>
      <c r="AQ28" s="27"/>
      <c r="AR28" s="27"/>
      <c r="AS28" s="44"/>
      <c r="AT28" s="24"/>
      <c r="AU28" s="44"/>
      <c r="AV28" s="44"/>
      <c r="AW28" s="44"/>
      <c r="AX28" s="44"/>
      <c r="AY28" s="44"/>
      <c r="AZ28" s="44"/>
      <c r="BA28" s="44"/>
      <c r="BB28" s="39">
        <f>Нормы!B20</f>
        <v>0.0001</v>
      </c>
      <c r="BC28" s="79">
        <f>BB28*G28</f>
        <v>0.1</v>
      </c>
      <c r="BD28" s="37">
        <f>Нормы!D20</f>
        <v>297</v>
      </c>
      <c r="BE28" s="37">
        <f>BC28*BD28</f>
        <v>29.700000000000003</v>
      </c>
      <c r="BF28" s="44"/>
      <c r="BG28" s="44"/>
      <c r="BH28" s="44"/>
      <c r="BI28" s="44"/>
      <c r="BJ28" s="44"/>
      <c r="BK28" s="44"/>
      <c r="BL28" s="44"/>
      <c r="BM28" s="37">
        <f>аморт!H67</f>
        <v>138.30504000000002</v>
      </c>
      <c r="BN28" s="37">
        <f>BM28*L28*$O$11</f>
        <v>5021.638644092751</v>
      </c>
      <c r="BO28" s="37"/>
      <c r="BP28" s="37">
        <f t="shared" si="27"/>
        <v>0</v>
      </c>
      <c r="BQ28" s="44"/>
      <c r="BR28" s="44"/>
      <c r="BS28" s="44"/>
      <c r="BT28" s="44"/>
      <c r="BU28" s="44"/>
      <c r="BV28" s="44"/>
      <c r="BW28" s="37">
        <f>аморт!$D$67*10%/аморт!$G$67*L28*O11</f>
        <v>5021.638644092751</v>
      </c>
      <c r="BX28" s="37">
        <f aca="true" t="shared" si="50" ref="BX28:BX37">AL28+AM28+AS28+AW28+BA28+BE28+BI28+BL28+BN28+BP28+BR28+BT28+BV28+BW28</f>
        <v>26321.0473645565</v>
      </c>
      <c r="BY28" s="39">
        <f aca="true" t="shared" si="51" ref="BY28:BY37">BX28/$D$6</f>
        <v>26.3210473645565</v>
      </c>
      <c r="BZ28" s="117">
        <f aca="true" t="shared" si="52" ref="BZ28:BZ37">(O28+P28)/$D$6</f>
        <v>0.03630842841369157</v>
      </c>
      <c r="CA28" s="44"/>
      <c r="CB28" s="44"/>
    </row>
    <row r="29" spans="1:80" s="7" customFormat="1" ht="11.25">
      <c r="A29" s="19">
        <v>2</v>
      </c>
      <c r="B29" s="28" t="s">
        <v>68</v>
      </c>
      <c r="C29" s="30"/>
      <c r="D29" s="418" t="s">
        <v>143</v>
      </c>
      <c r="E29" s="419"/>
      <c r="F29" s="29" t="s">
        <v>148</v>
      </c>
      <c r="G29" s="177">
        <f>D6*Нормы!B21</f>
        <v>1300</v>
      </c>
      <c r="H29" s="31" t="s">
        <v>517</v>
      </c>
      <c r="I29" s="31" t="s">
        <v>517</v>
      </c>
      <c r="J29" s="81">
        <v>3.3</v>
      </c>
      <c r="K29" s="33">
        <v>400</v>
      </c>
      <c r="L29" s="34">
        <f t="shared" si="30"/>
        <v>3.25</v>
      </c>
      <c r="M29" s="24"/>
      <c r="N29" s="35">
        <f t="shared" si="31"/>
        <v>0.9848484848484849</v>
      </c>
      <c r="O29" s="36">
        <f t="shared" si="32"/>
        <v>0</v>
      </c>
      <c r="P29" s="36">
        <f t="shared" si="33"/>
        <v>25.960526315789473</v>
      </c>
      <c r="Q29" s="26"/>
      <c r="R29" s="24"/>
      <c r="S29" s="26">
        <v>1</v>
      </c>
      <c r="T29" s="81">
        <f>IF(AND(N29&gt;0,P29&gt;0),SUMIF('Исх.данные'!$C$14:$J$15,S29,'Исх.данные'!$C$34:J49),IF(N29=0,0,IF(S29=0,"РОТ")))</f>
        <v>98.78560567663457</v>
      </c>
      <c r="U29" s="144">
        <f>O29*R29*'Исх.данные'!$C$43%</f>
        <v>0</v>
      </c>
      <c r="V29" s="144">
        <f>P29*T29*'Исх.данные'!$C$44%</f>
        <v>0</v>
      </c>
      <c r="W29" s="144">
        <f t="shared" si="34"/>
        <v>0</v>
      </c>
      <c r="X29" s="145">
        <f t="shared" si="35"/>
        <v>0</v>
      </c>
      <c r="Y29" s="144">
        <f t="shared" si="36"/>
        <v>0</v>
      </c>
      <c r="Z29" s="145">
        <f t="shared" si="37"/>
        <v>128.2263157894737</v>
      </c>
      <c r="AA29" s="144">
        <f t="shared" si="38"/>
        <v>0</v>
      </c>
      <c r="AB29" s="145">
        <f t="shared" si="39"/>
        <v>0</v>
      </c>
      <c r="AC29" s="143">
        <v>2.5</v>
      </c>
      <c r="AD29" s="144">
        <f t="shared" si="40"/>
        <v>0</v>
      </c>
      <c r="AE29" s="144">
        <f t="shared" si="41"/>
        <v>6731.881578947368</v>
      </c>
      <c r="AF29" s="36">
        <f t="shared" si="42"/>
        <v>0</v>
      </c>
      <c r="AG29" s="74">
        <f t="shared" si="43"/>
        <v>997.3157894736839</v>
      </c>
      <c r="AH29" s="36">
        <f t="shared" si="44"/>
        <v>0</v>
      </c>
      <c r="AI29" s="36">
        <f t="shared" si="45"/>
        <v>7729.1973684210525</v>
      </c>
      <c r="AJ29" s="36">
        <f t="shared" si="46"/>
        <v>0</v>
      </c>
      <c r="AK29" s="74">
        <f t="shared" si="47"/>
        <v>2372.8635921052633</v>
      </c>
      <c r="AL29" s="36">
        <f t="shared" si="48"/>
        <v>0</v>
      </c>
      <c r="AM29" s="74">
        <f t="shared" si="49"/>
        <v>10102.060960526316</v>
      </c>
      <c r="AN29" s="24"/>
      <c r="AO29" s="24"/>
      <c r="AP29" s="44"/>
      <c r="AQ29" s="27"/>
      <c r="AR29" s="27"/>
      <c r="AS29" s="44"/>
      <c r="AT29" s="2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37">
        <f t="shared" si="26"/>
        <v>0</v>
      </c>
      <c r="BO29" s="37"/>
      <c r="BP29" s="37">
        <f t="shared" si="27"/>
        <v>0</v>
      </c>
      <c r="BQ29" s="44"/>
      <c r="BR29" s="44"/>
      <c r="BS29" s="44"/>
      <c r="BT29" s="44"/>
      <c r="BU29" s="44"/>
      <c r="BV29" s="44"/>
      <c r="BW29" s="44"/>
      <c r="BX29" s="37">
        <f t="shared" si="50"/>
        <v>10102.060960526316</v>
      </c>
      <c r="BY29" s="39">
        <f t="shared" si="51"/>
        <v>10.102060960526316</v>
      </c>
      <c r="BZ29" s="117">
        <f t="shared" si="52"/>
        <v>0.025960526315789472</v>
      </c>
      <c r="CA29" s="44"/>
      <c r="CB29" s="44"/>
    </row>
    <row r="30" spans="1:80" s="7" customFormat="1" ht="22.5">
      <c r="A30" s="19">
        <f>A29+1</f>
        <v>3</v>
      </c>
      <c r="B30" s="28" t="s">
        <v>196</v>
      </c>
      <c r="C30" s="30"/>
      <c r="D30" s="418" t="s">
        <v>143</v>
      </c>
      <c r="E30" s="419"/>
      <c r="F30" s="29" t="s">
        <v>167</v>
      </c>
      <c r="G30" s="177">
        <v>120</v>
      </c>
      <c r="H30" s="31" t="s">
        <v>517</v>
      </c>
      <c r="I30" s="31" t="s">
        <v>517</v>
      </c>
      <c r="J30" s="81">
        <v>4</v>
      </c>
      <c r="K30" s="33">
        <v>30</v>
      </c>
      <c r="L30" s="34">
        <f t="shared" si="30"/>
        <v>4</v>
      </c>
      <c r="M30" s="24"/>
      <c r="N30" s="35">
        <f t="shared" si="31"/>
        <v>1</v>
      </c>
      <c r="O30" s="36">
        <f t="shared" si="32"/>
        <v>0</v>
      </c>
      <c r="P30" s="36">
        <f t="shared" si="33"/>
        <v>31.951417004048583</v>
      </c>
      <c r="Q30" s="26"/>
      <c r="R30" s="24"/>
      <c r="S30" s="26">
        <v>3</v>
      </c>
      <c r="T30" s="81">
        <f>IF(AND(N30&gt;0,P30&gt;0),SUMIF('Исх.данные'!$C$14:$J$15,S30,'Исх.данные'!$C$34:J50),IF(N30=0,0,IF(S30=0,"РОТ")))</f>
        <v>113.60344652812975</v>
      </c>
      <c r="U30" s="144">
        <f>O30*R30*'Исх.данные'!$C$43%</f>
        <v>0</v>
      </c>
      <c r="V30" s="144">
        <f>P30*T30*'Исх.данные'!$C$44%</f>
        <v>0</v>
      </c>
      <c r="W30" s="144">
        <f t="shared" si="34"/>
        <v>0</v>
      </c>
      <c r="X30" s="145">
        <f t="shared" si="35"/>
        <v>0</v>
      </c>
      <c r="Y30" s="144">
        <f t="shared" si="36"/>
        <v>0</v>
      </c>
      <c r="Z30" s="145">
        <f t="shared" si="37"/>
        <v>181.48955465587045</v>
      </c>
      <c r="AA30" s="144">
        <f t="shared" si="38"/>
        <v>0</v>
      </c>
      <c r="AB30" s="145">
        <f t="shared" si="39"/>
        <v>0</v>
      </c>
      <c r="AC30" s="143">
        <v>2.5</v>
      </c>
      <c r="AD30" s="144">
        <f t="shared" si="40"/>
        <v>0</v>
      </c>
      <c r="AE30" s="144">
        <f t="shared" si="41"/>
        <v>9528.201619433199</v>
      </c>
      <c r="AF30" s="36">
        <f t="shared" si="42"/>
        <v>0</v>
      </c>
      <c r="AG30" s="74">
        <f t="shared" si="43"/>
        <v>1411.5854251012142</v>
      </c>
      <c r="AH30" s="36">
        <f t="shared" si="44"/>
        <v>0</v>
      </c>
      <c r="AI30" s="36">
        <f t="shared" si="45"/>
        <v>10939.787044534412</v>
      </c>
      <c r="AJ30" s="36">
        <f t="shared" si="46"/>
        <v>0</v>
      </c>
      <c r="AK30" s="74">
        <f t="shared" si="47"/>
        <v>3358.5146226720644</v>
      </c>
      <c r="AL30" s="36">
        <f t="shared" si="48"/>
        <v>0</v>
      </c>
      <c r="AM30" s="74">
        <f t="shared" si="49"/>
        <v>14298.301667206477</v>
      </c>
      <c r="AN30" s="24"/>
      <c r="AO30" s="24"/>
      <c r="AP30" s="44"/>
      <c r="AQ30" s="27"/>
      <c r="AR30" s="27"/>
      <c r="AS30" s="44"/>
      <c r="AT30" s="2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37">
        <f t="shared" si="26"/>
        <v>0</v>
      </c>
      <c r="BO30" s="37"/>
      <c r="BP30" s="37">
        <f t="shared" si="27"/>
        <v>0</v>
      </c>
      <c r="BQ30" s="44"/>
      <c r="BR30" s="44"/>
      <c r="BS30" s="44"/>
      <c r="BT30" s="44"/>
      <c r="BU30" s="44"/>
      <c r="BV30" s="44"/>
      <c r="BW30" s="44"/>
      <c r="BX30" s="37">
        <f t="shared" si="50"/>
        <v>14298.301667206477</v>
      </c>
      <c r="BY30" s="39">
        <f t="shared" si="51"/>
        <v>14.298301667206477</v>
      </c>
      <c r="BZ30" s="117">
        <f t="shared" si="52"/>
        <v>0.031951417004048584</v>
      </c>
      <c r="CA30" s="44"/>
      <c r="CB30" s="44"/>
    </row>
    <row r="31" spans="1:80" s="7" customFormat="1" ht="11.25">
      <c r="A31" s="19">
        <f aca="true" t="shared" si="53" ref="A31:A37">A30+1</f>
        <v>4</v>
      </c>
      <c r="B31" s="28" t="s">
        <v>69</v>
      </c>
      <c r="C31" s="30"/>
      <c r="D31" s="418" t="s">
        <v>143</v>
      </c>
      <c r="E31" s="419"/>
      <c r="F31" s="29" t="s">
        <v>148</v>
      </c>
      <c r="G31" s="177">
        <f>D6</f>
        <v>1000</v>
      </c>
      <c r="H31" s="31" t="s">
        <v>517</v>
      </c>
      <c r="I31" s="31" t="s">
        <v>517</v>
      </c>
      <c r="J31" s="81">
        <v>33.3</v>
      </c>
      <c r="K31" s="33">
        <v>30</v>
      </c>
      <c r="L31" s="34">
        <f t="shared" si="30"/>
        <v>33.333333333333336</v>
      </c>
      <c r="M31" s="24"/>
      <c r="N31" s="35">
        <f t="shared" si="31"/>
        <v>1.001001001001001</v>
      </c>
      <c r="O31" s="36">
        <f t="shared" si="32"/>
        <v>0</v>
      </c>
      <c r="P31" s="36">
        <f t="shared" si="33"/>
        <v>266.2618083670715</v>
      </c>
      <c r="Q31" s="26"/>
      <c r="R31" s="24"/>
      <c r="S31" s="26">
        <v>2</v>
      </c>
      <c r="T31" s="81">
        <f>IF(AND(N31&gt;0,P31&gt;0),SUMIF('Исх.данные'!$C$14:$J$15,S31,'Исх.данные'!$C$34:J51),IF(N31=0,0,IF(S31=0,"РОТ")))</f>
        <v>105.700598073999</v>
      </c>
      <c r="U31" s="144">
        <f>O31*R31*'Исх.данные'!$C$43%</f>
        <v>0</v>
      </c>
      <c r="V31" s="144">
        <f>P31*T31*'Исх.данные'!$C$44%</f>
        <v>0</v>
      </c>
      <c r="W31" s="144">
        <f t="shared" si="34"/>
        <v>0</v>
      </c>
      <c r="X31" s="145">
        <f t="shared" si="35"/>
        <v>0</v>
      </c>
      <c r="Y31" s="144">
        <f t="shared" si="36"/>
        <v>0</v>
      </c>
      <c r="Z31" s="145">
        <f t="shared" si="37"/>
        <v>1407.2016194331986</v>
      </c>
      <c r="AA31" s="144">
        <f t="shared" si="38"/>
        <v>0</v>
      </c>
      <c r="AB31" s="145">
        <f t="shared" si="39"/>
        <v>0</v>
      </c>
      <c r="AC31" s="143">
        <v>2.5</v>
      </c>
      <c r="AD31" s="144">
        <f t="shared" si="40"/>
        <v>0</v>
      </c>
      <c r="AE31" s="144">
        <f t="shared" si="41"/>
        <v>73878.08502024293</v>
      </c>
      <c r="AF31" s="36">
        <f t="shared" si="42"/>
        <v>0</v>
      </c>
      <c r="AG31" s="74">
        <f t="shared" si="43"/>
        <v>10944.901484480431</v>
      </c>
      <c r="AH31" s="36">
        <f t="shared" si="44"/>
        <v>0</v>
      </c>
      <c r="AI31" s="36">
        <f t="shared" si="45"/>
        <v>84822.98650472336</v>
      </c>
      <c r="AJ31" s="36">
        <f t="shared" si="46"/>
        <v>0</v>
      </c>
      <c r="AK31" s="74">
        <f t="shared" si="47"/>
        <v>26040.65685695007</v>
      </c>
      <c r="AL31" s="36">
        <f t="shared" si="48"/>
        <v>0</v>
      </c>
      <c r="AM31" s="74">
        <f t="shared" si="49"/>
        <v>110863.64336167343</v>
      </c>
      <c r="AN31" s="24"/>
      <c r="AO31" s="24"/>
      <c r="AP31" s="44"/>
      <c r="AQ31" s="27"/>
      <c r="AR31" s="27"/>
      <c r="AS31" s="44"/>
      <c r="AT31" s="2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37">
        <f t="shared" si="26"/>
        <v>0</v>
      </c>
      <c r="BO31" s="37"/>
      <c r="BP31" s="37">
        <f t="shared" si="27"/>
        <v>0</v>
      </c>
      <c r="BQ31" s="44"/>
      <c r="BR31" s="44"/>
      <c r="BS31" s="44"/>
      <c r="BT31" s="44"/>
      <c r="BU31" s="44"/>
      <c r="BV31" s="44"/>
      <c r="BW31" s="44"/>
      <c r="BX31" s="37">
        <f t="shared" si="50"/>
        <v>110863.64336167343</v>
      </c>
      <c r="BY31" s="39">
        <f t="shared" si="51"/>
        <v>110.86364336167343</v>
      </c>
      <c r="BZ31" s="117">
        <f t="shared" si="52"/>
        <v>0.26626180836707153</v>
      </c>
      <c r="CA31" s="44"/>
      <c r="CB31" s="44"/>
    </row>
    <row r="32" spans="1:80" s="7" customFormat="1" ht="11.25">
      <c r="A32" s="19">
        <f t="shared" si="53"/>
        <v>5</v>
      </c>
      <c r="B32" s="28" t="s">
        <v>70</v>
      </c>
      <c r="C32" s="30"/>
      <c r="D32" s="418" t="s">
        <v>143</v>
      </c>
      <c r="E32" s="419"/>
      <c r="F32" s="29" t="s">
        <v>148</v>
      </c>
      <c r="G32" s="177">
        <f>D6*Нормы!B21</f>
        <v>1300</v>
      </c>
      <c r="H32" s="31" t="s">
        <v>517</v>
      </c>
      <c r="I32" s="31" t="s">
        <v>517</v>
      </c>
      <c r="J32" s="81">
        <v>16.3</v>
      </c>
      <c r="K32" s="33">
        <v>80</v>
      </c>
      <c r="L32" s="34">
        <f t="shared" si="30"/>
        <v>16.25</v>
      </c>
      <c r="M32" s="24"/>
      <c r="N32" s="35">
        <f t="shared" si="31"/>
        <v>0.9969325153374232</v>
      </c>
      <c r="O32" s="36">
        <f t="shared" si="32"/>
        <v>0</v>
      </c>
      <c r="P32" s="36">
        <f t="shared" si="33"/>
        <v>129.80263157894737</v>
      </c>
      <c r="Q32" s="26"/>
      <c r="R32" s="24"/>
      <c r="S32" s="26">
        <v>3</v>
      </c>
      <c r="T32" s="81">
        <f>IF(AND(N32&gt;0,P32&gt;0),SUMIF('Исх.данные'!$C$14:$J$15,S32,'Исх.данные'!$C$34:J52),IF(N32=0,0,IF(S32=0,"РОТ")))</f>
        <v>113.60344652812975</v>
      </c>
      <c r="U32" s="144">
        <f>O32*R32*'Исх.данные'!$C$43%</f>
        <v>0</v>
      </c>
      <c r="V32" s="144">
        <f>P32*T32*'Исх.данные'!$C$44%</f>
        <v>0</v>
      </c>
      <c r="W32" s="144">
        <f t="shared" si="34"/>
        <v>0</v>
      </c>
      <c r="X32" s="145">
        <f t="shared" si="35"/>
        <v>0</v>
      </c>
      <c r="Y32" s="144">
        <f t="shared" si="36"/>
        <v>0</v>
      </c>
      <c r="Z32" s="145">
        <f t="shared" si="37"/>
        <v>737.3013157894737</v>
      </c>
      <c r="AA32" s="144">
        <f t="shared" si="38"/>
        <v>0</v>
      </c>
      <c r="AB32" s="145">
        <f t="shared" si="39"/>
        <v>0</v>
      </c>
      <c r="AC32" s="143">
        <v>2.5</v>
      </c>
      <c r="AD32" s="144">
        <f t="shared" si="40"/>
        <v>0</v>
      </c>
      <c r="AE32" s="144">
        <f t="shared" si="41"/>
        <v>38708.31907894737</v>
      </c>
      <c r="AF32" s="36">
        <f t="shared" si="42"/>
        <v>0</v>
      </c>
      <c r="AG32" s="74">
        <f t="shared" si="43"/>
        <v>5734.565789473682</v>
      </c>
      <c r="AH32" s="36">
        <f t="shared" si="44"/>
        <v>0</v>
      </c>
      <c r="AI32" s="36">
        <f t="shared" si="45"/>
        <v>44442.884868421046</v>
      </c>
      <c r="AJ32" s="36">
        <f t="shared" si="46"/>
        <v>0</v>
      </c>
      <c r="AK32" s="74">
        <f t="shared" si="47"/>
        <v>13643.965654605261</v>
      </c>
      <c r="AL32" s="36">
        <f t="shared" si="48"/>
        <v>0</v>
      </c>
      <c r="AM32" s="74">
        <f t="shared" si="49"/>
        <v>58086.85052302631</v>
      </c>
      <c r="AN32" s="24"/>
      <c r="AO32" s="24"/>
      <c r="AP32" s="44"/>
      <c r="AQ32" s="27"/>
      <c r="AR32" s="27"/>
      <c r="AS32" s="44"/>
      <c r="AT32" s="2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37">
        <f>Нормы!B21*'О-РР'!D6</f>
        <v>1300</v>
      </c>
      <c r="BK32" s="39">
        <f>Нормы!D21</f>
        <v>50</v>
      </c>
      <c r="BL32" s="37">
        <f>BJ32*BK32</f>
        <v>65000</v>
      </c>
      <c r="BM32" s="44"/>
      <c r="BN32" s="37">
        <f t="shared" si="26"/>
        <v>0</v>
      </c>
      <c r="BO32" s="37"/>
      <c r="BP32" s="37">
        <f t="shared" si="27"/>
        <v>0</v>
      </c>
      <c r="BQ32" s="44"/>
      <c r="BR32" s="44"/>
      <c r="BS32" s="44"/>
      <c r="BT32" s="44"/>
      <c r="BU32" s="44"/>
      <c r="BV32" s="44"/>
      <c r="BW32" s="44"/>
      <c r="BX32" s="37">
        <f t="shared" si="50"/>
        <v>123086.85052302631</v>
      </c>
      <c r="BY32" s="39">
        <f t="shared" si="51"/>
        <v>123.08685052302631</v>
      </c>
      <c r="BZ32" s="117">
        <f t="shared" si="52"/>
        <v>0.12980263157894736</v>
      </c>
      <c r="CA32" s="44"/>
      <c r="CB32" s="44"/>
    </row>
    <row r="33" spans="1:80" s="7" customFormat="1" ht="22.5">
      <c r="A33" s="19">
        <f t="shared" si="53"/>
        <v>6</v>
      </c>
      <c r="B33" s="28" t="s">
        <v>480</v>
      </c>
      <c r="C33" s="30"/>
      <c r="D33" s="418" t="s">
        <v>143</v>
      </c>
      <c r="E33" s="419"/>
      <c r="F33" s="29" t="s">
        <v>148</v>
      </c>
      <c r="G33" s="177">
        <f>D6</f>
        <v>1000</v>
      </c>
      <c r="H33" s="31" t="s">
        <v>517</v>
      </c>
      <c r="I33" s="31" t="s">
        <v>517</v>
      </c>
      <c r="J33" s="81">
        <v>0.77</v>
      </c>
      <c r="K33" s="33">
        <v>1300</v>
      </c>
      <c r="L33" s="34">
        <f t="shared" si="30"/>
        <v>0.7692307692307693</v>
      </c>
      <c r="M33" s="24"/>
      <c r="N33" s="35">
        <f t="shared" si="31"/>
        <v>0.999000999000999</v>
      </c>
      <c r="O33" s="36">
        <f t="shared" si="32"/>
        <v>0</v>
      </c>
      <c r="P33" s="36">
        <f t="shared" si="33"/>
        <v>6.144503270009343</v>
      </c>
      <c r="Q33" s="26"/>
      <c r="R33" s="24"/>
      <c r="S33" s="26">
        <v>4</v>
      </c>
      <c r="T33" s="81">
        <f>IF(AND(N33&gt;0,P33&gt;0),SUMIF('Исх.данные'!$C$14:$J$15,S33,'Исх.данные'!$C$34:J53),IF(N33=0,0,IF(S33=0,"РОТ")))</f>
        <v>123.48200709579322</v>
      </c>
      <c r="U33" s="144">
        <f>O33*R33*'Исх.данные'!$C$43%</f>
        <v>0</v>
      </c>
      <c r="V33" s="144">
        <f>P33*T33*'Исх.данные'!$C$44%</f>
        <v>0</v>
      </c>
      <c r="W33" s="144">
        <f t="shared" si="34"/>
        <v>0</v>
      </c>
      <c r="X33" s="145">
        <f t="shared" si="35"/>
        <v>0</v>
      </c>
      <c r="Y33" s="144">
        <f t="shared" si="36"/>
        <v>0</v>
      </c>
      <c r="Z33" s="145">
        <f t="shared" si="37"/>
        <v>37.93677981937092</v>
      </c>
      <c r="AA33" s="144">
        <f t="shared" si="38"/>
        <v>0</v>
      </c>
      <c r="AB33" s="145">
        <f t="shared" si="39"/>
        <v>0</v>
      </c>
      <c r="AC33" s="143">
        <v>2.5</v>
      </c>
      <c r="AD33" s="144">
        <f t="shared" si="40"/>
        <v>0</v>
      </c>
      <c r="AE33" s="144">
        <f t="shared" si="41"/>
        <v>1991.6809405169734</v>
      </c>
      <c r="AF33" s="36">
        <f t="shared" si="42"/>
        <v>0</v>
      </c>
      <c r="AG33" s="74">
        <f t="shared" si="43"/>
        <v>295.06384303955156</v>
      </c>
      <c r="AH33" s="36">
        <f t="shared" si="44"/>
        <v>0</v>
      </c>
      <c r="AI33" s="36">
        <f t="shared" si="45"/>
        <v>2286.744783556525</v>
      </c>
      <c r="AJ33" s="36">
        <f t="shared" si="46"/>
        <v>0</v>
      </c>
      <c r="AK33" s="74">
        <f t="shared" si="47"/>
        <v>702.0306485518531</v>
      </c>
      <c r="AL33" s="36">
        <f t="shared" si="48"/>
        <v>0</v>
      </c>
      <c r="AM33" s="74">
        <f t="shared" si="49"/>
        <v>2988.775432108378</v>
      </c>
      <c r="AN33" s="24"/>
      <c r="AO33" s="24"/>
      <c r="AP33" s="44"/>
      <c r="AQ33" s="27"/>
      <c r="AR33" s="27"/>
      <c r="AS33" s="44"/>
      <c r="AT33" s="24"/>
      <c r="AU33" s="44"/>
      <c r="AV33" s="44"/>
      <c r="AW33" s="44"/>
      <c r="AX33" s="39">
        <f>Нормы!B17</f>
        <v>0.5</v>
      </c>
      <c r="AY33" s="39">
        <f>AX33*G33/1000</f>
        <v>0.5</v>
      </c>
      <c r="AZ33" s="117">
        <f>Нормы!D17</f>
        <v>33.7</v>
      </c>
      <c r="BA33" s="37">
        <f>AY33*AZ33*1000</f>
        <v>16850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37">
        <f t="shared" si="26"/>
        <v>0</v>
      </c>
      <c r="BO33" s="37"/>
      <c r="BP33" s="37">
        <f t="shared" si="27"/>
        <v>0</v>
      </c>
      <c r="BQ33" s="44"/>
      <c r="BR33" s="44"/>
      <c r="BS33" s="44"/>
      <c r="BT33" s="44"/>
      <c r="BU33" s="44"/>
      <c r="BV33" s="44"/>
      <c r="BW33" s="44"/>
      <c r="BX33" s="37">
        <f t="shared" si="50"/>
        <v>19838.775432108378</v>
      </c>
      <c r="BY33" s="39">
        <f t="shared" si="51"/>
        <v>19.838775432108378</v>
      </c>
      <c r="BZ33" s="117">
        <f t="shared" si="52"/>
        <v>0.006144503270009343</v>
      </c>
      <c r="CA33" s="44"/>
      <c r="CB33" s="44"/>
    </row>
    <row r="34" spans="1:80" s="7" customFormat="1" ht="22.5">
      <c r="A34" s="19">
        <f t="shared" si="53"/>
        <v>7</v>
      </c>
      <c r="B34" s="28" t="s">
        <v>71</v>
      </c>
      <c r="C34" s="30"/>
      <c r="D34" s="418" t="s">
        <v>143</v>
      </c>
      <c r="E34" s="419"/>
      <c r="F34" s="29" t="s">
        <v>148</v>
      </c>
      <c r="G34" s="177">
        <f>D6/4</f>
        <v>250</v>
      </c>
      <c r="H34" s="31" t="s">
        <v>517</v>
      </c>
      <c r="I34" s="31" t="s">
        <v>517</v>
      </c>
      <c r="J34" s="81">
        <v>0.87</v>
      </c>
      <c r="K34" s="33">
        <v>230</v>
      </c>
      <c r="L34" s="34">
        <f t="shared" si="30"/>
        <v>1.0869565217391304</v>
      </c>
      <c r="M34" s="24"/>
      <c r="N34" s="35">
        <f t="shared" si="31"/>
        <v>1.249375312343828</v>
      </c>
      <c r="O34" s="36">
        <f t="shared" si="32"/>
        <v>0</v>
      </c>
      <c r="P34" s="36">
        <f t="shared" si="33"/>
        <v>8.682450272839288</v>
      </c>
      <c r="Q34" s="26"/>
      <c r="R34" s="24"/>
      <c r="S34" s="26">
        <v>2</v>
      </c>
      <c r="T34" s="81">
        <f>IF(AND(N34&gt;0,P34&gt;0),SUMIF('Исх.данные'!$C$14:$J$15,S34,'Исх.данные'!$C$34:J54),IF(N34=0,0,IF(S34=0,"РОТ")))</f>
        <v>105.700598073999</v>
      </c>
      <c r="U34" s="144">
        <f>O34*R34*'Исх.данные'!$C$43%</f>
        <v>0</v>
      </c>
      <c r="V34" s="144">
        <f>P34*T34*'Исх.данные'!$C$44%</f>
        <v>0</v>
      </c>
      <c r="W34" s="144">
        <f t="shared" si="34"/>
        <v>0</v>
      </c>
      <c r="X34" s="145">
        <f t="shared" si="35"/>
        <v>0</v>
      </c>
      <c r="Y34" s="144">
        <f t="shared" si="36"/>
        <v>0</v>
      </c>
      <c r="Z34" s="145">
        <f t="shared" si="37"/>
        <v>45.887009329343435</v>
      </c>
      <c r="AA34" s="144">
        <f t="shared" si="38"/>
        <v>0</v>
      </c>
      <c r="AB34" s="145">
        <f t="shared" si="39"/>
        <v>0</v>
      </c>
      <c r="AC34" s="143">
        <v>2.5</v>
      </c>
      <c r="AD34" s="144">
        <f t="shared" si="40"/>
        <v>0</v>
      </c>
      <c r="AE34" s="144">
        <f t="shared" si="41"/>
        <v>2409.06798979053</v>
      </c>
      <c r="AF34" s="36">
        <f t="shared" si="42"/>
        <v>0</v>
      </c>
      <c r="AG34" s="74">
        <f t="shared" si="43"/>
        <v>356.89896145044884</v>
      </c>
      <c r="AH34" s="36">
        <f t="shared" si="44"/>
        <v>0</v>
      </c>
      <c r="AI34" s="36">
        <f t="shared" si="45"/>
        <v>2765.966951240979</v>
      </c>
      <c r="AJ34" s="36">
        <f t="shared" si="46"/>
        <v>0</v>
      </c>
      <c r="AK34" s="74">
        <f t="shared" si="47"/>
        <v>849.1518540309805</v>
      </c>
      <c r="AL34" s="36">
        <f t="shared" si="48"/>
        <v>0</v>
      </c>
      <c r="AM34" s="74">
        <f t="shared" si="49"/>
        <v>3615.11880527196</v>
      </c>
      <c r="AN34" s="24"/>
      <c r="AO34" s="24"/>
      <c r="AP34" s="44"/>
      <c r="AQ34" s="27"/>
      <c r="AR34" s="27"/>
      <c r="AS34" s="44"/>
      <c r="AT34" s="2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37">
        <f t="shared" si="26"/>
        <v>0</v>
      </c>
      <c r="BO34" s="37"/>
      <c r="BP34" s="37">
        <f t="shared" si="27"/>
        <v>0</v>
      </c>
      <c r="BQ34" s="44"/>
      <c r="BR34" s="44"/>
      <c r="BS34" s="44"/>
      <c r="BT34" s="44"/>
      <c r="BU34" s="44"/>
      <c r="BV34" s="44"/>
      <c r="BW34" s="44"/>
      <c r="BX34" s="37">
        <f t="shared" si="50"/>
        <v>3615.11880527196</v>
      </c>
      <c r="BY34" s="39">
        <f t="shared" si="51"/>
        <v>3.61511880527196</v>
      </c>
      <c r="BZ34" s="117">
        <f t="shared" si="52"/>
        <v>0.008682450272839289</v>
      </c>
      <c r="CA34" s="44"/>
      <c r="CB34" s="44"/>
    </row>
    <row r="35" spans="1:80" s="7" customFormat="1" ht="11.25">
      <c r="A35" s="19">
        <f t="shared" si="53"/>
        <v>8</v>
      </c>
      <c r="B35" s="28" t="s">
        <v>72</v>
      </c>
      <c r="C35" s="30"/>
      <c r="D35" s="31" t="s">
        <v>507</v>
      </c>
      <c r="E35" s="32" t="s">
        <v>166</v>
      </c>
      <c r="F35" s="29" t="s">
        <v>148</v>
      </c>
      <c r="G35" s="177">
        <f>D6*2</f>
        <v>2000</v>
      </c>
      <c r="H35" s="31" t="s">
        <v>517</v>
      </c>
      <c r="I35" s="31" t="s">
        <v>517</v>
      </c>
      <c r="J35" s="81">
        <v>2</v>
      </c>
      <c r="K35" s="33">
        <v>1000</v>
      </c>
      <c r="L35" s="34">
        <f t="shared" si="30"/>
        <v>2</v>
      </c>
      <c r="M35" s="24"/>
      <c r="N35" s="35">
        <f t="shared" si="31"/>
        <v>1</v>
      </c>
      <c r="O35" s="36">
        <f t="shared" si="32"/>
        <v>0</v>
      </c>
      <c r="P35" s="36">
        <f t="shared" si="33"/>
        <v>15.975708502024291</v>
      </c>
      <c r="Q35" s="26"/>
      <c r="R35" s="24"/>
      <c r="S35" s="26">
        <v>4</v>
      </c>
      <c r="T35" s="81">
        <f>IF(AND(N35&gt;0,P35&gt;0),SUMIF('Исх.данные'!$C$14:$J$15,S35,'Исх.данные'!$C$34:J55),IF(N35=0,0,IF(S35=0,"РОТ")))</f>
        <v>123.48200709579322</v>
      </c>
      <c r="U35" s="144">
        <f>O35*R35*'Исх.данные'!$C$43%</f>
        <v>0</v>
      </c>
      <c r="V35" s="144">
        <f>P35*T35*'Исх.данные'!$C$44%</f>
        <v>0</v>
      </c>
      <c r="W35" s="144">
        <f t="shared" si="34"/>
        <v>0</v>
      </c>
      <c r="X35" s="145">
        <f t="shared" si="35"/>
        <v>0</v>
      </c>
      <c r="Y35" s="144">
        <f t="shared" si="36"/>
        <v>0</v>
      </c>
      <c r="Z35" s="145">
        <f t="shared" si="37"/>
        <v>98.63562753036439</v>
      </c>
      <c r="AA35" s="144">
        <f t="shared" si="38"/>
        <v>0</v>
      </c>
      <c r="AB35" s="145">
        <f t="shared" si="39"/>
        <v>0</v>
      </c>
      <c r="AC35" s="143">
        <v>2.5</v>
      </c>
      <c r="AD35" s="144">
        <f t="shared" si="40"/>
        <v>0</v>
      </c>
      <c r="AE35" s="144">
        <f t="shared" si="41"/>
        <v>5178.3704453441305</v>
      </c>
      <c r="AF35" s="36">
        <f t="shared" si="42"/>
        <v>0</v>
      </c>
      <c r="AG35" s="74">
        <f t="shared" si="43"/>
        <v>767.165991902834</v>
      </c>
      <c r="AH35" s="36">
        <f t="shared" si="44"/>
        <v>0</v>
      </c>
      <c r="AI35" s="36">
        <f t="shared" si="45"/>
        <v>5945.536437246965</v>
      </c>
      <c r="AJ35" s="36">
        <f t="shared" si="46"/>
        <v>0</v>
      </c>
      <c r="AK35" s="74">
        <f t="shared" si="47"/>
        <v>1825.2796862348182</v>
      </c>
      <c r="AL35" s="36">
        <f t="shared" si="48"/>
        <v>0</v>
      </c>
      <c r="AM35" s="74">
        <f t="shared" si="49"/>
        <v>7770.8161234817835</v>
      </c>
      <c r="AN35" s="24"/>
      <c r="AO35" s="24"/>
      <c r="AP35" s="44"/>
      <c r="AQ35" s="27"/>
      <c r="AR35" s="27"/>
      <c r="AS35" s="44"/>
      <c r="AT35" s="2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37">
        <f t="shared" si="26"/>
        <v>0</v>
      </c>
      <c r="BO35" s="37">
        <f>аморт!$H$97</f>
        <v>60.666666666666664</v>
      </c>
      <c r="BP35" s="37">
        <f>BO35*L35*$O$11</f>
        <v>969.1929824561403</v>
      </c>
      <c r="BQ35" s="44"/>
      <c r="BR35" s="37">
        <f>BQ35*CB35</f>
        <v>0</v>
      </c>
      <c r="BS35" s="44"/>
      <c r="BT35" s="37">
        <f>BS35*CB35</f>
        <v>0</v>
      </c>
      <c r="BU35" s="44"/>
      <c r="BV35" s="37">
        <f>BU35*CB35</f>
        <v>0</v>
      </c>
      <c r="BW35" s="37">
        <f>аморт!$D$97*10%/аморт!$G$97*L35*O11</f>
        <v>775.3543859649122</v>
      </c>
      <c r="BX35" s="37">
        <f t="shared" si="50"/>
        <v>9515.363491902835</v>
      </c>
      <c r="BY35" s="39">
        <f t="shared" si="51"/>
        <v>9.515363491902836</v>
      </c>
      <c r="BZ35" s="117">
        <f t="shared" si="52"/>
        <v>0.015975708502024292</v>
      </c>
      <c r="CA35" s="44"/>
      <c r="CB35" s="44"/>
    </row>
    <row r="36" spans="1:80" s="7" customFormat="1" ht="11.25">
      <c r="A36" s="19">
        <f t="shared" si="53"/>
        <v>9</v>
      </c>
      <c r="B36" s="28" t="s">
        <v>73</v>
      </c>
      <c r="C36" s="30"/>
      <c r="D36" s="418" t="s">
        <v>143</v>
      </c>
      <c r="E36" s="419"/>
      <c r="F36" s="29" t="s">
        <v>148</v>
      </c>
      <c r="G36" s="177">
        <f>D6</f>
        <v>1000</v>
      </c>
      <c r="H36" s="31" t="s">
        <v>517</v>
      </c>
      <c r="I36" s="31" t="s">
        <v>517</v>
      </c>
      <c r="J36" s="81">
        <v>3.33</v>
      </c>
      <c r="K36" s="33">
        <v>300</v>
      </c>
      <c r="L36" s="34">
        <f t="shared" si="30"/>
        <v>3.3333333333333335</v>
      </c>
      <c r="M36" s="24"/>
      <c r="N36" s="35">
        <f t="shared" si="31"/>
        <v>1.001001001001001</v>
      </c>
      <c r="O36" s="36">
        <f t="shared" si="32"/>
        <v>0</v>
      </c>
      <c r="P36" s="36">
        <f t="shared" si="33"/>
        <v>26.626180836707153</v>
      </c>
      <c r="Q36" s="26"/>
      <c r="R36" s="24"/>
      <c r="S36" s="26">
        <v>2</v>
      </c>
      <c r="T36" s="81">
        <f>IF(AND(N36&gt;0,P36&gt;0),SUMIF('Исх.данные'!$C$14:$J$15,S36,'Исх.данные'!$C$34:J56),IF(N36=0,0,IF(S36=0,"РОТ")))</f>
        <v>105.700598073999</v>
      </c>
      <c r="U36" s="144">
        <f>O36*R36*'Исх.данные'!$C$43%</f>
        <v>0</v>
      </c>
      <c r="V36" s="144">
        <f>P36*T36*'Исх.данные'!$C$44%</f>
        <v>0</v>
      </c>
      <c r="W36" s="144">
        <f t="shared" si="34"/>
        <v>0</v>
      </c>
      <c r="X36" s="145">
        <f t="shared" si="35"/>
        <v>0</v>
      </c>
      <c r="Y36" s="144">
        <f t="shared" si="36"/>
        <v>0</v>
      </c>
      <c r="Z36" s="145">
        <f t="shared" si="37"/>
        <v>140.72016194331988</v>
      </c>
      <c r="AA36" s="144">
        <f t="shared" si="38"/>
        <v>0</v>
      </c>
      <c r="AB36" s="145">
        <f t="shared" si="39"/>
        <v>0</v>
      </c>
      <c r="AC36" s="143">
        <v>2.5</v>
      </c>
      <c r="AD36" s="144">
        <f t="shared" si="40"/>
        <v>0</v>
      </c>
      <c r="AE36" s="144">
        <f t="shared" si="41"/>
        <v>7387.8085020242925</v>
      </c>
      <c r="AF36" s="36">
        <f t="shared" si="42"/>
        <v>0</v>
      </c>
      <c r="AG36" s="74">
        <f t="shared" si="43"/>
        <v>1094.490148448043</v>
      </c>
      <c r="AH36" s="36">
        <f t="shared" si="44"/>
        <v>0</v>
      </c>
      <c r="AI36" s="36">
        <f t="shared" si="45"/>
        <v>8482.298650472336</v>
      </c>
      <c r="AJ36" s="36">
        <f t="shared" si="46"/>
        <v>0</v>
      </c>
      <c r="AK36" s="74">
        <f t="shared" si="47"/>
        <v>2604.0656856950072</v>
      </c>
      <c r="AL36" s="36">
        <f t="shared" si="48"/>
        <v>0</v>
      </c>
      <c r="AM36" s="74">
        <f t="shared" si="49"/>
        <v>11086.364336167342</v>
      </c>
      <c r="AN36" s="24"/>
      <c r="AO36" s="24"/>
      <c r="AP36" s="44"/>
      <c r="AQ36" s="27"/>
      <c r="AR36" s="27"/>
      <c r="AS36" s="44"/>
      <c r="AT36" s="2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37">
        <f t="shared" si="26"/>
        <v>0</v>
      </c>
      <c r="BO36" s="37"/>
      <c r="BP36" s="37">
        <f t="shared" si="27"/>
        <v>0</v>
      </c>
      <c r="BQ36" s="44"/>
      <c r="BR36" s="44"/>
      <c r="BS36" s="44"/>
      <c r="BT36" s="44"/>
      <c r="BU36" s="44"/>
      <c r="BV36" s="44"/>
      <c r="BW36" s="44"/>
      <c r="BX36" s="37">
        <f t="shared" si="50"/>
        <v>11086.364336167342</v>
      </c>
      <c r="BY36" s="39">
        <f t="shared" si="51"/>
        <v>11.086364336167343</v>
      </c>
      <c r="BZ36" s="117">
        <f t="shared" si="52"/>
        <v>0.026626180836707154</v>
      </c>
      <c r="CA36" s="44"/>
      <c r="CB36" s="44"/>
    </row>
    <row r="37" spans="1:80" s="7" customFormat="1" ht="11.25">
      <c r="A37" s="19">
        <f t="shared" si="53"/>
        <v>10</v>
      </c>
      <c r="B37" s="28" t="s">
        <v>74</v>
      </c>
      <c r="C37" s="30"/>
      <c r="D37" s="418" t="s">
        <v>143</v>
      </c>
      <c r="E37" s="419"/>
      <c r="F37" s="29" t="s">
        <v>148</v>
      </c>
      <c r="G37" s="177">
        <f>D6</f>
        <v>1000</v>
      </c>
      <c r="H37" s="31" t="s">
        <v>517</v>
      </c>
      <c r="I37" s="31" t="s">
        <v>517</v>
      </c>
      <c r="J37" s="81">
        <v>0.33</v>
      </c>
      <c r="K37" s="33">
        <v>3000</v>
      </c>
      <c r="L37" s="34">
        <f t="shared" si="30"/>
        <v>0.3333333333333333</v>
      </c>
      <c r="M37" s="24"/>
      <c r="N37" s="35">
        <f t="shared" si="31"/>
        <v>1.01010101010101</v>
      </c>
      <c r="O37" s="36">
        <f t="shared" si="32"/>
        <v>0</v>
      </c>
      <c r="P37" s="36">
        <f t="shared" si="33"/>
        <v>2.662618083670715</v>
      </c>
      <c r="Q37" s="26"/>
      <c r="R37" s="24"/>
      <c r="S37" s="26">
        <v>4</v>
      </c>
      <c r="T37" s="81">
        <f>IF(AND(N37&gt;0,P37&gt;0),SUMIF('Исх.данные'!$C$14:$J$15,S37,'Исх.данные'!$C$34:J56),IF(N37=0,0,IF(S37=0,"РОТ")))</f>
        <v>123.48200709579322</v>
      </c>
      <c r="U37" s="144">
        <f>O37*R37*'Исх.данные'!$C$43%</f>
        <v>0</v>
      </c>
      <c r="V37" s="144">
        <f>P37*T37*'Исх.данные'!$C$44%</f>
        <v>0</v>
      </c>
      <c r="W37" s="144">
        <f t="shared" si="34"/>
        <v>0</v>
      </c>
      <c r="X37" s="145">
        <f t="shared" si="35"/>
        <v>0</v>
      </c>
      <c r="Y37" s="144">
        <f t="shared" si="36"/>
        <v>0</v>
      </c>
      <c r="Z37" s="145">
        <f t="shared" si="37"/>
        <v>16.439271255060728</v>
      </c>
      <c r="AA37" s="144">
        <f t="shared" si="38"/>
        <v>0</v>
      </c>
      <c r="AB37" s="145">
        <f t="shared" si="39"/>
        <v>0</v>
      </c>
      <c r="AC37" s="143">
        <v>2.5</v>
      </c>
      <c r="AD37" s="144">
        <f t="shared" si="40"/>
        <v>0</v>
      </c>
      <c r="AE37" s="144">
        <f t="shared" si="41"/>
        <v>863.0617408906882</v>
      </c>
      <c r="AF37" s="36">
        <f t="shared" si="42"/>
        <v>0</v>
      </c>
      <c r="AG37" s="74">
        <f t="shared" si="43"/>
        <v>127.86099865047228</v>
      </c>
      <c r="AH37" s="36">
        <f t="shared" si="44"/>
        <v>0</v>
      </c>
      <c r="AI37" s="36">
        <f t="shared" si="45"/>
        <v>990.9227395411605</v>
      </c>
      <c r="AJ37" s="36">
        <f t="shared" si="46"/>
        <v>0</v>
      </c>
      <c r="AK37" s="74">
        <f t="shared" si="47"/>
        <v>304.21328103913623</v>
      </c>
      <c r="AL37" s="36">
        <f t="shared" si="48"/>
        <v>0</v>
      </c>
      <c r="AM37" s="74">
        <f t="shared" si="49"/>
        <v>1295.1360205802966</v>
      </c>
      <c r="AN37" s="24"/>
      <c r="AO37" s="24"/>
      <c r="AP37" s="44"/>
      <c r="AQ37" s="27"/>
      <c r="AR37" s="27"/>
      <c r="AS37" s="44"/>
      <c r="AT37" s="2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37">
        <f t="shared" si="26"/>
        <v>0</v>
      </c>
      <c r="BO37" s="37"/>
      <c r="BP37" s="37">
        <f t="shared" si="27"/>
        <v>0</v>
      </c>
      <c r="BQ37" s="44"/>
      <c r="BR37" s="44"/>
      <c r="BS37" s="44"/>
      <c r="BT37" s="44"/>
      <c r="BU37" s="44"/>
      <c r="BV37" s="44"/>
      <c r="BW37" s="44"/>
      <c r="BX37" s="37">
        <f t="shared" si="50"/>
        <v>1295.1360205802966</v>
      </c>
      <c r="BY37" s="39">
        <f t="shared" si="51"/>
        <v>1.2951360205802966</v>
      </c>
      <c r="BZ37" s="117">
        <f t="shared" si="52"/>
        <v>0.002662618083670715</v>
      </c>
      <c r="CA37" s="44"/>
      <c r="CB37" s="44"/>
    </row>
    <row r="38" spans="1:80" s="56" customFormat="1" ht="11.25">
      <c r="A38" s="54"/>
      <c r="B38" s="55" t="s">
        <v>22</v>
      </c>
      <c r="C38" s="55"/>
      <c r="D38" s="55"/>
      <c r="E38" s="55"/>
      <c r="F38" s="57"/>
      <c r="G38" s="58"/>
      <c r="H38" s="58"/>
      <c r="I38" s="58"/>
      <c r="J38" s="66">
        <f>SUM(J28:J37)</f>
        <v>66.5</v>
      </c>
      <c r="K38" s="66"/>
      <c r="L38" s="66">
        <f aca="true" t="shared" si="54" ref="L38:BT38">SUM(L28:L37)</f>
        <v>68.90164183642443</v>
      </c>
      <c r="M38" s="66">
        <f t="shared" si="54"/>
        <v>0</v>
      </c>
      <c r="N38" s="66">
        <f t="shared" si="54"/>
        <v>11.218544908613985</v>
      </c>
      <c r="O38" s="66">
        <f t="shared" si="54"/>
        <v>0</v>
      </c>
      <c r="P38" s="66">
        <f t="shared" si="54"/>
        <v>550.3762726447993</v>
      </c>
      <c r="Q38" s="66"/>
      <c r="R38" s="66"/>
      <c r="S38" s="66"/>
      <c r="T38" s="66"/>
      <c r="U38" s="66">
        <f t="shared" si="54"/>
        <v>0</v>
      </c>
      <c r="V38" s="66">
        <f t="shared" si="54"/>
        <v>0</v>
      </c>
      <c r="W38" s="66">
        <f t="shared" si="54"/>
        <v>0</v>
      </c>
      <c r="X38" s="66">
        <f t="shared" si="54"/>
        <v>0</v>
      </c>
      <c r="Y38" s="66">
        <f t="shared" si="54"/>
        <v>0</v>
      </c>
      <c r="Z38" s="66">
        <f t="shared" si="54"/>
        <v>3000.0757858362376</v>
      </c>
      <c r="AA38" s="66">
        <f t="shared" si="54"/>
        <v>0</v>
      </c>
      <c r="AB38" s="66">
        <f t="shared" si="54"/>
        <v>0</v>
      </c>
      <c r="AC38" s="66"/>
      <c r="AD38" s="66">
        <f t="shared" si="54"/>
        <v>0</v>
      </c>
      <c r="AE38" s="66">
        <f t="shared" si="54"/>
        <v>157503.97875640247</v>
      </c>
      <c r="AF38" s="66">
        <f t="shared" si="54"/>
        <v>0</v>
      </c>
      <c r="AG38" s="66">
        <f t="shared" si="54"/>
        <v>23333.92277872629</v>
      </c>
      <c r="AH38" s="66">
        <f t="shared" si="54"/>
        <v>0</v>
      </c>
      <c r="AI38" s="66">
        <f t="shared" si="54"/>
        <v>180837.90153512877</v>
      </c>
      <c r="AJ38" s="66">
        <f t="shared" si="54"/>
        <v>0</v>
      </c>
      <c r="AK38" s="66">
        <f t="shared" si="54"/>
        <v>55517.235771284526</v>
      </c>
      <c r="AL38" s="66">
        <f t="shared" si="54"/>
        <v>0</v>
      </c>
      <c r="AM38" s="66">
        <f t="shared" si="54"/>
        <v>236355.1373064133</v>
      </c>
      <c r="AN38" s="25"/>
      <c r="AO38" s="66"/>
      <c r="AP38" s="66">
        <f t="shared" si="54"/>
        <v>0</v>
      </c>
      <c r="AQ38" s="66"/>
      <c r="AR38" s="66"/>
      <c r="AS38" s="66">
        <f t="shared" si="54"/>
        <v>0</v>
      </c>
      <c r="AT38" s="66"/>
      <c r="AU38" s="66">
        <f t="shared" si="54"/>
        <v>0</v>
      </c>
      <c r="AV38" s="66"/>
      <c r="AW38" s="66">
        <f t="shared" si="54"/>
        <v>0</v>
      </c>
      <c r="AX38" s="66"/>
      <c r="AY38" s="66">
        <f t="shared" si="54"/>
        <v>0.5</v>
      </c>
      <c r="AZ38" s="66"/>
      <c r="BA38" s="66">
        <f t="shared" si="54"/>
        <v>16850</v>
      </c>
      <c r="BB38" s="25"/>
      <c r="BC38" s="66">
        <f t="shared" si="54"/>
        <v>0.1</v>
      </c>
      <c r="BD38" s="66"/>
      <c r="BE38" s="66">
        <f t="shared" si="54"/>
        <v>29.700000000000003</v>
      </c>
      <c r="BF38" s="66"/>
      <c r="BG38" s="66">
        <f t="shared" si="54"/>
        <v>0</v>
      </c>
      <c r="BH38" s="66"/>
      <c r="BI38" s="66">
        <f t="shared" si="54"/>
        <v>0</v>
      </c>
      <c r="BJ38" s="66">
        <f>SUM(BJ28:BJ37)</f>
        <v>1300</v>
      </c>
      <c r="BK38" s="66"/>
      <c r="BL38" s="66">
        <f>SUM(BL28:BL37)</f>
        <v>65000</v>
      </c>
      <c r="BM38" s="66"/>
      <c r="BN38" s="66">
        <f t="shared" si="54"/>
        <v>5021.638644092751</v>
      </c>
      <c r="BO38" s="66"/>
      <c r="BP38" s="66">
        <f t="shared" si="54"/>
        <v>969.1929824561403</v>
      </c>
      <c r="BQ38" s="66"/>
      <c r="BR38" s="66">
        <f t="shared" si="54"/>
        <v>0</v>
      </c>
      <c r="BS38" s="66"/>
      <c r="BT38" s="66">
        <f t="shared" si="54"/>
        <v>0</v>
      </c>
      <c r="BU38" s="66"/>
      <c r="BV38" s="66">
        <f>SUM(BV28:BV37)</f>
        <v>0</v>
      </c>
      <c r="BW38" s="66">
        <f>SUM(BW28:BW37)</f>
        <v>5796.993030057663</v>
      </c>
      <c r="BX38" s="66">
        <f>SUM(BX28:BX37)</f>
        <v>330022.66196301987</v>
      </c>
      <c r="BY38" s="66"/>
      <c r="BZ38" s="66"/>
      <c r="CA38" s="66"/>
      <c r="CB38" s="66">
        <f>SUM(CB28:CB37)</f>
        <v>0</v>
      </c>
    </row>
    <row r="39" spans="1:80" ht="11.25">
      <c r="A39" s="20"/>
      <c r="B39" s="392" t="s">
        <v>82</v>
      </c>
      <c r="C39" s="392"/>
      <c r="D39" s="392"/>
      <c r="E39" s="392"/>
      <c r="F39" s="29"/>
      <c r="G39" s="30"/>
      <c r="H39" s="30"/>
      <c r="I39" s="30"/>
      <c r="J39" s="30"/>
      <c r="K39" s="33"/>
      <c r="L39" s="34"/>
      <c r="M39" s="35"/>
      <c r="N39" s="35"/>
      <c r="O39" s="36"/>
      <c r="P39" s="36"/>
      <c r="Q39" s="35"/>
      <c r="R39" s="34"/>
      <c r="S39" s="35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3"/>
      <c r="AF39" s="33"/>
      <c r="AG39" s="33"/>
      <c r="AH39" s="36"/>
      <c r="AI39" s="36"/>
      <c r="AJ39" s="36"/>
      <c r="AK39" s="36"/>
      <c r="AL39" s="36"/>
      <c r="AM39" s="36"/>
      <c r="AN39" s="33"/>
      <c r="AO39" s="33"/>
      <c r="AP39" s="37"/>
      <c r="AQ39" s="38"/>
      <c r="AR39" s="38"/>
      <c r="AS39" s="37"/>
      <c r="AT39" s="33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>
        <f t="shared" si="26"/>
        <v>0</v>
      </c>
      <c r="BO39" s="37"/>
      <c r="BP39" s="37">
        <f t="shared" si="27"/>
        <v>0</v>
      </c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9"/>
      <c r="CB39" s="40"/>
    </row>
    <row r="40" spans="1:80" ht="11.25">
      <c r="A40" s="20">
        <v>1</v>
      </c>
      <c r="B40" s="28" t="s">
        <v>76</v>
      </c>
      <c r="C40" s="30"/>
      <c r="D40" s="418" t="s">
        <v>143</v>
      </c>
      <c r="E40" s="419"/>
      <c r="F40" s="29" t="s">
        <v>171</v>
      </c>
      <c r="G40" s="177">
        <f>Нормы!B16*D6</f>
        <v>4.5</v>
      </c>
      <c r="H40" s="30" t="s">
        <v>517</v>
      </c>
      <c r="I40" s="30" t="s">
        <v>517</v>
      </c>
      <c r="J40" s="81">
        <v>0.64</v>
      </c>
      <c r="K40" s="33">
        <v>7</v>
      </c>
      <c r="L40" s="34">
        <f aca="true" t="shared" si="55" ref="L40:L46">G40/K40</f>
        <v>0.6428571428571429</v>
      </c>
      <c r="M40" s="35"/>
      <c r="N40" s="35">
        <f aca="true" t="shared" si="56" ref="N40:N45">L40/J40</f>
        <v>1.0044642857142858</v>
      </c>
      <c r="O40" s="36">
        <f aca="true" t="shared" si="57" ref="O40:O46">IF(M40=0,0,L40*$O$11)</f>
        <v>0</v>
      </c>
      <c r="P40" s="36">
        <f aca="true" t="shared" si="58" ref="P40:P46">IF(N40=0,0,L40*$O$11)</f>
        <v>5.135049161364951</v>
      </c>
      <c r="Q40" s="35"/>
      <c r="R40" s="34"/>
      <c r="S40" s="35">
        <v>2</v>
      </c>
      <c r="T40" s="81">
        <f>IF(AND(N40&gt;0,P40&gt;0),SUMIF('Исх.данные'!$C$14:$J$15,S40,'Исх.данные'!$C$34:J56),IF(N40=0,0,IF(S40=0,"РОТ")))</f>
        <v>105.700598073999</v>
      </c>
      <c r="U40" s="144">
        <f>O40*R40*'Исх.данные'!$C$43%</f>
        <v>0</v>
      </c>
      <c r="V40" s="144">
        <f>P40*T40*'Исх.данные'!$C$44%</f>
        <v>0</v>
      </c>
      <c r="W40" s="144">
        <f aca="true" t="shared" si="59" ref="W40:W46">O40*R40*$W$11</f>
        <v>0</v>
      </c>
      <c r="X40" s="145">
        <f aca="true" t="shared" si="60" ref="X40:X46">P40*T40*$W$11</f>
        <v>0</v>
      </c>
      <c r="Y40" s="144">
        <f aca="true" t="shared" si="61" ref="Y40:Y46">(O40*R40+U40+W40)*$Y$11</f>
        <v>0</v>
      </c>
      <c r="Z40" s="145">
        <f aca="true" t="shared" si="62" ref="Z40:Z46">(P40*T40+V40+X40)*$Z$11</f>
        <v>27.13888837478312</v>
      </c>
      <c r="AA40" s="144">
        <f aca="true" t="shared" si="63" ref="AA40:AA46">(O40*R40+U40)*$AA$11</f>
        <v>0</v>
      </c>
      <c r="AB40" s="145">
        <f aca="true" t="shared" si="64" ref="AB40:AB46">(P40*T40+V40)*$AA$11</f>
        <v>0</v>
      </c>
      <c r="AC40" s="143">
        <v>2.5</v>
      </c>
      <c r="AD40" s="144">
        <f aca="true" t="shared" si="65" ref="AD40:AD46">(O40*R40+U40+W40+Y40+AA40)*AC40</f>
        <v>0</v>
      </c>
      <c r="AE40" s="144">
        <f aca="true" t="shared" si="66" ref="AE40:AE46">(P40*T40+V40+X40+Z40+AB40)*AC40</f>
        <v>1424.7916396761138</v>
      </c>
      <c r="AF40" s="36">
        <f aca="true" t="shared" si="67" ref="AF40:AF46">AD40*$AF$11</f>
        <v>0</v>
      </c>
      <c r="AG40" s="74">
        <f aca="true" t="shared" si="68" ref="AG40:AG46">AE40*$AF$11</f>
        <v>211.08024291497978</v>
      </c>
      <c r="AH40" s="36">
        <f aca="true" t="shared" si="69" ref="AH40:AH46">AD40+AF40</f>
        <v>0</v>
      </c>
      <c r="AI40" s="36">
        <f aca="true" t="shared" si="70" ref="AI40:AI46">AE40+AG40</f>
        <v>1635.8718825910937</v>
      </c>
      <c r="AJ40" s="36">
        <f aca="true" t="shared" si="71" ref="AJ40:AJ46">AH40*$AJ$11</f>
        <v>0</v>
      </c>
      <c r="AK40" s="74">
        <f aca="true" t="shared" si="72" ref="AK40:AK46">AI40*$AJ$11</f>
        <v>502.21266795546575</v>
      </c>
      <c r="AL40" s="36">
        <f aca="true" t="shared" si="73" ref="AL40:AL46">AH40+AJ40</f>
        <v>0</v>
      </c>
      <c r="AM40" s="74">
        <f aca="true" t="shared" si="74" ref="AM40:AM46">AK40+AI40</f>
        <v>2138.0845505465595</v>
      </c>
      <c r="AN40" s="33"/>
      <c r="AO40" s="33"/>
      <c r="AP40" s="37"/>
      <c r="AQ40" s="38"/>
      <c r="AR40" s="38"/>
      <c r="AS40" s="37"/>
      <c r="AT40" s="33"/>
      <c r="AU40" s="37"/>
      <c r="AV40" s="37"/>
      <c r="AW40" s="37"/>
      <c r="AX40" s="37"/>
      <c r="AY40" s="37"/>
      <c r="AZ40" s="37"/>
      <c r="BA40" s="37"/>
      <c r="BB40" s="39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>
        <f t="shared" si="26"/>
        <v>0</v>
      </c>
      <c r="BO40" s="37"/>
      <c r="BP40" s="37">
        <f t="shared" si="27"/>
        <v>0</v>
      </c>
      <c r="BQ40" s="37"/>
      <c r="BR40" s="37"/>
      <c r="BS40" s="37"/>
      <c r="BT40" s="37"/>
      <c r="BU40" s="37"/>
      <c r="BV40" s="37"/>
      <c r="BW40" s="37"/>
      <c r="BX40" s="37">
        <f aca="true" t="shared" si="75" ref="BX40:BX46">AL40+AM40+AS40+AW40+BA40+BE40+BI40+BL40+BN40+BP40+BR40+BT40+BV40+BW40</f>
        <v>2138.0845505465595</v>
      </c>
      <c r="BY40" s="39">
        <f aca="true" t="shared" si="76" ref="BY40:BY46">BX40/$D$6</f>
        <v>2.1380845505465595</v>
      </c>
      <c r="BZ40" s="117">
        <f aca="true" t="shared" si="77" ref="BZ40:BZ46">(O40+P40)/$D$6</f>
        <v>0.005135049161364951</v>
      </c>
      <c r="CA40" s="39"/>
      <c r="CB40" s="40"/>
    </row>
    <row r="41" spans="1:80" ht="11.25">
      <c r="A41" s="20">
        <v>2</v>
      </c>
      <c r="B41" s="28" t="s">
        <v>77</v>
      </c>
      <c r="C41" s="30"/>
      <c r="D41" s="31" t="s">
        <v>143</v>
      </c>
      <c r="E41" s="32" t="s">
        <v>168</v>
      </c>
      <c r="F41" s="29" t="s">
        <v>172</v>
      </c>
      <c r="G41" s="177">
        <f>D6/1.25</f>
        <v>800</v>
      </c>
      <c r="H41" s="30" t="s">
        <v>481</v>
      </c>
      <c r="I41" s="30" t="s">
        <v>482</v>
      </c>
      <c r="J41" s="81">
        <v>26.67</v>
      </c>
      <c r="K41" s="33">
        <v>30</v>
      </c>
      <c r="L41" s="34">
        <f t="shared" si="55"/>
        <v>26.666666666666668</v>
      </c>
      <c r="M41" s="35"/>
      <c r="N41" s="35">
        <f t="shared" si="56"/>
        <v>0.9998750156230471</v>
      </c>
      <c r="O41" s="36">
        <f t="shared" si="57"/>
        <v>0</v>
      </c>
      <c r="P41" s="36">
        <f t="shared" si="58"/>
        <v>213.00944669365722</v>
      </c>
      <c r="Q41" s="35"/>
      <c r="R41" s="34"/>
      <c r="S41" s="35">
        <v>3</v>
      </c>
      <c r="T41" s="81">
        <f>IF(AND(N41&gt;0,P41&gt;0),SUMIF('Исх.данные'!$C$14:$J$15,S41,'Исх.данные'!$C$34:J56),IF(N41=0,0,IF(S41=0,"РОТ")))</f>
        <v>113.60344652812975</v>
      </c>
      <c r="U41" s="144">
        <f>O41*R41*'Исх.данные'!$C$43%</f>
        <v>0</v>
      </c>
      <c r="V41" s="144">
        <f>P41*T41*'Исх.данные'!$C$44%</f>
        <v>0</v>
      </c>
      <c r="W41" s="144">
        <f t="shared" si="59"/>
        <v>0</v>
      </c>
      <c r="X41" s="145">
        <f t="shared" si="60"/>
        <v>0</v>
      </c>
      <c r="Y41" s="144">
        <f t="shared" si="61"/>
        <v>0</v>
      </c>
      <c r="Z41" s="145">
        <f t="shared" si="62"/>
        <v>1209.9303643724697</v>
      </c>
      <c r="AA41" s="144">
        <f t="shared" si="63"/>
        <v>0</v>
      </c>
      <c r="AB41" s="145">
        <f t="shared" si="64"/>
        <v>0</v>
      </c>
      <c r="AC41" s="143">
        <v>2.5</v>
      </c>
      <c r="AD41" s="144">
        <f t="shared" si="65"/>
        <v>0</v>
      </c>
      <c r="AE41" s="144">
        <f t="shared" si="66"/>
        <v>63521.344129554665</v>
      </c>
      <c r="AF41" s="36">
        <f t="shared" si="67"/>
        <v>0</v>
      </c>
      <c r="AG41" s="74">
        <f t="shared" si="68"/>
        <v>9410.569500674763</v>
      </c>
      <c r="AH41" s="36">
        <f t="shared" si="69"/>
        <v>0</v>
      </c>
      <c r="AI41" s="36">
        <f t="shared" si="70"/>
        <v>72931.91363022942</v>
      </c>
      <c r="AJ41" s="36">
        <f t="shared" si="71"/>
        <v>0</v>
      </c>
      <c r="AK41" s="74">
        <f t="shared" si="72"/>
        <v>22390.097484480433</v>
      </c>
      <c r="AL41" s="36">
        <f t="shared" si="73"/>
        <v>0</v>
      </c>
      <c r="AM41" s="74">
        <f t="shared" si="74"/>
        <v>95322.01111470985</v>
      </c>
      <c r="AN41" s="33"/>
      <c r="AO41" s="33"/>
      <c r="AP41" s="37"/>
      <c r="AQ41" s="38"/>
      <c r="AR41" s="38"/>
      <c r="AS41" s="37"/>
      <c r="AT41" s="118">
        <f>Нормы!B16</f>
        <v>0.0045</v>
      </c>
      <c r="AU41" s="39">
        <f>AT41*D6</f>
        <v>4.5</v>
      </c>
      <c r="AV41" s="37">
        <f>Нормы!D16</f>
        <v>5000</v>
      </c>
      <c r="AW41" s="37">
        <f>AU41*AV41</f>
        <v>22500</v>
      </c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>
        <f t="shared" si="26"/>
        <v>0</v>
      </c>
      <c r="BO41" s="37">
        <f>аморт!$H$78</f>
        <v>252.1557894736842</v>
      </c>
      <c r="BP41" s="37">
        <f>BO41*L41*$O$11</f>
        <v>53711.565196391784</v>
      </c>
      <c r="BQ41" s="37"/>
      <c r="BR41" s="37"/>
      <c r="BS41" s="37"/>
      <c r="BT41" s="37"/>
      <c r="BU41" s="37"/>
      <c r="BV41" s="37"/>
      <c r="BW41" s="37">
        <f>аморт!$D$78*10%/аморт!$G$78*L41*O11</f>
        <v>48340.408676752624</v>
      </c>
      <c r="BX41" s="37">
        <f t="shared" si="75"/>
        <v>219873.98498785426</v>
      </c>
      <c r="BY41" s="39">
        <f t="shared" si="76"/>
        <v>219.87398498785427</v>
      </c>
      <c r="BZ41" s="117">
        <f t="shared" si="77"/>
        <v>0.21300944669365723</v>
      </c>
      <c r="CA41" s="39"/>
      <c r="CB41" s="40"/>
    </row>
    <row r="42" spans="1:80" ht="11.25">
      <c r="A42" s="20">
        <v>3</v>
      </c>
      <c r="B42" s="28" t="s">
        <v>197</v>
      </c>
      <c r="C42" s="30"/>
      <c r="D42" s="418" t="s">
        <v>143</v>
      </c>
      <c r="E42" s="419"/>
      <c r="F42" s="29" t="s">
        <v>172</v>
      </c>
      <c r="G42" s="177">
        <f>D6</f>
        <v>1000</v>
      </c>
      <c r="H42" s="30" t="s">
        <v>517</v>
      </c>
      <c r="I42" s="30" t="s">
        <v>504</v>
      </c>
      <c r="J42" s="81">
        <v>35.71</v>
      </c>
      <c r="K42" s="33">
        <v>28</v>
      </c>
      <c r="L42" s="34">
        <f t="shared" si="55"/>
        <v>35.714285714285715</v>
      </c>
      <c r="M42" s="35"/>
      <c r="N42" s="35">
        <f t="shared" si="56"/>
        <v>1.0001200144017282</v>
      </c>
      <c r="O42" s="36">
        <f t="shared" si="57"/>
        <v>0</v>
      </c>
      <c r="P42" s="36">
        <f t="shared" si="58"/>
        <v>285.2805089647195</v>
      </c>
      <c r="Q42" s="35"/>
      <c r="R42" s="34"/>
      <c r="S42" s="35">
        <v>4</v>
      </c>
      <c r="T42" s="81">
        <f>IF(AND(N42&gt;0,P42&gt;0),SUMIF('Исх.данные'!$C$14:$J$15,S42,'Исх.данные'!$C$34:J56),IF(N42=0,0,IF(S42=0,"РОТ")))</f>
        <v>123.48200709579322</v>
      </c>
      <c r="U42" s="144">
        <f>O42*R42*'Исх.данные'!$C$43%</f>
        <v>0</v>
      </c>
      <c r="V42" s="144">
        <f>P42*T42*'Исх.данные'!$C$44%</f>
        <v>0</v>
      </c>
      <c r="W42" s="144">
        <f t="shared" si="59"/>
        <v>0</v>
      </c>
      <c r="X42" s="145">
        <f t="shared" si="60"/>
        <v>0</v>
      </c>
      <c r="Y42" s="144">
        <f t="shared" si="61"/>
        <v>0</v>
      </c>
      <c r="Z42" s="145">
        <f t="shared" si="62"/>
        <v>1761.3504916136499</v>
      </c>
      <c r="AA42" s="144">
        <f t="shared" si="63"/>
        <v>0</v>
      </c>
      <c r="AB42" s="145">
        <f t="shared" si="64"/>
        <v>0</v>
      </c>
      <c r="AC42" s="143">
        <v>2.5</v>
      </c>
      <c r="AD42" s="144">
        <f t="shared" si="65"/>
        <v>0</v>
      </c>
      <c r="AE42" s="144">
        <f t="shared" si="66"/>
        <v>92470.90080971662</v>
      </c>
      <c r="AF42" s="36">
        <f t="shared" si="67"/>
        <v>0</v>
      </c>
      <c r="AG42" s="74">
        <f t="shared" si="68"/>
        <v>13699.392712550607</v>
      </c>
      <c r="AH42" s="36">
        <f t="shared" si="69"/>
        <v>0</v>
      </c>
      <c r="AI42" s="36">
        <f t="shared" si="70"/>
        <v>106170.29352226722</v>
      </c>
      <c r="AJ42" s="36">
        <f t="shared" si="71"/>
        <v>0</v>
      </c>
      <c r="AK42" s="74">
        <f t="shared" si="72"/>
        <v>32594.280111336036</v>
      </c>
      <c r="AL42" s="36">
        <f t="shared" si="73"/>
        <v>0</v>
      </c>
      <c r="AM42" s="74">
        <f t="shared" si="74"/>
        <v>138764.57363360326</v>
      </c>
      <c r="AN42" s="33"/>
      <c r="AO42" s="33"/>
      <c r="AP42" s="37"/>
      <c r="AQ42" s="38"/>
      <c r="AR42" s="38"/>
      <c r="AS42" s="37"/>
      <c r="AT42" s="33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>
        <f t="shared" si="26"/>
        <v>0</v>
      </c>
      <c r="BO42" s="37"/>
      <c r="BP42" s="37">
        <f t="shared" si="27"/>
        <v>0</v>
      </c>
      <c r="BQ42" s="37"/>
      <c r="BR42" s="37"/>
      <c r="BS42" s="37"/>
      <c r="BT42" s="37"/>
      <c r="BU42" s="37"/>
      <c r="BV42" s="37"/>
      <c r="BW42" s="37"/>
      <c r="BX42" s="37">
        <f t="shared" si="75"/>
        <v>138764.57363360326</v>
      </c>
      <c r="BY42" s="39">
        <f t="shared" si="76"/>
        <v>138.76457363360325</v>
      </c>
      <c r="BZ42" s="117">
        <f t="shared" si="77"/>
        <v>0.2852805089647195</v>
      </c>
      <c r="CA42" s="39"/>
      <c r="CB42" s="40"/>
    </row>
    <row r="43" spans="1:80" ht="22.5">
      <c r="A43" s="20">
        <v>4</v>
      </c>
      <c r="B43" s="28" t="s">
        <v>78</v>
      </c>
      <c r="C43" s="30"/>
      <c r="D43" s="418" t="s">
        <v>143</v>
      </c>
      <c r="E43" s="419"/>
      <c r="F43" s="29" t="s">
        <v>172</v>
      </c>
      <c r="G43" s="177">
        <f>D6*6</f>
        <v>6000</v>
      </c>
      <c r="H43" s="30" t="s">
        <v>517</v>
      </c>
      <c r="I43" s="30" t="s">
        <v>504</v>
      </c>
      <c r="J43" s="81">
        <v>2</v>
      </c>
      <c r="K43" s="33">
        <v>3000</v>
      </c>
      <c r="L43" s="34">
        <f t="shared" si="55"/>
        <v>2</v>
      </c>
      <c r="M43" s="35"/>
      <c r="N43" s="35">
        <f t="shared" si="56"/>
        <v>1</v>
      </c>
      <c r="O43" s="36">
        <f t="shared" si="57"/>
        <v>0</v>
      </c>
      <c r="P43" s="36">
        <f t="shared" si="58"/>
        <v>15.975708502024291</v>
      </c>
      <c r="Q43" s="35"/>
      <c r="R43" s="34"/>
      <c r="S43" s="35">
        <v>4</v>
      </c>
      <c r="T43" s="81">
        <f>IF(AND(N43&gt;0,P43&gt;0),SUMIF('Исх.данные'!$C$14:$J$15,S43,'Исх.данные'!$C$34:J56),IF(N43=0,0,IF(S43=0,"РОТ")))</f>
        <v>123.48200709579322</v>
      </c>
      <c r="U43" s="144">
        <f>O43*R43*'Исх.данные'!$C$43%</f>
        <v>0</v>
      </c>
      <c r="V43" s="144">
        <f>P43*T43*'Исх.данные'!$C$44%</f>
        <v>0</v>
      </c>
      <c r="W43" s="144">
        <f t="shared" si="59"/>
        <v>0</v>
      </c>
      <c r="X43" s="145">
        <f t="shared" si="60"/>
        <v>0</v>
      </c>
      <c r="Y43" s="144">
        <f t="shared" si="61"/>
        <v>0</v>
      </c>
      <c r="Z43" s="145">
        <f t="shared" si="62"/>
        <v>98.63562753036439</v>
      </c>
      <c r="AA43" s="144">
        <f t="shared" si="63"/>
        <v>0</v>
      </c>
      <c r="AB43" s="145">
        <f t="shared" si="64"/>
        <v>0</v>
      </c>
      <c r="AC43" s="143">
        <v>2.5</v>
      </c>
      <c r="AD43" s="144">
        <f t="shared" si="65"/>
        <v>0</v>
      </c>
      <c r="AE43" s="144">
        <f t="shared" si="66"/>
        <v>5178.3704453441305</v>
      </c>
      <c r="AF43" s="36">
        <f t="shared" si="67"/>
        <v>0</v>
      </c>
      <c r="AG43" s="74">
        <f t="shared" si="68"/>
        <v>767.165991902834</v>
      </c>
      <c r="AH43" s="36">
        <f t="shared" si="69"/>
        <v>0</v>
      </c>
      <c r="AI43" s="36">
        <f t="shared" si="70"/>
        <v>5945.536437246965</v>
      </c>
      <c r="AJ43" s="36">
        <f t="shared" si="71"/>
        <v>0</v>
      </c>
      <c r="AK43" s="74">
        <f t="shared" si="72"/>
        <v>1825.2796862348182</v>
      </c>
      <c r="AL43" s="36">
        <f t="shared" si="73"/>
        <v>0</v>
      </c>
      <c r="AM43" s="74">
        <f t="shared" si="74"/>
        <v>7770.8161234817835</v>
      </c>
      <c r="AN43" s="33"/>
      <c r="AO43" s="33"/>
      <c r="AP43" s="37"/>
      <c r="AQ43" s="38"/>
      <c r="AR43" s="38"/>
      <c r="AS43" s="37"/>
      <c r="AT43" s="33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>
        <f t="shared" si="26"/>
        <v>0</v>
      </c>
      <c r="BO43" s="37"/>
      <c r="BP43" s="37">
        <f t="shared" si="27"/>
        <v>0</v>
      </c>
      <c r="BQ43" s="37"/>
      <c r="BR43" s="37"/>
      <c r="BS43" s="37"/>
      <c r="BT43" s="37"/>
      <c r="BU43" s="37"/>
      <c r="BV43" s="37"/>
      <c r="BW43" s="37"/>
      <c r="BX43" s="37">
        <f t="shared" si="75"/>
        <v>7770.8161234817835</v>
      </c>
      <c r="BY43" s="39">
        <f t="shared" si="76"/>
        <v>7.770816123481784</v>
      </c>
      <c r="BZ43" s="117">
        <f t="shared" si="77"/>
        <v>0.015975708502024292</v>
      </c>
      <c r="CA43" s="39"/>
      <c r="CB43" s="40"/>
    </row>
    <row r="44" spans="1:80" ht="11.25">
      <c r="A44" s="20">
        <v>5</v>
      </c>
      <c r="B44" s="28" t="s">
        <v>79</v>
      </c>
      <c r="C44" s="30"/>
      <c r="D44" s="418" t="s">
        <v>143</v>
      </c>
      <c r="E44" s="419"/>
      <c r="F44" s="29" t="s">
        <v>172</v>
      </c>
      <c r="G44" s="177">
        <f>G41*2</f>
        <v>1600</v>
      </c>
      <c r="H44" s="30" t="s">
        <v>517</v>
      </c>
      <c r="I44" s="30" t="s">
        <v>504</v>
      </c>
      <c r="J44" s="81">
        <v>26.67</v>
      </c>
      <c r="K44" s="33">
        <v>60</v>
      </c>
      <c r="L44" s="34">
        <f t="shared" si="55"/>
        <v>26.666666666666668</v>
      </c>
      <c r="M44" s="35"/>
      <c r="N44" s="35">
        <f t="shared" si="56"/>
        <v>0.9998750156230471</v>
      </c>
      <c r="O44" s="36">
        <f t="shared" si="57"/>
        <v>0</v>
      </c>
      <c r="P44" s="36">
        <f t="shared" si="58"/>
        <v>213.00944669365722</v>
      </c>
      <c r="Q44" s="35"/>
      <c r="R44" s="34"/>
      <c r="S44" s="35">
        <v>3</v>
      </c>
      <c r="T44" s="81">
        <f>IF(AND(N44&gt;0,P44&gt;0),SUMIF('Исх.данные'!$C$14:$J$15,S44,'Исх.данные'!$C$34:J56),IF(N44=0,0,IF(S44=0,"РОТ")))</f>
        <v>113.60344652812975</v>
      </c>
      <c r="U44" s="144">
        <f>O44*R44*'Исх.данные'!$C$43%</f>
        <v>0</v>
      </c>
      <c r="V44" s="144">
        <f>P44*T44*'Исх.данные'!$C$44%</f>
        <v>0</v>
      </c>
      <c r="W44" s="144">
        <f t="shared" si="59"/>
        <v>0</v>
      </c>
      <c r="X44" s="145">
        <f t="shared" si="60"/>
        <v>0</v>
      </c>
      <c r="Y44" s="144">
        <f t="shared" si="61"/>
        <v>0</v>
      </c>
      <c r="Z44" s="145">
        <f t="shared" si="62"/>
        <v>1209.9303643724697</v>
      </c>
      <c r="AA44" s="144">
        <f t="shared" si="63"/>
        <v>0</v>
      </c>
      <c r="AB44" s="145">
        <f t="shared" si="64"/>
        <v>0</v>
      </c>
      <c r="AC44" s="143">
        <v>2.5</v>
      </c>
      <c r="AD44" s="144">
        <f t="shared" si="65"/>
        <v>0</v>
      </c>
      <c r="AE44" s="144">
        <f t="shared" si="66"/>
        <v>63521.344129554665</v>
      </c>
      <c r="AF44" s="36">
        <f t="shared" si="67"/>
        <v>0</v>
      </c>
      <c r="AG44" s="74">
        <f t="shared" si="68"/>
        <v>9410.569500674763</v>
      </c>
      <c r="AH44" s="36">
        <f t="shared" si="69"/>
        <v>0</v>
      </c>
      <c r="AI44" s="36">
        <f t="shared" si="70"/>
        <v>72931.91363022942</v>
      </c>
      <c r="AJ44" s="36">
        <f t="shared" si="71"/>
        <v>0</v>
      </c>
      <c r="AK44" s="74">
        <f t="shared" si="72"/>
        <v>22390.097484480433</v>
      </c>
      <c r="AL44" s="36">
        <f t="shared" si="73"/>
        <v>0</v>
      </c>
      <c r="AM44" s="74">
        <f t="shared" si="74"/>
        <v>95322.01111470985</v>
      </c>
      <c r="AN44" s="33"/>
      <c r="AO44" s="33"/>
      <c r="AP44" s="37"/>
      <c r="AQ44" s="38"/>
      <c r="AR44" s="38"/>
      <c r="AS44" s="37"/>
      <c r="AT44" s="33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>
        <f t="shared" si="26"/>
        <v>0</v>
      </c>
      <c r="BO44" s="37"/>
      <c r="BP44" s="37">
        <f t="shared" si="27"/>
        <v>0</v>
      </c>
      <c r="BQ44" s="37"/>
      <c r="BR44" s="37"/>
      <c r="BS44" s="37"/>
      <c r="BT44" s="37"/>
      <c r="BU44" s="37"/>
      <c r="BV44" s="37"/>
      <c r="BW44" s="37"/>
      <c r="BX44" s="37">
        <f t="shared" si="75"/>
        <v>95322.01111470985</v>
      </c>
      <c r="BY44" s="39">
        <f t="shared" si="76"/>
        <v>95.32201111470985</v>
      </c>
      <c r="BZ44" s="117">
        <f t="shared" si="77"/>
        <v>0.21300944669365723</v>
      </c>
      <c r="CA44" s="39"/>
      <c r="CB44" s="40"/>
    </row>
    <row r="45" spans="1:80" ht="11.25">
      <c r="A45" s="20">
        <v>6</v>
      </c>
      <c r="B45" s="28" t="s">
        <v>80</v>
      </c>
      <c r="C45" s="30"/>
      <c r="D45" s="418"/>
      <c r="E45" s="419"/>
      <c r="F45" s="29" t="s">
        <v>173</v>
      </c>
      <c r="G45" s="177">
        <f>Нормы!B22*'О-РР'!D6</f>
        <v>960</v>
      </c>
      <c r="H45" s="30" t="s">
        <v>517</v>
      </c>
      <c r="I45" s="30" t="s">
        <v>504</v>
      </c>
      <c r="J45" s="81">
        <v>137.14</v>
      </c>
      <c r="K45" s="33">
        <v>7</v>
      </c>
      <c r="L45" s="34">
        <f t="shared" si="55"/>
        <v>137.14285714285714</v>
      </c>
      <c r="M45" s="35"/>
      <c r="N45" s="35">
        <f t="shared" si="56"/>
        <v>1.0000208337673702</v>
      </c>
      <c r="O45" s="36">
        <f t="shared" si="57"/>
        <v>0</v>
      </c>
      <c r="P45" s="36">
        <f t="shared" si="58"/>
        <v>1095.4771544245227</v>
      </c>
      <c r="Q45" s="35"/>
      <c r="R45" s="34"/>
      <c r="S45" s="35">
        <v>4</v>
      </c>
      <c r="T45" s="81">
        <f>IF(AND(N45&gt;0,P45&gt;0),SUMIF('Исх.данные'!$C$14:$J$15,S45,'Исх.данные'!$C$34:J56),IF(N45=0,0,IF(S45=0,"РОТ")))</f>
        <v>123.48200709579322</v>
      </c>
      <c r="U45" s="144">
        <f>O45*R45*'Исх.данные'!$C$43%</f>
        <v>0</v>
      </c>
      <c r="V45" s="144">
        <f>P45*T45*'Исх.данные'!$C$44%</f>
        <v>0</v>
      </c>
      <c r="W45" s="144">
        <f t="shared" si="59"/>
        <v>0</v>
      </c>
      <c r="X45" s="145">
        <f t="shared" si="60"/>
        <v>0</v>
      </c>
      <c r="Y45" s="144">
        <f t="shared" si="61"/>
        <v>0</v>
      </c>
      <c r="Z45" s="145">
        <f t="shared" si="62"/>
        <v>6763.585887796415</v>
      </c>
      <c r="AA45" s="144">
        <f t="shared" si="63"/>
        <v>0</v>
      </c>
      <c r="AB45" s="145">
        <f t="shared" si="64"/>
        <v>0</v>
      </c>
      <c r="AC45" s="143">
        <v>2.5</v>
      </c>
      <c r="AD45" s="144">
        <f t="shared" si="65"/>
        <v>0</v>
      </c>
      <c r="AE45" s="144">
        <f t="shared" si="66"/>
        <v>355088.25910931174</v>
      </c>
      <c r="AF45" s="36">
        <f t="shared" si="67"/>
        <v>0</v>
      </c>
      <c r="AG45" s="74">
        <f t="shared" si="68"/>
        <v>52605.66801619432</v>
      </c>
      <c r="AH45" s="36">
        <f t="shared" si="69"/>
        <v>0</v>
      </c>
      <c r="AI45" s="36">
        <f t="shared" si="70"/>
        <v>407693.92712550604</v>
      </c>
      <c r="AJ45" s="36">
        <f t="shared" si="71"/>
        <v>0</v>
      </c>
      <c r="AK45" s="74">
        <f t="shared" si="72"/>
        <v>125162.03562753035</v>
      </c>
      <c r="AL45" s="36">
        <f t="shared" si="73"/>
        <v>0</v>
      </c>
      <c r="AM45" s="74">
        <f t="shared" si="74"/>
        <v>532855.9627530364</v>
      </c>
      <c r="AN45" s="33"/>
      <c r="AO45" s="33"/>
      <c r="AP45" s="37"/>
      <c r="AQ45" s="38"/>
      <c r="AR45" s="38"/>
      <c r="AS45" s="37"/>
      <c r="AT45" s="33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>
        <f t="shared" si="26"/>
        <v>0</v>
      </c>
      <c r="BO45" s="37"/>
      <c r="BP45" s="37">
        <f t="shared" si="27"/>
        <v>0</v>
      </c>
      <c r="BQ45" s="37"/>
      <c r="BR45" s="37"/>
      <c r="BS45" s="37"/>
      <c r="BT45" s="37"/>
      <c r="BU45" s="37"/>
      <c r="BV45" s="37"/>
      <c r="BW45" s="37"/>
      <c r="BX45" s="37">
        <f t="shared" si="75"/>
        <v>532855.9627530364</v>
      </c>
      <c r="BY45" s="39">
        <f t="shared" si="76"/>
        <v>532.8559627530365</v>
      </c>
      <c r="BZ45" s="117">
        <f t="shared" si="77"/>
        <v>1.0954771544245228</v>
      </c>
      <c r="CA45" s="39"/>
      <c r="CB45" s="40"/>
    </row>
    <row r="46" spans="1:80" ht="22.5">
      <c r="A46" s="20">
        <v>7</v>
      </c>
      <c r="B46" s="28" t="s">
        <v>81</v>
      </c>
      <c r="C46" s="30"/>
      <c r="D46" s="28" t="s">
        <v>169</v>
      </c>
      <c r="E46" s="31" t="s">
        <v>170</v>
      </c>
      <c r="F46" s="29" t="s">
        <v>173</v>
      </c>
      <c r="G46" s="177">
        <f>D6*Нормы!B22</f>
        <v>960</v>
      </c>
      <c r="H46" s="30" t="s">
        <v>517</v>
      </c>
      <c r="I46" s="30" t="s">
        <v>504</v>
      </c>
      <c r="J46" s="81">
        <v>137.1</v>
      </c>
      <c r="K46" s="33">
        <v>7</v>
      </c>
      <c r="L46" s="34">
        <f t="shared" si="55"/>
        <v>137.14285714285714</v>
      </c>
      <c r="M46" s="35"/>
      <c r="N46" s="35"/>
      <c r="O46" s="36">
        <f t="shared" si="57"/>
        <v>0</v>
      </c>
      <c r="P46" s="36">
        <f t="shared" si="58"/>
        <v>0</v>
      </c>
      <c r="Q46" s="35">
        <v>4</v>
      </c>
      <c r="R46" s="81">
        <f>IF(AND(O46&gt;0,Q46&gt;0),SUMIF('Исх.данные'!$C$14:$H$14,Q46,'Исх.данные'!$C$18:$H$18),IF(O46=0,0,IF(Q46=0,"РОТ")))</f>
        <v>0</v>
      </c>
      <c r="S46" s="35"/>
      <c r="T46" s="34"/>
      <c r="U46" s="144">
        <f>O46*R46*'Исх.данные'!$C$43%</f>
        <v>0</v>
      </c>
      <c r="V46" s="144">
        <f>P46*T46*'Исх.данные'!$C$44%</f>
        <v>0</v>
      </c>
      <c r="W46" s="144">
        <f t="shared" si="59"/>
        <v>0</v>
      </c>
      <c r="X46" s="145">
        <f t="shared" si="60"/>
        <v>0</v>
      </c>
      <c r="Y46" s="144">
        <f t="shared" si="61"/>
        <v>0</v>
      </c>
      <c r="Z46" s="145">
        <f t="shared" si="62"/>
        <v>0</v>
      </c>
      <c r="AA46" s="144">
        <f t="shared" si="63"/>
        <v>0</v>
      </c>
      <c r="AB46" s="145">
        <f t="shared" si="64"/>
        <v>0</v>
      </c>
      <c r="AC46" s="143">
        <v>2.5</v>
      </c>
      <c r="AD46" s="144">
        <f t="shared" si="65"/>
        <v>0</v>
      </c>
      <c r="AE46" s="144">
        <f t="shared" si="66"/>
        <v>0</v>
      </c>
      <c r="AF46" s="36">
        <f t="shared" si="67"/>
        <v>0</v>
      </c>
      <c r="AG46" s="74">
        <f t="shared" si="68"/>
        <v>0</v>
      </c>
      <c r="AH46" s="36">
        <f t="shared" si="69"/>
        <v>0</v>
      </c>
      <c r="AI46" s="36">
        <f t="shared" si="70"/>
        <v>0</v>
      </c>
      <c r="AJ46" s="36">
        <f t="shared" si="71"/>
        <v>0</v>
      </c>
      <c r="AK46" s="74">
        <f t="shared" si="72"/>
        <v>0</v>
      </c>
      <c r="AL46" s="36">
        <f t="shared" si="73"/>
        <v>0</v>
      </c>
      <c r="AM46" s="74">
        <f t="shared" si="74"/>
        <v>0</v>
      </c>
      <c r="AN46" s="33">
        <v>11.9</v>
      </c>
      <c r="AO46" s="34">
        <f>AO16</f>
        <v>0.84</v>
      </c>
      <c r="AP46" s="79">
        <f>(G46*AN46)*AO46/100</f>
        <v>95.9616</v>
      </c>
      <c r="AQ46" s="127" t="s">
        <v>186</v>
      </c>
      <c r="AR46" s="81">
        <f>'Исх.данные'!$G$85</f>
        <v>9559.371428571429</v>
      </c>
      <c r="AS46" s="37">
        <f>AP46*AR46</f>
        <v>917332.5772800001</v>
      </c>
      <c r="AT46" s="33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79">
        <v>2.2</v>
      </c>
      <c r="BG46" s="37">
        <f>BF46*G46</f>
        <v>2112</v>
      </c>
      <c r="BH46" s="79">
        <f>'Исх.данные'!C142</f>
        <v>5.07</v>
      </c>
      <c r="BI46" s="37">
        <f>BG46*BH46</f>
        <v>10707.84</v>
      </c>
      <c r="BJ46" s="37"/>
      <c r="BK46" s="37"/>
      <c r="BL46" s="37"/>
      <c r="BM46" s="37"/>
      <c r="BN46" s="37">
        <f t="shared" si="26"/>
        <v>0</v>
      </c>
      <c r="BO46" s="37"/>
      <c r="BP46" s="37">
        <f t="shared" si="27"/>
        <v>0</v>
      </c>
      <c r="BQ46" s="37"/>
      <c r="BR46" s="37"/>
      <c r="BS46" s="37"/>
      <c r="BT46" s="37"/>
      <c r="BU46" s="37"/>
      <c r="BV46" s="37"/>
      <c r="BW46" s="37"/>
      <c r="BX46" s="37">
        <f t="shared" si="75"/>
        <v>928040.41728</v>
      </c>
      <c r="BY46" s="39">
        <f t="shared" si="76"/>
        <v>928.04041728</v>
      </c>
      <c r="BZ46" s="117">
        <f t="shared" si="77"/>
        <v>0</v>
      </c>
      <c r="CA46" s="39"/>
      <c r="CB46" s="40"/>
    </row>
    <row r="47" spans="1:80" s="65" customFormat="1" ht="11.25">
      <c r="A47" s="62"/>
      <c r="B47" s="55" t="s">
        <v>22</v>
      </c>
      <c r="C47" s="55"/>
      <c r="D47" s="55"/>
      <c r="E47" s="55"/>
      <c r="F47" s="63"/>
      <c r="G47" s="64"/>
      <c r="H47" s="64"/>
      <c r="I47" s="64"/>
      <c r="J47" s="59">
        <f>SUM(J40:J46)</f>
        <v>365.92999999999995</v>
      </c>
      <c r="K47" s="59"/>
      <c r="L47" s="59">
        <f aca="true" t="shared" si="78" ref="L47:BT47">SUM(L40:L46)</f>
        <v>365.9761904761905</v>
      </c>
      <c r="M47" s="59">
        <f t="shared" si="78"/>
        <v>0</v>
      </c>
      <c r="N47" s="59">
        <f t="shared" si="78"/>
        <v>6.0043551651294775</v>
      </c>
      <c r="O47" s="59">
        <f t="shared" si="78"/>
        <v>0</v>
      </c>
      <c r="P47" s="59">
        <f t="shared" si="78"/>
        <v>1827.8873144399458</v>
      </c>
      <c r="Q47" s="59"/>
      <c r="R47" s="59"/>
      <c r="S47" s="59"/>
      <c r="T47" s="59"/>
      <c r="U47" s="59">
        <f t="shared" si="78"/>
        <v>0</v>
      </c>
      <c r="V47" s="59">
        <f t="shared" si="78"/>
        <v>0</v>
      </c>
      <c r="W47" s="59">
        <f t="shared" si="78"/>
        <v>0</v>
      </c>
      <c r="X47" s="59">
        <f t="shared" si="78"/>
        <v>0</v>
      </c>
      <c r="Y47" s="59">
        <f t="shared" si="78"/>
        <v>0</v>
      </c>
      <c r="Z47" s="59">
        <f t="shared" si="78"/>
        <v>11070.57162406015</v>
      </c>
      <c r="AA47" s="59">
        <f t="shared" si="78"/>
        <v>0</v>
      </c>
      <c r="AB47" s="59">
        <f t="shared" si="78"/>
        <v>0</v>
      </c>
      <c r="AC47" s="59"/>
      <c r="AD47" s="59">
        <f t="shared" si="78"/>
        <v>0</v>
      </c>
      <c r="AE47" s="59">
        <f t="shared" si="78"/>
        <v>581205.0102631579</v>
      </c>
      <c r="AF47" s="59">
        <f t="shared" si="78"/>
        <v>0</v>
      </c>
      <c r="AG47" s="59">
        <f t="shared" si="78"/>
        <v>86104.44596491227</v>
      </c>
      <c r="AH47" s="59">
        <f t="shared" si="78"/>
        <v>0</v>
      </c>
      <c r="AI47" s="59">
        <f t="shared" si="78"/>
        <v>667309.4562280702</v>
      </c>
      <c r="AJ47" s="59">
        <f t="shared" si="78"/>
        <v>0</v>
      </c>
      <c r="AK47" s="59">
        <f t="shared" si="78"/>
        <v>204864.00306201755</v>
      </c>
      <c r="AL47" s="59">
        <f t="shared" si="78"/>
        <v>0</v>
      </c>
      <c r="AM47" s="59">
        <f t="shared" si="78"/>
        <v>872173.4592900877</v>
      </c>
      <c r="AN47" s="42"/>
      <c r="AO47" s="59"/>
      <c r="AP47" s="59">
        <f t="shared" si="78"/>
        <v>95.9616</v>
      </c>
      <c r="AQ47" s="59"/>
      <c r="AR47" s="59"/>
      <c r="AS47" s="59">
        <f t="shared" si="78"/>
        <v>917332.5772800001</v>
      </c>
      <c r="AT47" s="59"/>
      <c r="AU47" s="59">
        <f t="shared" si="78"/>
        <v>4.5</v>
      </c>
      <c r="AV47" s="59"/>
      <c r="AW47" s="59">
        <f t="shared" si="78"/>
        <v>22500</v>
      </c>
      <c r="AX47" s="59"/>
      <c r="AY47" s="59">
        <f t="shared" si="78"/>
        <v>0</v>
      </c>
      <c r="AZ47" s="59"/>
      <c r="BA47" s="59">
        <f t="shared" si="78"/>
        <v>0</v>
      </c>
      <c r="BB47" s="42"/>
      <c r="BC47" s="59">
        <f t="shared" si="78"/>
        <v>0</v>
      </c>
      <c r="BD47" s="59"/>
      <c r="BE47" s="59">
        <f t="shared" si="78"/>
        <v>0</v>
      </c>
      <c r="BF47" s="59"/>
      <c r="BG47" s="59">
        <f t="shared" si="78"/>
        <v>2112</v>
      </c>
      <c r="BH47" s="59"/>
      <c r="BI47" s="59">
        <f t="shared" si="78"/>
        <v>10707.84</v>
      </c>
      <c r="BJ47" s="59">
        <f>SUM(BJ40:BJ46)</f>
        <v>0</v>
      </c>
      <c r="BK47" s="59"/>
      <c r="BL47" s="59">
        <f>SUM(BL40:BL46)</f>
        <v>0</v>
      </c>
      <c r="BM47" s="59"/>
      <c r="BN47" s="59">
        <f t="shared" si="78"/>
        <v>0</v>
      </c>
      <c r="BO47" s="59"/>
      <c r="BP47" s="59">
        <f t="shared" si="78"/>
        <v>53711.565196391784</v>
      </c>
      <c r="BQ47" s="59"/>
      <c r="BR47" s="59">
        <f t="shared" si="78"/>
        <v>0</v>
      </c>
      <c r="BS47" s="59"/>
      <c r="BT47" s="59">
        <f t="shared" si="78"/>
        <v>0</v>
      </c>
      <c r="BU47" s="59"/>
      <c r="BV47" s="59">
        <f aca="true" t="shared" si="79" ref="BV47:CB47">SUM(BV40:BV46)</f>
        <v>0</v>
      </c>
      <c r="BW47" s="59">
        <f t="shared" si="79"/>
        <v>48340.408676752624</v>
      </c>
      <c r="BX47" s="59">
        <f t="shared" si="79"/>
        <v>1924765.8504432323</v>
      </c>
      <c r="BY47" s="59"/>
      <c r="BZ47" s="59"/>
      <c r="CA47" s="59"/>
      <c r="CB47" s="59">
        <f t="shared" si="79"/>
        <v>0</v>
      </c>
    </row>
    <row r="48" spans="1:80" s="53" customFormat="1" ht="11.25">
      <c r="A48" s="50"/>
      <c r="B48" s="60" t="s">
        <v>25</v>
      </c>
      <c r="C48" s="60"/>
      <c r="D48" s="60"/>
      <c r="E48" s="60"/>
      <c r="F48" s="51"/>
      <c r="G48" s="52"/>
      <c r="H48" s="52"/>
      <c r="I48" s="52"/>
      <c r="J48" s="78">
        <f>J26+J38+J47</f>
        <v>454.73999999999995</v>
      </c>
      <c r="K48" s="78"/>
      <c r="L48" s="78">
        <f aca="true" t="shared" si="80" ref="L48:BT48">L26+L38+L47</f>
        <v>459.98373817146194</v>
      </c>
      <c r="M48" s="78">
        <f t="shared" si="80"/>
        <v>3.501281994279193</v>
      </c>
      <c r="N48" s="78">
        <f t="shared" si="80"/>
        <v>25.43476153499571</v>
      </c>
      <c r="O48" s="78">
        <f t="shared" si="80"/>
        <v>33.76826228467095</v>
      </c>
      <c r="P48" s="78">
        <f t="shared" si="80"/>
        <v>2564.1615044646583</v>
      </c>
      <c r="Q48" s="78"/>
      <c r="R48" s="78"/>
      <c r="S48" s="78"/>
      <c r="T48" s="78"/>
      <c r="U48" s="78">
        <f t="shared" si="80"/>
        <v>0</v>
      </c>
      <c r="V48" s="78">
        <f t="shared" si="80"/>
        <v>0</v>
      </c>
      <c r="W48" s="78">
        <f t="shared" si="80"/>
        <v>0</v>
      </c>
      <c r="X48" s="78">
        <f t="shared" si="80"/>
        <v>0</v>
      </c>
      <c r="Y48" s="78">
        <f t="shared" si="80"/>
        <v>470.2528969754705</v>
      </c>
      <c r="Z48" s="78">
        <f t="shared" si="80"/>
        <v>15090.88320379832</v>
      </c>
      <c r="AA48" s="78">
        <f t="shared" si="80"/>
        <v>0</v>
      </c>
      <c r="AB48" s="78">
        <f t="shared" si="80"/>
        <v>0</v>
      </c>
      <c r="AC48" s="78"/>
      <c r="AD48" s="78">
        <f t="shared" si="80"/>
        <v>12931.954666825437</v>
      </c>
      <c r="AE48" s="78">
        <f t="shared" si="80"/>
        <v>792271.3681994118</v>
      </c>
      <c r="AF48" s="78">
        <f t="shared" si="80"/>
        <v>1915.84513582599</v>
      </c>
      <c r="AG48" s="78">
        <f t="shared" si="80"/>
        <v>117373.53602954246</v>
      </c>
      <c r="AH48" s="78">
        <f t="shared" si="80"/>
        <v>14847.799802651425</v>
      </c>
      <c r="AI48" s="78">
        <f t="shared" si="80"/>
        <v>909644.9042289542</v>
      </c>
      <c r="AJ48" s="78">
        <f t="shared" si="80"/>
        <v>4558.274539413987</v>
      </c>
      <c r="AK48" s="78">
        <f t="shared" si="80"/>
        <v>279260.98559828894</v>
      </c>
      <c r="AL48" s="78">
        <f t="shared" si="80"/>
        <v>19406.074342065414</v>
      </c>
      <c r="AM48" s="78">
        <f t="shared" si="80"/>
        <v>1188905.889827243</v>
      </c>
      <c r="AN48" s="25"/>
      <c r="AO48" s="78"/>
      <c r="AP48" s="78">
        <f t="shared" si="80"/>
        <v>97.69200000000001</v>
      </c>
      <c r="AQ48" s="78"/>
      <c r="AR48" s="78"/>
      <c r="AS48" s="78">
        <f t="shared" si="80"/>
        <v>933841.0834560001</v>
      </c>
      <c r="AT48" s="78"/>
      <c r="AU48" s="78">
        <f t="shared" si="80"/>
        <v>4.5</v>
      </c>
      <c r="AV48" s="78"/>
      <c r="AW48" s="78">
        <f t="shared" si="80"/>
        <v>22500</v>
      </c>
      <c r="AX48" s="78"/>
      <c r="AY48" s="78">
        <f t="shared" si="80"/>
        <v>50.5</v>
      </c>
      <c r="AZ48" s="78"/>
      <c r="BA48" s="78">
        <f t="shared" si="80"/>
        <v>87673.52</v>
      </c>
      <c r="BB48" s="25"/>
      <c r="BC48" s="78">
        <f t="shared" si="80"/>
        <v>0.1</v>
      </c>
      <c r="BD48" s="78"/>
      <c r="BE48" s="78">
        <f t="shared" si="80"/>
        <v>29.700000000000003</v>
      </c>
      <c r="BF48" s="78"/>
      <c r="BG48" s="78">
        <f t="shared" si="80"/>
        <v>2112</v>
      </c>
      <c r="BH48" s="78"/>
      <c r="BI48" s="78">
        <f t="shared" si="80"/>
        <v>10707.84</v>
      </c>
      <c r="BJ48" s="78">
        <f>BJ26+BJ38+BJ47</f>
        <v>1300</v>
      </c>
      <c r="BK48" s="78"/>
      <c r="BL48" s="78">
        <f>BL26+BL38+BL47</f>
        <v>65000</v>
      </c>
      <c r="BM48" s="78">
        <f t="shared" si="80"/>
        <v>0</v>
      </c>
      <c r="BN48" s="78">
        <f t="shared" si="80"/>
        <v>7338.303618419304</v>
      </c>
      <c r="BO48" s="78"/>
      <c r="BP48" s="78">
        <f t="shared" si="80"/>
        <v>55293.03051860482</v>
      </c>
      <c r="BQ48" s="78"/>
      <c r="BR48" s="78">
        <f t="shared" si="80"/>
        <v>2524.6406818907453</v>
      </c>
      <c r="BS48" s="78"/>
      <c r="BT48" s="78">
        <f t="shared" si="80"/>
        <v>386.4506883140175</v>
      </c>
      <c r="BU48" s="78"/>
      <c r="BV48" s="78">
        <f aca="true" t="shared" si="81" ref="BV48:CB48">BV26+BV38+BV47</f>
        <v>161.50579342817917</v>
      </c>
      <c r="BW48" s="78">
        <f t="shared" si="81"/>
        <v>54547.65474620088</v>
      </c>
      <c r="BX48" s="78">
        <f t="shared" si="81"/>
        <v>2448315.6936721667</v>
      </c>
      <c r="BY48" s="78"/>
      <c r="BZ48" s="78"/>
      <c r="CA48" s="78"/>
      <c r="CB48" s="78">
        <f t="shared" si="81"/>
        <v>25.351666666666667</v>
      </c>
    </row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</sheetData>
  <sheetProtection/>
  <mergeCells count="139">
    <mergeCell ref="D44:E44"/>
    <mergeCell ref="D45:E45"/>
    <mergeCell ref="D37:E37"/>
    <mergeCell ref="D40:E40"/>
    <mergeCell ref="D42:E42"/>
    <mergeCell ref="D43:E43"/>
    <mergeCell ref="D30:E30"/>
    <mergeCell ref="D31:E31"/>
    <mergeCell ref="D32:E32"/>
    <mergeCell ref="D33:E33"/>
    <mergeCell ref="D34:E34"/>
    <mergeCell ref="D36:E36"/>
    <mergeCell ref="D19:E19"/>
    <mergeCell ref="D21:E21"/>
    <mergeCell ref="D22:E22"/>
    <mergeCell ref="D24:E24"/>
    <mergeCell ref="D25:E25"/>
    <mergeCell ref="D29:E29"/>
    <mergeCell ref="AL9:AM10"/>
    <mergeCell ref="BO12:BO13"/>
    <mergeCell ref="BP12:BP13"/>
    <mergeCell ref="AD11:AD13"/>
    <mergeCell ref="AE11:AE13"/>
    <mergeCell ref="BM12:BM13"/>
    <mergeCell ref="BN12:BN13"/>
    <mergeCell ref="AF12:AF13"/>
    <mergeCell ref="AG12:AG13"/>
    <mergeCell ref="AJ9:AK10"/>
    <mergeCell ref="BY11:BY13"/>
    <mergeCell ref="CA11:CA13"/>
    <mergeCell ref="CB11:CB13"/>
    <mergeCell ref="BZ9:BZ13"/>
    <mergeCell ref="BX9:BY10"/>
    <mergeCell ref="CA9:CB10"/>
    <mergeCell ref="BX11:BX13"/>
    <mergeCell ref="BO11:BP11"/>
    <mergeCell ref="BQ11:BR11"/>
    <mergeCell ref="BQ12:BQ13"/>
    <mergeCell ref="BR12:BR13"/>
    <mergeCell ref="AP11:AP13"/>
    <mergeCell ref="AQ11:AQ13"/>
    <mergeCell ref="BH11:BH13"/>
    <mergeCell ref="BI11:BI13"/>
    <mergeCell ref="AW11:AW13"/>
    <mergeCell ref="BF11:BF13"/>
    <mergeCell ref="AC9:AE10"/>
    <mergeCell ref="AC11:AC13"/>
    <mergeCell ref="BQ9:BW10"/>
    <mergeCell ref="BU11:BV11"/>
    <mergeCell ref="BW11:BW13"/>
    <mergeCell ref="BU12:BU13"/>
    <mergeCell ref="BV12:BV13"/>
    <mergeCell ref="BS11:BT11"/>
    <mergeCell ref="BS12:BS13"/>
    <mergeCell ref="BT12:BT13"/>
    <mergeCell ref="AA9:AB10"/>
    <mergeCell ref="W9:X10"/>
    <mergeCell ref="Y9:Z10"/>
    <mergeCell ref="W12:W13"/>
    <mergeCell ref="X12:X13"/>
    <mergeCell ref="Y12:Y13"/>
    <mergeCell ref="Z12:Z13"/>
    <mergeCell ref="AB12:AB13"/>
    <mergeCell ref="C11:E11"/>
    <mergeCell ref="AF9:AG10"/>
    <mergeCell ref="AH9:AI10"/>
    <mergeCell ref="AA11:AB11"/>
    <mergeCell ref="M9:N10"/>
    <mergeCell ref="O9:P10"/>
    <mergeCell ref="Q9:T10"/>
    <mergeCell ref="V11:V13"/>
    <mergeCell ref="U11:U13"/>
    <mergeCell ref="W11:X11"/>
    <mergeCell ref="N11:N13"/>
    <mergeCell ref="O12:O13"/>
    <mergeCell ref="A9:A13"/>
    <mergeCell ref="B9:E10"/>
    <mergeCell ref="F9:F13"/>
    <mergeCell ref="G9:G13"/>
    <mergeCell ref="C12:C13"/>
    <mergeCell ref="D12:D13"/>
    <mergeCell ref="E12:E13"/>
    <mergeCell ref="B11:B13"/>
    <mergeCell ref="AX9:BA10"/>
    <mergeCell ref="BB9:BE10"/>
    <mergeCell ref="H9:I10"/>
    <mergeCell ref="U9:V10"/>
    <mergeCell ref="J9:J13"/>
    <mergeCell ref="K9:K13"/>
    <mergeCell ref="L9:L13"/>
    <mergeCell ref="T12:T13"/>
    <mergeCell ref="Q11:R11"/>
    <mergeCell ref="S11:T11"/>
    <mergeCell ref="BD11:BD13"/>
    <mergeCell ref="BE11:BE13"/>
    <mergeCell ref="O11:P11"/>
    <mergeCell ref="AA12:AA13"/>
    <mergeCell ref="BM9:BP10"/>
    <mergeCell ref="AR11:AR13"/>
    <mergeCell ref="AN11:AN13"/>
    <mergeCell ref="AO11:AO13"/>
    <mergeCell ref="AS11:AS13"/>
    <mergeCell ref="AT11:AT13"/>
    <mergeCell ref="AU11:AU13"/>
    <mergeCell ref="AV11:AV13"/>
    <mergeCell ref="P12:P13"/>
    <mergeCell ref="Q12:Q13"/>
    <mergeCell ref="R12:R13"/>
    <mergeCell ref="S12:S13"/>
    <mergeCell ref="AJ12:AJ13"/>
    <mergeCell ref="AK12:AK13"/>
    <mergeCell ref="AH11:AH13"/>
    <mergeCell ref="AI11:AI13"/>
    <mergeCell ref="BM11:BN11"/>
    <mergeCell ref="B39:E39"/>
    <mergeCell ref="B14:E14"/>
    <mergeCell ref="B15:E15"/>
    <mergeCell ref="B27:E27"/>
    <mergeCell ref="H11:H13"/>
    <mergeCell ref="I11:I13"/>
    <mergeCell ref="M11:M13"/>
    <mergeCell ref="AF11:AG11"/>
    <mergeCell ref="AJ11:AK11"/>
    <mergeCell ref="BJ9:BL10"/>
    <mergeCell ref="BJ11:BJ13"/>
    <mergeCell ref="BK11:BK13"/>
    <mergeCell ref="BL11:BL13"/>
    <mergeCell ref="AL11:AL13"/>
    <mergeCell ref="AM11:AM13"/>
    <mergeCell ref="AN9:AS10"/>
    <mergeCell ref="BG11:BG13"/>
    <mergeCell ref="AT9:AW10"/>
    <mergeCell ref="BF9:BI10"/>
    <mergeCell ref="AX11:AX13"/>
    <mergeCell ref="AY11:AY13"/>
    <mergeCell ref="BB11:BB13"/>
    <mergeCell ref="BC11:BC13"/>
    <mergeCell ref="AZ11:AZ13"/>
    <mergeCell ref="BA11:BA13"/>
  </mergeCells>
  <conditionalFormatting sqref="AP46:AQ46 AP16:AQ24 AN39:AR45 AL16:AM25 AL15:AS15 H15:I48 AS16:AS25 U28:AM37 U40:AM46 J15:J46 K27:L27 G15 G47:G48 G26:G27 G38:G39 K15:L15 K39:L39 K38:CB38 O39:P39 O15:P15 R39:R45 R15 R21 S17:S25 R25 Q15:Q25 O27:P27 Q27:S37 Q39:Q46 T46 S39:S46 K26:CB26 J47:CB48 T27:AM27 T39:AM39 AF15:AK25 S15:AE16 U17:AE25 AP25:AR25 AN27:CB37 AS39:CB46 M15:N25 M27:N37 M39:N46 AT15:CB25">
    <cfRule type="cellIs" priority="3" dxfId="0" operator="greaterThan" stopIfTrue="1">
      <formula>0</formula>
    </cfRule>
  </conditionalFormatting>
  <conditionalFormatting sqref="AN16:AN25 AN46 K16:K25 K28:K37 K40:K46">
    <cfRule type="cellIs" priority="4" dxfId="10" operator="greaterThan" stopIfTrue="1">
      <formula>0</formula>
    </cfRule>
  </conditionalFormatting>
  <conditionalFormatting sqref="D28 E35 E26 E16:E18 E20 E23 E41">
    <cfRule type="cellIs" priority="5" dxfId="33" operator="equal" stopIfTrue="1">
      <formula>0</formula>
    </cfRule>
  </conditionalFormatting>
  <conditionalFormatting sqref="O16:P25 O28:P37 O40:P46">
    <cfRule type="cellIs" priority="6" dxfId="35" operator="greaterThan" stopIfTrue="1">
      <formula>0</formula>
    </cfRule>
  </conditionalFormatting>
  <conditionalFormatting sqref="E20">
    <cfRule type="cellIs" priority="2" dxfId="33" operator="equal" stopIfTrue="1">
      <formula>0</formula>
    </cfRule>
  </conditionalFormatting>
  <conditionalFormatting sqref="E23">
    <cfRule type="cellIs" priority="1" dxfId="33" operator="equal" stopIfTrue="1">
      <formula>0</formula>
    </cfRule>
  </conditionalFormatting>
  <dataValidations count="1">
    <dataValidation type="list" allowBlank="1" showInputMessage="1" showErrorMessage="1" sqref="AQ46 AQ25:AR25 AQ39:AR45 AQ16:AQ24">
      <formula1>#REF!</formula1>
    </dataValidation>
  </dataValidations>
  <printOptions/>
  <pageMargins left="0.2755905511811024" right="0.2362204724409449" top="0.35433070866141736" bottom="0.3937007874015748" header="0.5118110236220472" footer="0.3937007874015748"/>
  <pageSetup fitToWidth="0" fitToHeight="1" horizontalDpi="600" verticalDpi="600" orientation="landscape" paperSize="9" scale="64" r:id="rId3"/>
  <headerFooter alignWithMargins="0">
    <oddFooter>&amp;LОтдел СЭР села ЯНИИСХ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Z39"/>
  <sheetViews>
    <sheetView view="pageBreakPreview" zoomScale="90" zoomScaleSheetLayoutView="90" workbookViewId="0" topLeftCell="A1">
      <selection activeCell="A1" sqref="A1:D1"/>
    </sheetView>
  </sheetViews>
  <sheetFormatPr defaultColWidth="9.00390625" defaultRowHeight="12.75"/>
  <cols>
    <col min="1" max="1" width="50.375" style="99" bestFit="1" customWidth="1"/>
    <col min="2" max="3" width="12.125" style="99" customWidth="1"/>
    <col min="4" max="4" width="10.875" style="99" bestFit="1" customWidth="1"/>
    <col min="5" max="5" width="12.00390625" style="99" customWidth="1"/>
    <col min="6" max="16384" width="9.125" style="99" customWidth="1"/>
  </cols>
  <sheetData>
    <row r="1" spans="1:78" s="1" customFormat="1" ht="21.75" customHeight="1">
      <c r="A1" s="420" t="s">
        <v>652</v>
      </c>
      <c r="B1" s="420"/>
      <c r="C1" s="420"/>
      <c r="D1" s="420"/>
      <c r="F1" s="2"/>
      <c r="H1" s="100"/>
      <c r="S1" s="3"/>
      <c r="AT1" s="4"/>
      <c r="AU1" s="101"/>
      <c r="AV1" s="101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ht="12.75">
      <c r="A2" s="48"/>
      <c r="B2" s="48"/>
      <c r="C2" s="48"/>
      <c r="F2" s="2"/>
      <c r="H2" s="100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ht="12.75">
      <c r="A3" s="100"/>
      <c r="B3" s="100"/>
      <c r="C3" s="100"/>
      <c r="F3" s="2"/>
      <c r="H3" s="100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>
      <c r="A4" s="48" t="s">
        <v>83</v>
      </c>
      <c r="B4" s="48"/>
      <c r="C4" s="48"/>
      <c r="F4" s="2"/>
      <c r="H4" s="48"/>
      <c r="N4" s="48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>
      <c r="A5" s="48" t="s">
        <v>410</v>
      </c>
      <c r="B5" s="48"/>
      <c r="C5" s="48"/>
      <c r="F5" s="2"/>
      <c r="H5" s="48"/>
      <c r="N5" s="48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7" s="1" customFormat="1" ht="12.75" customHeight="1">
      <c r="A6" s="48" t="s">
        <v>414</v>
      </c>
      <c r="B6" s="3">
        <f>'О-РР'!D6</f>
        <v>1000</v>
      </c>
      <c r="F6" s="4"/>
      <c r="M6" s="48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7" s="1" customFormat="1" ht="12.75" customHeight="1">
      <c r="A7" s="1" t="s">
        <v>415</v>
      </c>
      <c r="B7" s="3">
        <f>'О-РР'!J6</f>
        <v>250</v>
      </c>
      <c r="D7" s="2"/>
      <c r="M7" s="48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7" s="1" customFormat="1" ht="12.75" customHeight="1">
      <c r="A8" s="47" t="s">
        <v>411</v>
      </c>
      <c r="B8" s="119">
        <f>B6*B7</f>
        <v>250000</v>
      </c>
      <c r="D8" s="2"/>
      <c r="M8" s="48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5" customFormat="1" ht="12.75" customHeight="1">
      <c r="A9" s="102"/>
      <c r="B9" s="102"/>
      <c r="C9" s="102"/>
      <c r="F9" s="104"/>
      <c r="G9" s="1"/>
      <c r="H9" s="103"/>
      <c r="M9" s="1"/>
      <c r="N9" s="1"/>
      <c r="P9" s="1"/>
      <c r="S9" s="106"/>
      <c r="AT9" s="107"/>
      <c r="AU9" s="107"/>
      <c r="AV9" s="107"/>
      <c r="AW9" s="107"/>
      <c r="AX9" s="107"/>
      <c r="AY9" s="107"/>
      <c r="AZ9" s="107"/>
      <c r="BA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8"/>
    </row>
    <row r="10" spans="1:4" s="91" customFormat="1" ht="33.75" customHeight="1">
      <c r="A10" s="109"/>
      <c r="B10" s="89" t="s">
        <v>25</v>
      </c>
      <c r="C10" s="90" t="s">
        <v>420</v>
      </c>
      <c r="D10" s="90" t="s">
        <v>382</v>
      </c>
    </row>
    <row r="11" spans="1:4" s="95" customFormat="1" ht="12.75">
      <c r="A11" s="92" t="s">
        <v>397</v>
      </c>
      <c r="B11" s="93">
        <f>'О-РР'!AL48+'О-РР'!AM48</f>
        <v>1208311.9641693085</v>
      </c>
      <c r="C11" s="94">
        <f aca="true" t="shared" si="0" ref="C11:C28">B11/$B$6</f>
        <v>1208.3119641693086</v>
      </c>
      <c r="D11" s="113">
        <f aca="true" t="shared" si="1" ref="D11:D27">B11/$B$28%</f>
        <v>46.13268906308517</v>
      </c>
    </row>
    <row r="12" spans="1:4" s="95" customFormat="1" ht="12.75">
      <c r="A12" s="96" t="s">
        <v>393</v>
      </c>
      <c r="B12" s="94">
        <f>'О-РР'!AW48</f>
        <v>22500</v>
      </c>
      <c r="C12" s="94">
        <f t="shared" si="0"/>
        <v>22.5</v>
      </c>
      <c r="D12" s="113">
        <f t="shared" si="1"/>
        <v>0.8590376779336216</v>
      </c>
    </row>
    <row r="13" spans="1:4" s="95" customFormat="1" ht="12.75">
      <c r="A13" s="96" t="s">
        <v>394</v>
      </c>
      <c r="B13" s="94">
        <f>'О-РР'!BA48</f>
        <v>87673.52</v>
      </c>
      <c r="C13" s="94">
        <f t="shared" si="0"/>
        <v>87.67352000000001</v>
      </c>
      <c r="D13" s="113">
        <f t="shared" si="1"/>
        <v>3.347326979425197</v>
      </c>
    </row>
    <row r="14" spans="1:7" s="95" customFormat="1" ht="12.75">
      <c r="A14" s="96" t="s">
        <v>405</v>
      </c>
      <c r="B14" s="94">
        <f>'О-РР'!BE48</f>
        <v>29.700000000000003</v>
      </c>
      <c r="C14" s="94">
        <f t="shared" si="0"/>
        <v>0.029700000000000004</v>
      </c>
      <c r="D14" s="113">
        <f t="shared" si="1"/>
        <v>0.0011339297348723807</v>
      </c>
      <c r="G14" s="293"/>
    </row>
    <row r="15" spans="1:4" s="95" customFormat="1" ht="12.75">
      <c r="A15" s="96" t="s">
        <v>395</v>
      </c>
      <c r="B15" s="94">
        <f>B16+B19+B22+B23</f>
        <v>1064800.5095028582</v>
      </c>
      <c r="C15" s="94">
        <f t="shared" si="0"/>
        <v>1064.8005095028582</v>
      </c>
      <c r="D15" s="113">
        <f t="shared" si="1"/>
        <v>40.65350031759433</v>
      </c>
    </row>
    <row r="16" spans="1:4" ht="12.75">
      <c r="A16" s="97" t="s">
        <v>376</v>
      </c>
      <c r="B16" s="98">
        <f>SUM(B17:B18)</f>
        <v>62631.334137024125</v>
      </c>
      <c r="C16" s="98">
        <f t="shared" si="0"/>
        <v>62.631334137024126</v>
      </c>
      <c r="D16" s="114">
        <f t="shared" si="1"/>
        <v>2.391230037464621</v>
      </c>
    </row>
    <row r="17" spans="1:4" ht="12.75">
      <c r="A17" s="110" t="s">
        <v>383</v>
      </c>
      <c r="B17" s="98">
        <f>'О-РР'!BN48</f>
        <v>7338.303618419304</v>
      </c>
      <c r="C17" s="98">
        <f t="shared" si="0"/>
        <v>7.338303618419304</v>
      </c>
      <c r="D17" s="114">
        <f t="shared" si="1"/>
        <v>0.28017241334839166</v>
      </c>
    </row>
    <row r="18" spans="1:4" ht="12.75">
      <c r="A18" s="110" t="s">
        <v>384</v>
      </c>
      <c r="B18" s="98">
        <f>'О-РР'!BP48</f>
        <v>55293.03051860482</v>
      </c>
      <c r="C18" s="98">
        <f t="shared" si="0"/>
        <v>55.29303051860482</v>
      </c>
      <c r="D18" s="114">
        <f t="shared" si="1"/>
        <v>2.111057624116229</v>
      </c>
    </row>
    <row r="19" spans="1:4" ht="12.75">
      <c r="A19" s="97" t="s">
        <v>377</v>
      </c>
      <c r="B19" s="98">
        <f>SUM(B20:B21)</f>
        <v>57620.25190983382</v>
      </c>
      <c r="C19" s="98">
        <f t="shared" si="0"/>
        <v>57.620251909833826</v>
      </c>
      <c r="D19" s="114">
        <f t="shared" si="1"/>
        <v>2.199909662336621</v>
      </c>
    </row>
    <row r="20" spans="1:4" ht="12.75">
      <c r="A20" s="110" t="s">
        <v>383</v>
      </c>
      <c r="B20" s="98">
        <f>'О-РР'!BR48+'О-РР'!BT48+'О-РР'!BV48</f>
        <v>3072.597163632942</v>
      </c>
      <c r="C20" s="98">
        <f t="shared" si="0"/>
        <v>3.072597163632942</v>
      </c>
      <c r="D20" s="114">
        <f t="shared" si="1"/>
        <v>0.11731007700767442</v>
      </c>
    </row>
    <row r="21" spans="1:4" ht="12.75">
      <c r="A21" s="110" t="s">
        <v>384</v>
      </c>
      <c r="B21" s="98">
        <f>'О-РР'!BW48</f>
        <v>54547.65474620088</v>
      </c>
      <c r="C21" s="98">
        <f t="shared" si="0"/>
        <v>54.547654746200884</v>
      </c>
      <c r="D21" s="114">
        <f t="shared" si="1"/>
        <v>2.0825995853289467</v>
      </c>
    </row>
    <row r="22" spans="1:4" ht="12.75">
      <c r="A22" s="97" t="s">
        <v>368</v>
      </c>
      <c r="B22" s="116">
        <f>'О-РР'!AS48</f>
        <v>933841.0834560001</v>
      </c>
      <c r="C22" s="98">
        <f t="shared" si="0"/>
        <v>933.8410834560001</v>
      </c>
      <c r="D22" s="114">
        <f t="shared" si="1"/>
        <v>35.653541150713764</v>
      </c>
    </row>
    <row r="23" spans="1:4" ht="12" customHeight="1">
      <c r="A23" s="97" t="s">
        <v>396</v>
      </c>
      <c r="B23" s="116">
        <f>'О-РР'!BI48</f>
        <v>10707.84</v>
      </c>
      <c r="C23" s="98">
        <f t="shared" si="0"/>
        <v>10.707840000000001</v>
      </c>
      <c r="D23" s="114">
        <f t="shared" si="1"/>
        <v>0.40881946707932226</v>
      </c>
    </row>
    <row r="24" spans="1:4" s="95" customFormat="1" ht="12.75">
      <c r="A24" s="96" t="s">
        <v>385</v>
      </c>
      <c r="B24" s="94">
        <f>SUM(B25:B25)</f>
        <v>7800</v>
      </c>
      <c r="C24" s="94">
        <f t="shared" si="0"/>
        <v>7.8</v>
      </c>
      <c r="D24" s="113">
        <f t="shared" si="1"/>
        <v>0.29779972835032215</v>
      </c>
    </row>
    <row r="25" spans="1:4" ht="12.75">
      <c r="A25" s="110" t="s">
        <v>424</v>
      </c>
      <c r="B25" s="98">
        <f>'О-РР'!G32*6</f>
        <v>7800</v>
      </c>
      <c r="C25" s="98">
        <f t="shared" si="0"/>
        <v>7.8</v>
      </c>
      <c r="D25" s="114">
        <f t="shared" si="1"/>
        <v>0.29779972835032215</v>
      </c>
    </row>
    <row r="26" spans="1:4" s="95" customFormat="1" ht="12.75">
      <c r="A26" s="96" t="s">
        <v>386</v>
      </c>
      <c r="B26" s="94">
        <f>B11+B12+B13+B15+B24+B14</f>
        <v>2391115.693672167</v>
      </c>
      <c r="C26" s="94">
        <f t="shared" si="0"/>
        <v>2391.1156936721673</v>
      </c>
      <c r="D26" s="113">
        <f t="shared" si="1"/>
        <v>91.29148769612353</v>
      </c>
    </row>
    <row r="27" spans="1:6" s="95" customFormat="1" ht="12.75">
      <c r="A27" s="96" t="s">
        <v>387</v>
      </c>
      <c r="B27" s="94">
        <f>(B26-B12-B13)*10%</f>
        <v>228094.2173672167</v>
      </c>
      <c r="C27" s="94">
        <f t="shared" si="0"/>
        <v>228.09421736721671</v>
      </c>
      <c r="D27" s="113">
        <f t="shared" si="1"/>
        <v>8.708512303876471</v>
      </c>
      <c r="E27" s="94">
        <f>B27/(B26-B12-B13)*100</f>
        <v>10</v>
      </c>
      <c r="F27" s="95">
        <v>500869.30717806984</v>
      </c>
    </row>
    <row r="28" spans="1:4" s="95" customFormat="1" ht="12.75">
      <c r="A28" s="96" t="s">
        <v>388</v>
      </c>
      <c r="B28" s="94">
        <f>B26+B27</f>
        <v>2619209.911039384</v>
      </c>
      <c r="C28" s="94">
        <f t="shared" si="0"/>
        <v>2619.209911039384</v>
      </c>
      <c r="D28" s="113">
        <f>D26+D27</f>
        <v>100</v>
      </c>
    </row>
    <row r="29" spans="1:4" ht="12.75">
      <c r="A29" s="97" t="s">
        <v>418</v>
      </c>
      <c r="B29" s="98">
        <f>B28/B6</f>
        <v>2619.209911039384</v>
      </c>
      <c r="C29" s="98"/>
      <c r="D29" s="98"/>
    </row>
    <row r="30" spans="1:4" ht="12.75">
      <c r="A30" s="97" t="s">
        <v>419</v>
      </c>
      <c r="B30" s="191">
        <f>B28/(B8/1000)</f>
        <v>10476.839644157537</v>
      </c>
      <c r="C30" s="98"/>
      <c r="D30" s="98"/>
    </row>
    <row r="31" spans="1:4" ht="12.75">
      <c r="A31" s="97" t="s">
        <v>391</v>
      </c>
      <c r="B31" s="98">
        <f>'О-РР'!O48+'О-РР'!P48</f>
        <v>2597.9297667493292</v>
      </c>
      <c r="C31" s="98"/>
      <c r="D31" s="98"/>
    </row>
    <row r="32" spans="1:4" ht="12.75">
      <c r="A32" s="110" t="s">
        <v>420</v>
      </c>
      <c r="B32" s="98">
        <f>B31/B6</f>
        <v>2.597929766749329</v>
      </c>
      <c r="C32" s="98"/>
      <c r="D32" s="98"/>
    </row>
    <row r="33" spans="1:4" ht="12.75">
      <c r="A33" s="110" t="s">
        <v>421</v>
      </c>
      <c r="B33" s="98">
        <f>B31/(B8/1000)</f>
        <v>10.391719066997316</v>
      </c>
      <c r="C33" s="98"/>
      <c r="D33" s="98"/>
    </row>
    <row r="34" spans="1:4" ht="12.75">
      <c r="A34" s="97" t="s">
        <v>399</v>
      </c>
      <c r="B34" s="98">
        <f>('О-РР'!AH48+'О-РР'!AI48)/B31</f>
        <v>355.85746615020355</v>
      </c>
      <c r="C34" s="98"/>
      <c r="D34" s="98"/>
    </row>
    <row r="35" spans="1:4" ht="12.75">
      <c r="A35" s="111" t="s">
        <v>380</v>
      </c>
      <c r="B35" s="98">
        <f>'О-РР'!AH48/'О-РР'!O48</f>
        <v>439.696886901745</v>
      </c>
      <c r="C35" s="98"/>
      <c r="D35" s="98"/>
    </row>
    <row r="36" spans="1:4" ht="12.75">
      <c r="A36" s="112" t="s">
        <v>381</v>
      </c>
      <c r="B36" s="98">
        <f>'О-РР'!AI48/'О-РР'!P48</f>
        <v>354.7533580256555</v>
      </c>
      <c r="C36" s="98"/>
      <c r="D36" s="98"/>
    </row>
    <row r="37" spans="1:4" ht="12.75">
      <c r="A37" s="97" t="s">
        <v>392</v>
      </c>
      <c r="B37" s="98">
        <f>B34*'Исх.данные'!B6</f>
        <v>58508.89839286263</v>
      </c>
      <c r="C37" s="98"/>
      <c r="D37" s="98"/>
    </row>
    <row r="38" spans="1:4" ht="12.75">
      <c r="A38" s="111" t="s">
        <v>380</v>
      </c>
      <c r="B38" s="116">
        <f>B35*'Исх.данные'!B6</f>
        <v>72293.49648809523</v>
      </c>
      <c r="C38" s="97"/>
      <c r="D38" s="97"/>
    </row>
    <row r="39" spans="1:4" ht="12.75" customHeight="1">
      <c r="A39" s="112" t="s">
        <v>381</v>
      </c>
      <c r="B39" s="116">
        <f>B36*'Исх.данные'!B6</f>
        <v>58327.36461538485</v>
      </c>
      <c r="C39" s="97"/>
      <c r="D39" s="9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&amp;LОтдел СЭР села ЯНИИСХ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B48"/>
  <sheetViews>
    <sheetView view="pageBreakPreview" zoomScale="90" zoomScaleSheetLayoutView="90" zoomScalePageLayoutView="0" workbookViewId="0" topLeftCell="A1">
      <pane xSplit="5" ySplit="15" topLeftCell="AG31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B2" sqref="B2"/>
    </sheetView>
  </sheetViews>
  <sheetFormatPr defaultColWidth="9.00390625" defaultRowHeight="12.75"/>
  <cols>
    <col min="1" max="1" width="3.875" style="15" customWidth="1"/>
    <col min="2" max="2" width="28.75390625" style="13" customWidth="1"/>
    <col min="3" max="3" width="6.125" style="13" bestFit="1" customWidth="1"/>
    <col min="4" max="4" width="7.25390625" style="13" customWidth="1"/>
    <col min="5" max="5" width="6.00390625" style="13" customWidth="1"/>
    <col min="6" max="6" width="6.875" style="15" customWidth="1"/>
    <col min="7" max="9" width="6.125" style="13" customWidth="1"/>
    <col min="10" max="10" width="5.375" style="13" customWidth="1"/>
    <col min="11" max="11" width="8.125" style="13" customWidth="1"/>
    <col min="12" max="16" width="6.125" style="13" customWidth="1"/>
    <col min="17" max="17" width="6.125" style="18" customWidth="1"/>
    <col min="18" max="20" width="6.125" style="13" customWidth="1"/>
    <col min="21" max="21" width="9.00390625" style="13" customWidth="1"/>
    <col min="22" max="22" width="8.375" style="13" customWidth="1"/>
    <col min="23" max="30" width="6.125" style="13" customWidth="1"/>
    <col min="31" max="31" width="7.25390625" style="13" customWidth="1"/>
    <col min="32" max="32" width="6.00390625" style="13" customWidth="1"/>
    <col min="33" max="33" width="6.125" style="13" customWidth="1"/>
    <col min="34" max="35" width="8.25390625" style="13" customWidth="1"/>
    <col min="36" max="36" width="6.125" style="13" customWidth="1"/>
    <col min="37" max="37" width="6.875" style="13" customWidth="1"/>
    <col min="38" max="38" width="8.00390625" style="13" customWidth="1"/>
    <col min="39" max="39" width="7.375" style="13" customWidth="1"/>
    <col min="40" max="41" width="6.125" style="13" customWidth="1"/>
    <col min="42" max="42" width="7.25390625" style="16" customWidth="1"/>
    <col min="43" max="43" width="6.375" style="45" customWidth="1"/>
    <col min="44" max="44" width="8.75390625" style="45" customWidth="1"/>
    <col min="45" max="45" width="8.875" style="16" customWidth="1"/>
    <col min="46" max="46" width="8.375" style="13" customWidth="1"/>
    <col min="47" max="47" width="5.25390625" style="16" customWidth="1"/>
    <col min="48" max="48" width="6.625" style="16" customWidth="1"/>
    <col min="49" max="49" width="7.375" style="16" customWidth="1"/>
    <col min="50" max="50" width="5.00390625" style="16" customWidth="1"/>
    <col min="51" max="51" width="5.125" style="16" customWidth="1"/>
    <col min="52" max="52" width="4.875" style="16" customWidth="1"/>
    <col min="53" max="53" width="7.375" style="16" customWidth="1"/>
    <col min="54" max="54" width="4.875" style="16" customWidth="1"/>
    <col min="55" max="55" width="5.375" style="16" customWidth="1"/>
    <col min="56" max="56" width="5.125" style="16" customWidth="1"/>
    <col min="57" max="57" width="7.75390625" style="16" customWidth="1"/>
    <col min="58" max="58" width="5.25390625" style="16" customWidth="1"/>
    <col min="59" max="59" width="6.125" style="16" customWidth="1"/>
    <col min="60" max="60" width="5.75390625" style="16" customWidth="1"/>
    <col min="61" max="62" width="7.375" style="16" customWidth="1"/>
    <col min="63" max="63" width="6.00390625" style="16" customWidth="1"/>
    <col min="64" max="64" width="7.375" style="16" customWidth="1"/>
    <col min="65" max="65" width="7.00390625" style="16" customWidth="1"/>
    <col min="66" max="68" width="7.375" style="16" customWidth="1"/>
    <col min="69" max="69" width="6.125" style="16" customWidth="1"/>
    <col min="70" max="75" width="7.375" style="16" customWidth="1"/>
    <col min="76" max="76" width="8.75390625" style="16" customWidth="1"/>
    <col min="77" max="78" width="7.375" style="16" customWidth="1"/>
    <col min="79" max="79" width="9.00390625" style="17" customWidth="1"/>
    <col min="80" max="16384" width="9.125" style="13" customWidth="1"/>
  </cols>
  <sheetData>
    <row r="1" spans="2:79" s="7" customFormat="1" ht="15.75">
      <c r="B1" s="49" t="s">
        <v>665</v>
      </c>
      <c r="E1" s="8"/>
      <c r="G1" s="6"/>
      <c r="Q1" s="46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11"/>
    </row>
    <row r="2" spans="2:79" s="7" customFormat="1" ht="15.75">
      <c r="B2" s="49" t="s">
        <v>51</v>
      </c>
      <c r="E2" s="8"/>
      <c r="G2" s="6"/>
      <c r="Q2" s="46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1"/>
    </row>
    <row r="3" spans="2:79" s="7" customFormat="1" ht="15.75">
      <c r="B3" s="6"/>
      <c r="E3" s="8"/>
      <c r="G3" s="6"/>
      <c r="Q3" s="46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/>
    </row>
    <row r="4" spans="2:79" s="1" customFormat="1" ht="12.75" customHeight="1">
      <c r="B4" s="48" t="s">
        <v>84</v>
      </c>
      <c r="E4" s="2"/>
      <c r="G4" s="48"/>
      <c r="L4" s="48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</row>
    <row r="5" spans="2:79" s="1" customFormat="1" ht="12.75" customHeight="1">
      <c r="B5" s="48" t="s">
        <v>422</v>
      </c>
      <c r="E5" s="2"/>
      <c r="G5" s="48"/>
      <c r="L5" s="48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</row>
    <row r="6" spans="2:79" s="1" customFormat="1" ht="12.75" customHeight="1">
      <c r="B6" s="48" t="s">
        <v>423</v>
      </c>
      <c r="D6" s="1">
        <v>1200</v>
      </c>
      <c r="E6" s="2"/>
      <c r="F6" s="1" t="s">
        <v>415</v>
      </c>
      <c r="G6" s="48"/>
      <c r="J6" s="1">
        <f>Нормы!B34</f>
        <v>250</v>
      </c>
      <c r="L6" s="48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/>
    </row>
    <row r="7" spans="2:44" ht="12.75" customHeight="1">
      <c r="B7" s="47" t="s">
        <v>411</v>
      </c>
      <c r="D7" s="13">
        <f>D6*J6</f>
        <v>300000</v>
      </c>
      <c r="E7" s="14"/>
      <c r="F7" s="7"/>
      <c r="G7" s="12"/>
      <c r="K7" s="7"/>
      <c r="L7" s="7"/>
      <c r="N7" s="7"/>
      <c r="Q7" s="15"/>
      <c r="AQ7" s="16"/>
      <c r="AR7" s="16"/>
    </row>
    <row r="8" spans="1:44" ht="12.75" customHeight="1">
      <c r="A8" s="47"/>
      <c r="D8" s="14"/>
      <c r="E8" s="7"/>
      <c r="F8" s="12"/>
      <c r="K8" s="7"/>
      <c r="L8" s="7"/>
      <c r="N8" s="7"/>
      <c r="Q8" s="15"/>
      <c r="AQ8" s="16"/>
      <c r="AR8" s="16"/>
    </row>
    <row r="9" spans="1:80" s="6" customFormat="1" ht="39.75" customHeight="1">
      <c r="A9" s="421" t="s">
        <v>50</v>
      </c>
      <c r="B9" s="392" t="s">
        <v>47</v>
      </c>
      <c r="C9" s="392"/>
      <c r="D9" s="392"/>
      <c r="E9" s="392"/>
      <c r="F9" s="421" t="s">
        <v>16</v>
      </c>
      <c r="G9" s="421" t="s">
        <v>30</v>
      </c>
      <c r="H9" s="392" t="s">
        <v>26</v>
      </c>
      <c r="I9" s="392"/>
      <c r="J9" s="421" t="s">
        <v>29</v>
      </c>
      <c r="K9" s="421" t="s">
        <v>35</v>
      </c>
      <c r="L9" s="421" t="s">
        <v>34</v>
      </c>
      <c r="M9" s="392" t="s">
        <v>31</v>
      </c>
      <c r="N9" s="392"/>
      <c r="O9" s="392" t="s">
        <v>340</v>
      </c>
      <c r="P9" s="392"/>
      <c r="Q9" s="392" t="s">
        <v>339</v>
      </c>
      <c r="R9" s="392"/>
      <c r="S9" s="392"/>
      <c r="T9" s="392"/>
      <c r="U9" s="392" t="s">
        <v>341</v>
      </c>
      <c r="V9" s="392"/>
      <c r="W9" s="392" t="s">
        <v>342</v>
      </c>
      <c r="X9" s="392"/>
      <c r="Y9" s="392" t="s">
        <v>343</v>
      </c>
      <c r="Z9" s="392"/>
      <c r="AA9" s="392" t="s">
        <v>344</v>
      </c>
      <c r="AB9" s="392"/>
      <c r="AC9" s="384" t="s">
        <v>472</v>
      </c>
      <c r="AD9" s="385"/>
      <c r="AE9" s="386"/>
      <c r="AF9" s="392" t="s">
        <v>199</v>
      </c>
      <c r="AG9" s="392"/>
      <c r="AH9" s="392" t="s">
        <v>345</v>
      </c>
      <c r="AI9" s="392"/>
      <c r="AJ9" s="392" t="s">
        <v>346</v>
      </c>
      <c r="AK9" s="392"/>
      <c r="AL9" s="392" t="s">
        <v>347</v>
      </c>
      <c r="AM9" s="392"/>
      <c r="AN9" s="392" t="s">
        <v>13</v>
      </c>
      <c r="AO9" s="392"/>
      <c r="AP9" s="392"/>
      <c r="AQ9" s="392"/>
      <c r="AR9" s="392"/>
      <c r="AS9" s="392"/>
      <c r="AT9" s="392" t="s">
        <v>221</v>
      </c>
      <c r="AU9" s="392"/>
      <c r="AV9" s="392"/>
      <c r="AW9" s="392"/>
      <c r="AX9" s="392" t="s">
        <v>412</v>
      </c>
      <c r="AY9" s="392"/>
      <c r="AZ9" s="392"/>
      <c r="BA9" s="392"/>
      <c r="BB9" s="392" t="s">
        <v>402</v>
      </c>
      <c r="BC9" s="392"/>
      <c r="BD9" s="392"/>
      <c r="BE9" s="392"/>
      <c r="BF9" s="392" t="s">
        <v>14</v>
      </c>
      <c r="BG9" s="392"/>
      <c r="BH9" s="392"/>
      <c r="BI9" s="392"/>
      <c r="BJ9" s="392" t="s">
        <v>439</v>
      </c>
      <c r="BK9" s="392"/>
      <c r="BL9" s="392"/>
      <c r="BM9" s="392" t="s">
        <v>41</v>
      </c>
      <c r="BN9" s="392"/>
      <c r="BO9" s="392"/>
      <c r="BP9" s="392"/>
      <c r="BQ9" s="392" t="s">
        <v>337</v>
      </c>
      <c r="BR9" s="392"/>
      <c r="BS9" s="392"/>
      <c r="BT9" s="392"/>
      <c r="BU9" s="392"/>
      <c r="BV9" s="392"/>
      <c r="BW9" s="392"/>
      <c r="BX9" s="392" t="s">
        <v>44</v>
      </c>
      <c r="BY9" s="392"/>
      <c r="BZ9" s="392" t="s">
        <v>464</v>
      </c>
      <c r="CA9" s="428" t="s">
        <v>52</v>
      </c>
      <c r="CB9" s="428"/>
    </row>
    <row r="10" spans="1:80" s="6" customFormat="1" ht="40.5" customHeight="1">
      <c r="A10" s="421"/>
      <c r="B10" s="392"/>
      <c r="C10" s="392"/>
      <c r="D10" s="392"/>
      <c r="E10" s="392"/>
      <c r="F10" s="421"/>
      <c r="G10" s="421"/>
      <c r="H10" s="392"/>
      <c r="I10" s="392"/>
      <c r="J10" s="421"/>
      <c r="K10" s="421"/>
      <c r="L10" s="421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87"/>
      <c r="AD10" s="388"/>
      <c r="AE10" s="389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428"/>
      <c r="CB10" s="428"/>
    </row>
    <row r="11" spans="1:80" s="6" customFormat="1" ht="28.5" customHeight="1">
      <c r="A11" s="421"/>
      <c r="B11" s="392" t="s">
        <v>12</v>
      </c>
      <c r="C11" s="392" t="s">
        <v>36</v>
      </c>
      <c r="D11" s="392"/>
      <c r="E11" s="392"/>
      <c r="F11" s="421"/>
      <c r="G11" s="421"/>
      <c r="H11" s="421" t="s">
        <v>27</v>
      </c>
      <c r="I11" s="421" t="s">
        <v>28</v>
      </c>
      <c r="J11" s="421"/>
      <c r="K11" s="421"/>
      <c r="L11" s="421"/>
      <c r="M11" s="421" t="s">
        <v>32</v>
      </c>
      <c r="N11" s="421" t="s">
        <v>33</v>
      </c>
      <c r="O11" s="426">
        <f>'Исх.данные'!B10</f>
        <v>7.987854251012146</v>
      </c>
      <c r="P11" s="399"/>
      <c r="Q11" s="392" t="s">
        <v>32</v>
      </c>
      <c r="R11" s="392"/>
      <c r="S11" s="392" t="s">
        <v>33</v>
      </c>
      <c r="T11" s="392"/>
      <c r="U11" s="421" t="s">
        <v>17</v>
      </c>
      <c r="V11" s="421" t="s">
        <v>18</v>
      </c>
      <c r="W11" s="427">
        <v>0</v>
      </c>
      <c r="X11" s="427"/>
      <c r="Y11" s="75">
        <v>0.1</v>
      </c>
      <c r="Z11" s="75">
        <v>0.05</v>
      </c>
      <c r="AA11" s="423"/>
      <c r="AB11" s="423"/>
      <c r="AC11" s="378" t="s">
        <v>19</v>
      </c>
      <c r="AD11" s="378" t="s">
        <v>17</v>
      </c>
      <c r="AE11" s="378" t="s">
        <v>18</v>
      </c>
      <c r="AF11" s="423">
        <f>(((((AD48/O48)*'Исх.данные'!B6)/29.25*(52/12)))/((AD48/O48)*'Исх.данные'!B6))</f>
        <v>0.14814814814814814</v>
      </c>
      <c r="AG11" s="423"/>
      <c r="AH11" s="421" t="s">
        <v>17</v>
      </c>
      <c r="AI11" s="421" t="s">
        <v>18</v>
      </c>
      <c r="AJ11" s="423">
        <v>0.307</v>
      </c>
      <c r="AK11" s="423"/>
      <c r="AL11" s="421" t="s">
        <v>17</v>
      </c>
      <c r="AM11" s="421" t="s">
        <v>18</v>
      </c>
      <c r="AN11" s="421" t="s">
        <v>353</v>
      </c>
      <c r="AO11" s="421" t="s">
        <v>38</v>
      </c>
      <c r="AP11" s="422" t="s">
        <v>45</v>
      </c>
      <c r="AQ11" s="422" t="s">
        <v>39</v>
      </c>
      <c r="AR11" s="422" t="s">
        <v>348</v>
      </c>
      <c r="AS11" s="422" t="s">
        <v>349</v>
      </c>
      <c r="AT11" s="421" t="s">
        <v>241</v>
      </c>
      <c r="AU11" s="422" t="s">
        <v>222</v>
      </c>
      <c r="AV11" s="422" t="s">
        <v>350</v>
      </c>
      <c r="AW11" s="422" t="s">
        <v>349</v>
      </c>
      <c r="AX11" s="421" t="s">
        <v>413</v>
      </c>
      <c r="AY11" s="422" t="s">
        <v>222</v>
      </c>
      <c r="AZ11" s="422" t="s">
        <v>350</v>
      </c>
      <c r="BA11" s="422" t="s">
        <v>349</v>
      </c>
      <c r="BB11" s="421" t="s">
        <v>413</v>
      </c>
      <c r="BC11" s="422" t="s">
        <v>222</v>
      </c>
      <c r="BD11" s="422" t="s">
        <v>350</v>
      </c>
      <c r="BE11" s="422" t="s">
        <v>349</v>
      </c>
      <c r="BF11" s="421" t="s">
        <v>40</v>
      </c>
      <c r="BG11" s="422" t="s">
        <v>354</v>
      </c>
      <c r="BH11" s="422" t="s">
        <v>406</v>
      </c>
      <c r="BI11" s="422" t="s">
        <v>349</v>
      </c>
      <c r="BJ11" s="422" t="s">
        <v>440</v>
      </c>
      <c r="BK11" s="422" t="s">
        <v>350</v>
      </c>
      <c r="BL11" s="422" t="s">
        <v>349</v>
      </c>
      <c r="BM11" s="428" t="s">
        <v>42</v>
      </c>
      <c r="BN11" s="428"/>
      <c r="BO11" s="428" t="s">
        <v>43</v>
      </c>
      <c r="BP11" s="428"/>
      <c r="BQ11" s="428" t="s">
        <v>332</v>
      </c>
      <c r="BR11" s="428"/>
      <c r="BS11" s="428" t="s">
        <v>333</v>
      </c>
      <c r="BT11" s="428"/>
      <c r="BU11" s="428" t="s">
        <v>334</v>
      </c>
      <c r="BV11" s="428"/>
      <c r="BW11" s="421" t="s">
        <v>335</v>
      </c>
      <c r="BX11" s="422" t="s">
        <v>336</v>
      </c>
      <c r="BY11" s="422" t="s">
        <v>463</v>
      </c>
      <c r="BZ11" s="392"/>
      <c r="CA11" s="422" t="s">
        <v>46</v>
      </c>
      <c r="CB11" s="422" t="s">
        <v>15</v>
      </c>
    </row>
    <row r="12" spans="1:80" s="6" customFormat="1" ht="48" customHeight="1">
      <c r="A12" s="421"/>
      <c r="B12" s="392"/>
      <c r="C12" s="421" t="s">
        <v>37</v>
      </c>
      <c r="D12" s="421" t="s">
        <v>49</v>
      </c>
      <c r="E12" s="421" t="s">
        <v>48</v>
      </c>
      <c r="F12" s="421"/>
      <c r="G12" s="421"/>
      <c r="H12" s="421"/>
      <c r="I12" s="421"/>
      <c r="J12" s="421"/>
      <c r="K12" s="421"/>
      <c r="L12" s="421"/>
      <c r="M12" s="421"/>
      <c r="N12" s="421"/>
      <c r="O12" s="421" t="s">
        <v>32</v>
      </c>
      <c r="P12" s="421" t="s">
        <v>33</v>
      </c>
      <c r="Q12" s="429" t="s">
        <v>20</v>
      </c>
      <c r="R12" s="421" t="s">
        <v>21</v>
      </c>
      <c r="S12" s="429" t="s">
        <v>20</v>
      </c>
      <c r="T12" s="421" t="s">
        <v>21</v>
      </c>
      <c r="U12" s="421"/>
      <c r="V12" s="421"/>
      <c r="W12" s="421" t="s">
        <v>17</v>
      </c>
      <c r="X12" s="421" t="s">
        <v>18</v>
      </c>
      <c r="Y12" s="421" t="s">
        <v>208</v>
      </c>
      <c r="Z12" s="421" t="s">
        <v>209</v>
      </c>
      <c r="AA12" s="421" t="s">
        <v>17</v>
      </c>
      <c r="AB12" s="421" t="s">
        <v>18</v>
      </c>
      <c r="AC12" s="379"/>
      <c r="AD12" s="379"/>
      <c r="AE12" s="379"/>
      <c r="AF12" s="421" t="s">
        <v>17</v>
      </c>
      <c r="AG12" s="421" t="s">
        <v>18</v>
      </c>
      <c r="AH12" s="421"/>
      <c r="AI12" s="421"/>
      <c r="AJ12" s="421" t="s">
        <v>17</v>
      </c>
      <c r="AK12" s="421" t="s">
        <v>18</v>
      </c>
      <c r="AL12" s="421"/>
      <c r="AM12" s="421"/>
      <c r="AN12" s="421"/>
      <c r="AO12" s="421"/>
      <c r="AP12" s="422"/>
      <c r="AQ12" s="422"/>
      <c r="AR12" s="422"/>
      <c r="AS12" s="422"/>
      <c r="AT12" s="421"/>
      <c r="AU12" s="422"/>
      <c r="AV12" s="422"/>
      <c r="AW12" s="422"/>
      <c r="AX12" s="421"/>
      <c r="AY12" s="422"/>
      <c r="AZ12" s="422"/>
      <c r="BA12" s="422"/>
      <c r="BB12" s="421"/>
      <c r="BC12" s="422"/>
      <c r="BD12" s="422"/>
      <c r="BE12" s="422"/>
      <c r="BF12" s="421"/>
      <c r="BG12" s="422"/>
      <c r="BH12" s="422"/>
      <c r="BI12" s="422"/>
      <c r="BJ12" s="422"/>
      <c r="BK12" s="422"/>
      <c r="BL12" s="422"/>
      <c r="BM12" s="381" t="s">
        <v>572</v>
      </c>
      <c r="BN12" s="381" t="s">
        <v>338</v>
      </c>
      <c r="BO12" s="381" t="s">
        <v>572</v>
      </c>
      <c r="BP12" s="381" t="s">
        <v>338</v>
      </c>
      <c r="BQ12" s="422" t="s">
        <v>331</v>
      </c>
      <c r="BR12" s="422" t="s">
        <v>338</v>
      </c>
      <c r="BS12" s="422" t="s">
        <v>331</v>
      </c>
      <c r="BT12" s="422" t="s">
        <v>338</v>
      </c>
      <c r="BU12" s="422" t="s">
        <v>331</v>
      </c>
      <c r="BV12" s="422" t="s">
        <v>338</v>
      </c>
      <c r="BW12" s="421"/>
      <c r="BX12" s="422"/>
      <c r="BY12" s="422"/>
      <c r="BZ12" s="392"/>
      <c r="CA12" s="422"/>
      <c r="CB12" s="422"/>
    </row>
    <row r="13" spans="1:80" s="6" customFormat="1" ht="76.5" customHeight="1">
      <c r="A13" s="421"/>
      <c r="B13" s="392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9"/>
      <c r="R13" s="421"/>
      <c r="S13" s="429"/>
      <c r="T13" s="421"/>
      <c r="U13" s="421"/>
      <c r="V13" s="421"/>
      <c r="W13" s="421"/>
      <c r="X13" s="421"/>
      <c r="Y13" s="421"/>
      <c r="Z13" s="421"/>
      <c r="AA13" s="421"/>
      <c r="AB13" s="421"/>
      <c r="AC13" s="380"/>
      <c r="AD13" s="380"/>
      <c r="AE13" s="380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2"/>
      <c r="AQ13" s="422"/>
      <c r="AR13" s="422"/>
      <c r="AS13" s="422"/>
      <c r="AT13" s="421"/>
      <c r="AU13" s="422"/>
      <c r="AV13" s="422"/>
      <c r="AW13" s="422"/>
      <c r="AX13" s="421"/>
      <c r="AY13" s="422"/>
      <c r="AZ13" s="422"/>
      <c r="BA13" s="422"/>
      <c r="BB13" s="421"/>
      <c r="BC13" s="422"/>
      <c r="BD13" s="422"/>
      <c r="BE13" s="422"/>
      <c r="BF13" s="421"/>
      <c r="BG13" s="422"/>
      <c r="BH13" s="422"/>
      <c r="BI13" s="422"/>
      <c r="BJ13" s="422"/>
      <c r="BK13" s="422"/>
      <c r="BL13" s="422"/>
      <c r="BM13" s="383"/>
      <c r="BN13" s="383"/>
      <c r="BO13" s="383"/>
      <c r="BP13" s="383"/>
      <c r="BQ13" s="422"/>
      <c r="BR13" s="422"/>
      <c r="BS13" s="422"/>
      <c r="BT13" s="422"/>
      <c r="BU13" s="422"/>
      <c r="BV13" s="422"/>
      <c r="BW13" s="421"/>
      <c r="BX13" s="422"/>
      <c r="BY13" s="422"/>
      <c r="BZ13" s="392"/>
      <c r="CA13" s="422"/>
      <c r="CB13" s="422"/>
    </row>
    <row r="14" spans="1:80" ht="11.25">
      <c r="A14" s="20">
        <f>COLUMN(A14)</f>
        <v>1</v>
      </c>
      <c r="B14" s="424">
        <f>COLUMN(B14)</f>
        <v>2</v>
      </c>
      <c r="C14" s="424"/>
      <c r="D14" s="424"/>
      <c r="E14" s="424"/>
      <c r="F14" s="20">
        <v>3</v>
      </c>
      <c r="G14" s="20">
        <f>F14+1</f>
        <v>4</v>
      </c>
      <c r="H14" s="20">
        <f aca="true" t="shared" si="0" ref="H14:CB14">G14+1</f>
        <v>5</v>
      </c>
      <c r="I14" s="20">
        <f t="shared" si="0"/>
        <v>6</v>
      </c>
      <c r="J14" s="20">
        <f t="shared" si="0"/>
        <v>7</v>
      </c>
      <c r="K14" s="20">
        <f t="shared" si="0"/>
        <v>8</v>
      </c>
      <c r="L14" s="20">
        <f t="shared" si="0"/>
        <v>9</v>
      </c>
      <c r="M14" s="20">
        <f t="shared" si="0"/>
        <v>10</v>
      </c>
      <c r="N14" s="20">
        <f t="shared" si="0"/>
        <v>11</v>
      </c>
      <c r="O14" s="20">
        <f t="shared" si="0"/>
        <v>12</v>
      </c>
      <c r="P14" s="20">
        <f t="shared" si="0"/>
        <v>13</v>
      </c>
      <c r="Q14" s="20">
        <f t="shared" si="0"/>
        <v>14</v>
      </c>
      <c r="R14" s="20">
        <f t="shared" si="0"/>
        <v>15</v>
      </c>
      <c r="S14" s="20">
        <f t="shared" si="0"/>
        <v>16</v>
      </c>
      <c r="T14" s="20">
        <f t="shared" si="0"/>
        <v>17</v>
      </c>
      <c r="U14" s="20">
        <f t="shared" si="0"/>
        <v>18</v>
      </c>
      <c r="V14" s="20">
        <f t="shared" si="0"/>
        <v>19</v>
      </c>
      <c r="W14" s="20">
        <f t="shared" si="0"/>
        <v>20</v>
      </c>
      <c r="X14" s="20">
        <f t="shared" si="0"/>
        <v>21</v>
      </c>
      <c r="Y14" s="20">
        <f t="shared" si="0"/>
        <v>22</v>
      </c>
      <c r="Z14" s="20">
        <f t="shared" si="0"/>
        <v>23</v>
      </c>
      <c r="AA14" s="20">
        <f t="shared" si="0"/>
        <v>24</v>
      </c>
      <c r="AB14" s="20">
        <f t="shared" si="0"/>
        <v>25</v>
      </c>
      <c r="AC14" s="20">
        <f t="shared" si="0"/>
        <v>26</v>
      </c>
      <c r="AD14" s="20">
        <f t="shared" si="0"/>
        <v>27</v>
      </c>
      <c r="AE14" s="20">
        <f t="shared" si="0"/>
        <v>28</v>
      </c>
      <c r="AF14" s="20">
        <f t="shared" si="0"/>
        <v>29</v>
      </c>
      <c r="AG14" s="20">
        <f t="shared" si="0"/>
        <v>30</v>
      </c>
      <c r="AH14" s="20">
        <f t="shared" si="0"/>
        <v>31</v>
      </c>
      <c r="AI14" s="20">
        <f t="shared" si="0"/>
        <v>32</v>
      </c>
      <c r="AJ14" s="20">
        <f t="shared" si="0"/>
        <v>33</v>
      </c>
      <c r="AK14" s="20">
        <f t="shared" si="0"/>
        <v>34</v>
      </c>
      <c r="AL14" s="20">
        <f t="shared" si="0"/>
        <v>35</v>
      </c>
      <c r="AM14" s="20">
        <f t="shared" si="0"/>
        <v>36</v>
      </c>
      <c r="AN14" s="20">
        <f t="shared" si="0"/>
        <v>37</v>
      </c>
      <c r="AO14" s="20">
        <f t="shared" si="0"/>
        <v>38</v>
      </c>
      <c r="AP14" s="20">
        <f t="shared" si="0"/>
        <v>39</v>
      </c>
      <c r="AQ14" s="20">
        <f t="shared" si="0"/>
        <v>40</v>
      </c>
      <c r="AR14" s="20">
        <f t="shared" si="0"/>
        <v>41</v>
      </c>
      <c r="AS14" s="20">
        <f t="shared" si="0"/>
        <v>42</v>
      </c>
      <c r="AT14" s="20">
        <f t="shared" si="0"/>
        <v>43</v>
      </c>
      <c r="AU14" s="20">
        <f t="shared" si="0"/>
        <v>44</v>
      </c>
      <c r="AV14" s="20">
        <f t="shared" si="0"/>
        <v>45</v>
      </c>
      <c r="AW14" s="20">
        <f t="shared" si="0"/>
        <v>46</v>
      </c>
      <c r="AX14" s="20">
        <f t="shared" si="0"/>
        <v>47</v>
      </c>
      <c r="AY14" s="20">
        <f t="shared" si="0"/>
        <v>48</v>
      </c>
      <c r="AZ14" s="20">
        <f t="shared" si="0"/>
        <v>49</v>
      </c>
      <c r="BA14" s="20">
        <f t="shared" si="0"/>
        <v>50</v>
      </c>
      <c r="BB14" s="20">
        <f t="shared" si="0"/>
        <v>51</v>
      </c>
      <c r="BC14" s="20">
        <f t="shared" si="0"/>
        <v>52</v>
      </c>
      <c r="BD14" s="20">
        <f t="shared" si="0"/>
        <v>53</v>
      </c>
      <c r="BE14" s="20">
        <f t="shared" si="0"/>
        <v>54</v>
      </c>
      <c r="BF14" s="20">
        <f t="shared" si="0"/>
        <v>55</v>
      </c>
      <c r="BG14" s="20">
        <f t="shared" si="0"/>
        <v>56</v>
      </c>
      <c r="BH14" s="20">
        <f t="shared" si="0"/>
        <v>57</v>
      </c>
      <c r="BI14" s="20">
        <f t="shared" si="0"/>
        <v>58</v>
      </c>
      <c r="BJ14" s="20">
        <f t="shared" si="0"/>
        <v>59</v>
      </c>
      <c r="BK14" s="20">
        <f t="shared" si="0"/>
        <v>60</v>
      </c>
      <c r="BL14" s="20">
        <f t="shared" si="0"/>
        <v>61</v>
      </c>
      <c r="BM14" s="20">
        <f t="shared" si="0"/>
        <v>62</v>
      </c>
      <c r="BN14" s="20">
        <f t="shared" si="0"/>
        <v>63</v>
      </c>
      <c r="BO14" s="20">
        <f t="shared" si="0"/>
        <v>64</v>
      </c>
      <c r="BP14" s="20">
        <f t="shared" si="0"/>
        <v>65</v>
      </c>
      <c r="BQ14" s="20">
        <f t="shared" si="0"/>
        <v>66</v>
      </c>
      <c r="BR14" s="20">
        <f t="shared" si="0"/>
        <v>67</v>
      </c>
      <c r="BS14" s="20">
        <f t="shared" si="0"/>
        <v>68</v>
      </c>
      <c r="BT14" s="20">
        <f t="shared" si="0"/>
        <v>69</v>
      </c>
      <c r="BU14" s="20">
        <f t="shared" si="0"/>
        <v>70</v>
      </c>
      <c r="BV14" s="20">
        <f t="shared" si="0"/>
        <v>71</v>
      </c>
      <c r="BW14" s="20">
        <f t="shared" si="0"/>
        <v>72</v>
      </c>
      <c r="BX14" s="20">
        <f t="shared" si="0"/>
        <v>73</v>
      </c>
      <c r="BY14" s="20">
        <f t="shared" si="0"/>
        <v>74</v>
      </c>
      <c r="BZ14" s="20">
        <f t="shared" si="0"/>
        <v>75</v>
      </c>
      <c r="CA14" s="20">
        <f t="shared" si="0"/>
        <v>76</v>
      </c>
      <c r="CB14" s="20">
        <f t="shared" si="0"/>
        <v>77</v>
      </c>
    </row>
    <row r="15" spans="1:80" s="7" customFormat="1" ht="11.25">
      <c r="A15" s="21"/>
      <c r="B15" s="399" t="s">
        <v>66</v>
      </c>
      <c r="C15" s="399"/>
      <c r="D15" s="399"/>
      <c r="E15" s="399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6"/>
      <c r="AQ15" s="27"/>
      <c r="AR15" s="27"/>
      <c r="AS15" s="26"/>
      <c r="AT15" s="24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4"/>
    </row>
    <row r="16" spans="1:80" ht="11.25">
      <c r="A16" s="19">
        <v>1</v>
      </c>
      <c r="B16" s="28" t="s">
        <v>57</v>
      </c>
      <c r="C16" s="30"/>
      <c r="D16" s="31" t="s">
        <v>508</v>
      </c>
      <c r="E16" s="32" t="s">
        <v>149</v>
      </c>
      <c r="F16" s="29" t="s">
        <v>144</v>
      </c>
      <c r="G16" s="178">
        <f>D6*Нормы!C19/1000</f>
        <v>60</v>
      </c>
      <c r="H16" s="147" t="s">
        <v>514</v>
      </c>
      <c r="I16" s="147" t="s">
        <v>515</v>
      </c>
      <c r="J16" s="122">
        <f>L16/M16</f>
        <v>0.2</v>
      </c>
      <c r="K16" s="150">
        <v>300</v>
      </c>
      <c r="L16" s="148">
        <f>IF((M16+N16)&gt;0,G16/K16,0)</f>
        <v>0.2</v>
      </c>
      <c r="M16" s="149">
        <v>1</v>
      </c>
      <c r="N16" s="149"/>
      <c r="O16" s="121">
        <f>IF(M16=0,0,L16*$O$11)</f>
        <v>1.5975708502024293</v>
      </c>
      <c r="P16" s="121">
        <f>IF(N16=0,0,L16*$O$11)</f>
        <v>0</v>
      </c>
      <c r="Q16" s="149">
        <v>5</v>
      </c>
      <c r="R16" s="81">
        <f>'Исх.данные'!G26</f>
        <v>219.30404460212878</v>
      </c>
      <c r="S16" s="149"/>
      <c r="T16" s="148"/>
      <c r="U16" s="144">
        <f>O16*R16*'Исх.данные'!$C$43%</f>
        <v>0</v>
      </c>
      <c r="V16" s="144">
        <f>P16*T16*'Исх.данные'!$C$44%</f>
        <v>0</v>
      </c>
      <c r="W16" s="144">
        <f>O16*R16*$W$11</f>
        <v>0</v>
      </c>
      <c r="X16" s="145">
        <f>P16*T16*$W$11</f>
        <v>0</v>
      </c>
      <c r="Y16" s="144">
        <f>(O16*R16+U16+W16)*$Y$11</f>
        <v>35.03537489878544</v>
      </c>
      <c r="Z16" s="145">
        <f>(P16*T16+V16+X16)*$Z$11</f>
        <v>0</v>
      </c>
      <c r="AA16" s="144">
        <f>(O16*R16+U16)*$AA$11</f>
        <v>0</v>
      </c>
      <c r="AB16" s="145">
        <f>(P16*T16+V16)*$AA$11</f>
        <v>0</v>
      </c>
      <c r="AC16" s="143">
        <v>2.5</v>
      </c>
      <c r="AD16" s="144">
        <f>(O16*R16+U16+W16+Y16+AA16)*AC16</f>
        <v>963.4728097165996</v>
      </c>
      <c r="AE16" s="144">
        <f>(P16*T16+V16+X16+Z16+AB16)*AC16</f>
        <v>0</v>
      </c>
      <c r="AF16" s="121">
        <f>AD16*$AF$11</f>
        <v>142.73671255060734</v>
      </c>
      <c r="AG16" s="152"/>
      <c r="AH16" s="121">
        <f>AD16+AF16</f>
        <v>1106.209522267207</v>
      </c>
      <c r="AI16" s="121"/>
      <c r="AJ16" s="121">
        <f>AH16*$AJ$11</f>
        <v>339.6063233360325</v>
      </c>
      <c r="AK16" s="152"/>
      <c r="AL16" s="121">
        <f>AH16+AJ16</f>
        <v>1445.8158456032395</v>
      </c>
      <c r="AM16" s="152"/>
      <c r="AN16" s="150">
        <v>0.44</v>
      </c>
      <c r="AO16" s="148">
        <f>'Исх.данные'!C60</f>
        <v>0.84</v>
      </c>
      <c r="AP16" s="123">
        <f>(G16*AN16)*AO16/100</f>
        <v>0.22175999999999998</v>
      </c>
      <c r="AQ16" s="163" t="s">
        <v>187</v>
      </c>
      <c r="AR16" s="122">
        <f>'Исх.данные'!$F$85</f>
        <v>9573.371428571429</v>
      </c>
      <c r="AS16" s="115">
        <f>AP16*AR16</f>
        <v>2122.990848</v>
      </c>
      <c r="AT16" s="150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>
        <f>аморт!$H$12</f>
        <v>61.781971818181816</v>
      </c>
      <c r="BN16" s="115">
        <f>BM16*L16*$O$11</f>
        <v>98.70107724475524</v>
      </c>
      <c r="BO16" s="115">
        <f>аморт!$H$38</f>
        <v>144.06779999999998</v>
      </c>
      <c r="BP16" s="115">
        <f>BO16*L16*$O$11</f>
        <v>230.15851773279348</v>
      </c>
      <c r="BQ16" s="153">
        <f>'Исх.данные'!$C$89</f>
        <v>101.43277978079999</v>
      </c>
      <c r="BR16" s="115">
        <f>BQ16*CB16</f>
        <v>146.063202884352</v>
      </c>
      <c r="BS16" s="153">
        <f>'Исх.данные'!$C$94</f>
        <v>11.283646508159999</v>
      </c>
      <c r="BT16" s="115">
        <f>BS16*CB16</f>
        <v>16.2484509717504</v>
      </c>
      <c r="BU16" s="115">
        <f>'Исх.данные'!$C$99</f>
        <v>8.04259910688</v>
      </c>
      <c r="BV16" s="115">
        <f>BU16*CB16</f>
        <v>11.5813427139072</v>
      </c>
      <c r="BW16" s="115"/>
      <c r="BX16" s="115">
        <f>AL16+AM16+AS16+AW16+BA16+BE16+BI16+BL16+BN16+BP16+BR16+BT16+BV16+BW16</f>
        <v>4071.5592851507977</v>
      </c>
      <c r="BY16" s="153">
        <f>BX16/$D$6</f>
        <v>3.392966070958998</v>
      </c>
      <c r="BZ16" s="186">
        <f>(O16+P16)/$D$6</f>
        <v>0.0013313090418353578</v>
      </c>
      <c r="CA16" s="153">
        <f>'Исх.данные'!$B$105</f>
        <v>7.2</v>
      </c>
      <c r="CB16" s="151">
        <f>CA16*L16</f>
        <v>1.4400000000000002</v>
      </c>
    </row>
    <row r="17" spans="1:80" ht="11.25">
      <c r="A17" s="20">
        <f aca="true" t="shared" si="1" ref="A17:A25">A16+1</f>
        <v>2</v>
      </c>
      <c r="B17" s="28" t="s">
        <v>58</v>
      </c>
      <c r="C17" s="30"/>
      <c r="D17" s="31" t="s">
        <v>508</v>
      </c>
      <c r="E17" s="32" t="s">
        <v>236</v>
      </c>
      <c r="F17" s="29" t="s">
        <v>144</v>
      </c>
      <c r="G17" s="178">
        <f>G16</f>
        <v>60</v>
      </c>
      <c r="H17" s="147" t="s">
        <v>514</v>
      </c>
      <c r="I17" s="147" t="s">
        <v>515</v>
      </c>
      <c r="J17" s="122">
        <f>L17/N17</f>
        <v>0.25</v>
      </c>
      <c r="K17" s="150">
        <v>120</v>
      </c>
      <c r="L17" s="148">
        <f aca="true" t="shared" si="2" ref="L17:L25">IF((M17+N17)&gt;0,G17/K17,0)</f>
        <v>0.5</v>
      </c>
      <c r="M17" s="149">
        <v>1</v>
      </c>
      <c r="N17" s="149">
        <v>2</v>
      </c>
      <c r="O17" s="121">
        <f aca="true" t="shared" si="3" ref="O17:O25">IF(M17=0,0,L17*$O$11)</f>
        <v>3.993927125506073</v>
      </c>
      <c r="P17" s="121">
        <f aca="true" t="shared" si="4" ref="P17:P25">IF(N17=0,0,L17*$O$11)</f>
        <v>3.993927125506073</v>
      </c>
      <c r="Q17" s="149">
        <v>5</v>
      </c>
      <c r="R17" s="81">
        <f>'Исх.данные'!G26</f>
        <v>219.30404460212878</v>
      </c>
      <c r="S17" s="149">
        <v>4</v>
      </c>
      <c r="T17" s="122">
        <f>IF(AND(N17&gt;0,P17&gt;0),SUMIF('Исх.данные'!$C$14:$J$15,S17,'Исх.данные'!$C$34:J40),IF(N17=0,0,IF(S17=0,"РОТ")))</f>
        <v>123.48200709579322</v>
      </c>
      <c r="U17" s="144">
        <f>O17*R17*'Исх.данные'!$C$43%</f>
        <v>0</v>
      </c>
      <c r="V17" s="144">
        <f>P17*T17*'Исх.данные'!$C$44%</f>
        <v>0</v>
      </c>
      <c r="W17" s="144">
        <f aca="true" t="shared" si="5" ref="W17:W25">O17*R17*$W$11</f>
        <v>0</v>
      </c>
      <c r="X17" s="145">
        <f aca="true" t="shared" si="6" ref="X17:X25">P17*T17*$W$11</f>
        <v>0</v>
      </c>
      <c r="Y17" s="144">
        <f aca="true" t="shared" si="7" ref="Y17:Y25">(O17*R17+U17+W17)*$Y$11</f>
        <v>87.58843724696358</v>
      </c>
      <c r="Z17" s="145">
        <f aca="true" t="shared" si="8" ref="Z17:Z25">(P17*T17+V17+X17)*$Z$11</f>
        <v>24.658906882591097</v>
      </c>
      <c r="AA17" s="144">
        <f aca="true" t="shared" si="9" ref="AA17:AA25">(O17*R17+U17)*$AA$11</f>
        <v>0</v>
      </c>
      <c r="AB17" s="145">
        <f aca="true" t="shared" si="10" ref="AB17:AB25">(P17*T17+V17)*$AA$11</f>
        <v>0</v>
      </c>
      <c r="AC17" s="143">
        <v>2.5</v>
      </c>
      <c r="AD17" s="144">
        <f aca="true" t="shared" si="11" ref="AD17:AD25">(O17*R17+U17+W17+Y17+AA17)*AC17</f>
        <v>2408.6820242914982</v>
      </c>
      <c r="AE17" s="144">
        <f aca="true" t="shared" si="12" ref="AE17:AE25">(P17*T17+V17+X17+Z17+AB17)*AC17</f>
        <v>1294.5926113360326</v>
      </c>
      <c r="AF17" s="121">
        <f aca="true" t="shared" si="13" ref="AF17:AF23">AD17*$AF$11</f>
        <v>356.8417813765182</v>
      </c>
      <c r="AG17" s="152">
        <f aca="true" t="shared" si="14" ref="AG17:AG25">AE17*$AF$11</f>
        <v>191.79149797570852</v>
      </c>
      <c r="AH17" s="121">
        <f aca="true" t="shared" si="15" ref="AH17:AH23">AD17+AF17</f>
        <v>2765.5238056680164</v>
      </c>
      <c r="AI17" s="121">
        <f aca="true" t="shared" si="16" ref="AI17:AI25">AE17+AG17</f>
        <v>1486.3841093117412</v>
      </c>
      <c r="AJ17" s="121">
        <f aca="true" t="shared" si="17" ref="AJ17:AJ23">AH17*$AJ$11</f>
        <v>849.015808340081</v>
      </c>
      <c r="AK17" s="152">
        <f aca="true" t="shared" si="18" ref="AK17:AK25">AI17*$AJ$11</f>
        <v>456.31992155870455</v>
      </c>
      <c r="AL17" s="121">
        <f aca="true" t="shared" si="19" ref="AL17:AL23">AH17+AJ17</f>
        <v>3614.5396140080975</v>
      </c>
      <c r="AM17" s="152">
        <f aca="true" t="shared" si="20" ref="AM17:AM25">AK17+AI17</f>
        <v>1942.7040308704459</v>
      </c>
      <c r="AN17" s="150">
        <v>0.52</v>
      </c>
      <c r="AO17" s="148">
        <f>AO16</f>
        <v>0.84</v>
      </c>
      <c r="AP17" s="123">
        <f>(G17*AN17)*AO17/100</f>
        <v>0.26208000000000004</v>
      </c>
      <c r="AQ17" s="163" t="s">
        <v>187</v>
      </c>
      <c r="AR17" s="122">
        <f>'Исх.данные'!$F$85</f>
        <v>9573.371428571429</v>
      </c>
      <c r="AS17" s="115">
        <f>AP17*AR17</f>
        <v>2508.9891840000005</v>
      </c>
      <c r="AT17" s="150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>
        <f>аморт!$H$12</f>
        <v>61.781971818181816</v>
      </c>
      <c r="BN17" s="115">
        <f>BM17*L17*$O$11</f>
        <v>246.7526931118881</v>
      </c>
      <c r="BO17" s="115">
        <f>аморт!H71</f>
        <v>16.842009523809526</v>
      </c>
      <c r="BP17" s="115">
        <f>BO17*L17*$O$11</f>
        <v>67.26575868517449</v>
      </c>
      <c r="BQ17" s="153">
        <f>'Исх.данные'!$C$89</f>
        <v>101.43277978079999</v>
      </c>
      <c r="BR17" s="115">
        <f>BQ17*CB17</f>
        <v>365.15800721088</v>
      </c>
      <c r="BS17" s="153">
        <f>'Исх.данные'!$C$94</f>
        <v>11.283646508159999</v>
      </c>
      <c r="BT17" s="115">
        <f>BS17*CB17</f>
        <v>40.621127429375996</v>
      </c>
      <c r="BU17" s="115">
        <f>'Исх.данные'!$C$99</f>
        <v>8.04259910688</v>
      </c>
      <c r="BV17" s="115">
        <f>BU17*CB17</f>
        <v>28.953356784767998</v>
      </c>
      <c r="BW17" s="115">
        <f>аморт!D69*10%/аморт!G69*L17*O11</f>
        <v>55.001115978407555</v>
      </c>
      <c r="BX17" s="115">
        <f aca="true" t="shared" si="21" ref="BX17:BX25">AL17+AM17+AS17+AW17+BA17+BE17+BI17+BL17+BN17+BP17+BR17+BT17+BV17+BW17</f>
        <v>8869.98488807904</v>
      </c>
      <c r="BY17" s="153">
        <f aca="true" t="shared" si="22" ref="BY17:BY25">BX17/$D$6</f>
        <v>7.3916540733991996</v>
      </c>
      <c r="BZ17" s="186">
        <f aca="true" t="shared" si="23" ref="BZ17:BZ25">(O17+P17)/$D$6</f>
        <v>0.006656545209176788</v>
      </c>
      <c r="CA17" s="153">
        <f>'Исх.данные'!$B$105</f>
        <v>7.2</v>
      </c>
      <c r="CB17" s="151">
        <f>CA17*L17</f>
        <v>3.6</v>
      </c>
    </row>
    <row r="18" spans="1:80" ht="22.5">
      <c r="A18" s="20">
        <f t="shared" si="1"/>
        <v>3</v>
      </c>
      <c r="B18" s="28" t="s">
        <v>59</v>
      </c>
      <c r="C18" s="30"/>
      <c r="D18" s="31" t="s">
        <v>133</v>
      </c>
      <c r="E18" s="32" t="s">
        <v>140</v>
      </c>
      <c r="F18" s="29" t="s">
        <v>144</v>
      </c>
      <c r="G18" s="178">
        <f>G17</f>
        <v>60</v>
      </c>
      <c r="H18" s="147" t="s">
        <v>514</v>
      </c>
      <c r="I18" s="147" t="s">
        <v>515</v>
      </c>
      <c r="J18" s="122">
        <f aca="true" t="shared" si="24" ref="J18:J25">L18/N18</f>
        <v>1.1764705882352942</v>
      </c>
      <c r="K18" s="150">
        <v>25.5</v>
      </c>
      <c r="L18" s="148">
        <f t="shared" si="2"/>
        <v>2.3529411764705883</v>
      </c>
      <c r="M18" s="149">
        <v>1</v>
      </c>
      <c r="N18" s="149">
        <v>2</v>
      </c>
      <c r="O18" s="121">
        <f t="shared" si="3"/>
        <v>18.79495117885211</v>
      </c>
      <c r="P18" s="121">
        <f t="shared" si="4"/>
        <v>18.79495117885211</v>
      </c>
      <c r="Q18" s="149">
        <v>2</v>
      </c>
      <c r="R18" s="122">
        <f>IF(AND(O18&gt;0,Q18&gt;0),SUMIF('Исх.данные'!$C$14:$H$14,Q18,'Исх.данные'!$C$18:$H$18),IF(O18=0,0,IF(Q18=0,"РОТ")))</f>
        <v>126.44557526609226</v>
      </c>
      <c r="S18" s="149">
        <v>2</v>
      </c>
      <c r="T18" s="122">
        <f>IF(AND(N18&gt;0,P18&gt;0),SUMIF('Исх.данные'!$C$14:$J$15,S18,'Исх.данные'!$C$34:J40),IF(N18=0,0,IF(S18=0,"РОТ")))</f>
        <v>105.700598073999</v>
      </c>
      <c r="U18" s="144">
        <f>O18*R18*'Исх.данные'!$C$43%</f>
        <v>0</v>
      </c>
      <c r="V18" s="144">
        <f>P18*T18*'Исх.данные'!$C$44%</f>
        <v>0</v>
      </c>
      <c r="W18" s="144">
        <f t="shared" si="5"/>
        <v>0</v>
      </c>
      <c r="X18" s="145">
        <f t="shared" si="6"/>
        <v>0</v>
      </c>
      <c r="Y18" s="144">
        <f t="shared" si="7"/>
        <v>237.6538413908074</v>
      </c>
      <c r="Z18" s="145">
        <f t="shared" si="8"/>
        <v>99.33187901881404</v>
      </c>
      <c r="AA18" s="144">
        <f t="shared" si="9"/>
        <v>0</v>
      </c>
      <c r="AB18" s="145">
        <f t="shared" si="10"/>
        <v>0</v>
      </c>
      <c r="AC18" s="143">
        <v>2.5</v>
      </c>
      <c r="AD18" s="144">
        <f t="shared" si="11"/>
        <v>6535.480638247203</v>
      </c>
      <c r="AE18" s="144">
        <f t="shared" si="12"/>
        <v>5214.9236484877365</v>
      </c>
      <c r="AF18" s="121">
        <f t="shared" si="13"/>
        <v>968.2193538144004</v>
      </c>
      <c r="AG18" s="152">
        <f t="shared" si="14"/>
        <v>772.5812812574424</v>
      </c>
      <c r="AH18" s="121">
        <f t="shared" si="15"/>
        <v>7503.699992061604</v>
      </c>
      <c r="AI18" s="121">
        <f t="shared" si="16"/>
        <v>5987.504929745179</v>
      </c>
      <c r="AJ18" s="121">
        <f t="shared" si="17"/>
        <v>2303.6358975629123</v>
      </c>
      <c r="AK18" s="152">
        <f t="shared" si="18"/>
        <v>1838.16401343177</v>
      </c>
      <c r="AL18" s="121">
        <f t="shared" si="19"/>
        <v>9807.335889624515</v>
      </c>
      <c r="AM18" s="152">
        <f t="shared" si="20"/>
        <v>7825.668943176948</v>
      </c>
      <c r="AN18" s="150">
        <v>1.14</v>
      </c>
      <c r="AO18" s="148">
        <f aca="true" t="shared" si="25" ref="AO18:AO23">AO17</f>
        <v>0.84</v>
      </c>
      <c r="AP18" s="123">
        <f>(G18*AN18)*AO18/100</f>
        <v>0.5745599999999998</v>
      </c>
      <c r="AQ18" s="163" t="s">
        <v>187</v>
      </c>
      <c r="AR18" s="122"/>
      <c r="AS18" s="115">
        <f>AP18*AR18</f>
        <v>0</v>
      </c>
      <c r="AT18" s="150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>
        <f>аморт!$H$10</f>
        <v>69.6969696969697</v>
      </c>
      <c r="BN18" s="115">
        <f>BM18*L18*$O$11</f>
        <v>1309.9511427684802</v>
      </c>
      <c r="BO18" s="156">
        <f>аморт!$H$25</f>
        <v>12.519247457627118</v>
      </c>
      <c r="BP18" s="115">
        <f>BO18*L18*$O$11</f>
        <v>235.29864476207007</v>
      </c>
      <c r="BQ18" s="153">
        <f>'Исх.данные'!$E$89</f>
        <v>98.91196513535999</v>
      </c>
      <c r="BR18" s="115">
        <f>BQ18*CB18</f>
        <v>1186.94358162432</v>
      </c>
      <c r="BS18" s="153">
        <f>'Исх.данные'!$E$94</f>
        <v>16.685392176959997</v>
      </c>
      <c r="BT18" s="115">
        <f>BS18*CB18</f>
        <v>200.22470612351998</v>
      </c>
      <c r="BU18" s="153">
        <f>'Исх.данные'!$E$99</f>
        <v>5.761862046719998</v>
      </c>
      <c r="BV18" s="115">
        <f>BU18*CB18</f>
        <v>69.14234456063998</v>
      </c>
      <c r="BW18" s="115">
        <f>аморт!$D$25*10%/аморт!$G$25*L18*O11</f>
        <v>235.29864476207007</v>
      </c>
      <c r="BX18" s="115">
        <f t="shared" si="21"/>
        <v>20869.86389740257</v>
      </c>
      <c r="BY18" s="153">
        <f t="shared" si="22"/>
        <v>17.391553247835475</v>
      </c>
      <c r="BZ18" s="186">
        <f t="shared" si="23"/>
        <v>0.03132491863142018</v>
      </c>
      <c r="CA18" s="153">
        <f>'Исх.данные'!$B$109</f>
        <v>5.1</v>
      </c>
      <c r="CB18" s="151">
        <f>CA18*L18</f>
        <v>12</v>
      </c>
    </row>
    <row r="19" spans="1:80" ht="22.5">
      <c r="A19" s="20">
        <f t="shared" si="1"/>
        <v>4</v>
      </c>
      <c r="B19" s="28" t="s">
        <v>60</v>
      </c>
      <c r="C19" s="30"/>
      <c r="D19" s="418" t="s">
        <v>143</v>
      </c>
      <c r="E19" s="419"/>
      <c r="F19" s="29" t="s">
        <v>144</v>
      </c>
      <c r="G19" s="179">
        <f>Нормы!C17*'О-РС'!D6/1000</f>
        <v>0.6</v>
      </c>
      <c r="H19" s="147" t="s">
        <v>514</v>
      </c>
      <c r="I19" s="147" t="s">
        <v>515</v>
      </c>
      <c r="J19" s="122">
        <f t="shared" si="24"/>
        <v>0.05454545454545454</v>
      </c>
      <c r="K19" s="150">
        <v>5.5</v>
      </c>
      <c r="L19" s="148">
        <f t="shared" si="2"/>
        <v>0.10909090909090909</v>
      </c>
      <c r="M19" s="149"/>
      <c r="N19" s="149">
        <v>2</v>
      </c>
      <c r="O19" s="121">
        <f t="shared" si="3"/>
        <v>0</v>
      </c>
      <c r="P19" s="121">
        <f t="shared" si="4"/>
        <v>0.8714022819285977</v>
      </c>
      <c r="Q19" s="149">
        <v>2</v>
      </c>
      <c r="R19" s="122">
        <f>IF(AND(O19&gt;0,Q19&gt;0),SUMIF('Исх.данные'!$C$14:$H$14,Q19,'Исх.данные'!$C$18:$H$18),IF(O19=0,0,IF(Q19=0,"РОТ")))</f>
        <v>0</v>
      </c>
      <c r="S19" s="149">
        <v>2</v>
      </c>
      <c r="T19" s="122">
        <f>IF(AND(N19&gt;0,P19&gt;0),SUMIF('Исх.данные'!$C$14:$J$15,S19,'Исх.данные'!$C$34:J41),IF(N19=0,0,IF(S19=0,"РОТ")))</f>
        <v>105.700598073999</v>
      </c>
      <c r="U19" s="144">
        <f>O19*R19*'Исх.данные'!$C$43%</f>
        <v>0</v>
      </c>
      <c r="V19" s="144">
        <f>P19*T19*'Исх.данные'!$C$44%</f>
        <v>0</v>
      </c>
      <c r="W19" s="144">
        <f t="shared" si="5"/>
        <v>0</v>
      </c>
      <c r="X19" s="145">
        <f t="shared" si="6"/>
        <v>0</v>
      </c>
      <c r="Y19" s="144">
        <f t="shared" si="7"/>
        <v>0</v>
      </c>
      <c r="Z19" s="145">
        <f t="shared" si="8"/>
        <v>4.605387118145013</v>
      </c>
      <c r="AA19" s="144">
        <f t="shared" si="9"/>
        <v>0</v>
      </c>
      <c r="AB19" s="145">
        <f t="shared" si="10"/>
        <v>0</v>
      </c>
      <c r="AC19" s="143">
        <v>2.5</v>
      </c>
      <c r="AD19" s="144">
        <f t="shared" si="11"/>
        <v>0</v>
      </c>
      <c r="AE19" s="144">
        <f t="shared" si="12"/>
        <v>241.7828237026132</v>
      </c>
      <c r="AF19" s="121">
        <f t="shared" si="13"/>
        <v>0</v>
      </c>
      <c r="AG19" s="152">
        <f t="shared" si="14"/>
        <v>35.81967758557232</v>
      </c>
      <c r="AH19" s="121">
        <f t="shared" si="15"/>
        <v>0</v>
      </c>
      <c r="AI19" s="121">
        <f t="shared" si="16"/>
        <v>277.6025012881855</v>
      </c>
      <c r="AJ19" s="121">
        <f t="shared" si="17"/>
        <v>0</v>
      </c>
      <c r="AK19" s="152">
        <f t="shared" si="18"/>
        <v>85.22396789547295</v>
      </c>
      <c r="AL19" s="121">
        <f t="shared" si="19"/>
        <v>0</v>
      </c>
      <c r="AM19" s="152">
        <f t="shared" si="20"/>
        <v>362.82646918365845</v>
      </c>
      <c r="AN19" s="150"/>
      <c r="AO19" s="148">
        <f t="shared" si="25"/>
        <v>0.84</v>
      </c>
      <c r="AP19" s="123"/>
      <c r="AQ19" s="156"/>
      <c r="AR19" s="156"/>
      <c r="AS19" s="115"/>
      <c r="AT19" s="150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>
        <f aca="true" t="shared" si="26" ref="BN19:BN46">BM19*L19</f>
        <v>0</v>
      </c>
      <c r="BO19" s="115"/>
      <c r="BP19" s="115">
        <f aca="true" t="shared" si="27" ref="BP19:BP46">BO19*L19</f>
        <v>0</v>
      </c>
      <c r="BQ19" s="153"/>
      <c r="BR19" s="115"/>
      <c r="BS19" s="153"/>
      <c r="BT19" s="115"/>
      <c r="BU19" s="153"/>
      <c r="BV19" s="115"/>
      <c r="BW19" s="115"/>
      <c r="BX19" s="115">
        <f t="shared" si="21"/>
        <v>362.82646918365845</v>
      </c>
      <c r="BY19" s="153">
        <f t="shared" si="22"/>
        <v>0.30235539098638203</v>
      </c>
      <c r="BZ19" s="186">
        <f t="shared" si="23"/>
        <v>0.0007261685682738314</v>
      </c>
      <c r="CA19" s="153"/>
      <c r="CB19" s="151"/>
    </row>
    <row r="20" spans="1:80" ht="11.25">
      <c r="A20" s="20">
        <f t="shared" si="1"/>
        <v>5</v>
      </c>
      <c r="B20" s="28" t="s">
        <v>61</v>
      </c>
      <c r="C20" s="30"/>
      <c r="D20" s="31" t="s">
        <v>133</v>
      </c>
      <c r="E20" s="32" t="s">
        <v>140</v>
      </c>
      <c r="F20" s="29" t="s">
        <v>144</v>
      </c>
      <c r="G20" s="179">
        <f>G19</f>
        <v>0.6</v>
      </c>
      <c r="H20" s="147" t="s">
        <v>514</v>
      </c>
      <c r="I20" s="147" t="s">
        <v>515</v>
      </c>
      <c r="J20" s="122">
        <f t="shared" si="24"/>
        <v>0.01</v>
      </c>
      <c r="K20" s="150">
        <v>30</v>
      </c>
      <c r="L20" s="148">
        <f t="shared" si="2"/>
        <v>0.02</v>
      </c>
      <c r="M20" s="149">
        <v>1</v>
      </c>
      <c r="N20" s="149">
        <v>2</v>
      </c>
      <c r="O20" s="121">
        <f t="shared" si="3"/>
        <v>0.1597570850202429</v>
      </c>
      <c r="P20" s="121">
        <f t="shared" si="4"/>
        <v>0.1597570850202429</v>
      </c>
      <c r="Q20" s="149">
        <v>2</v>
      </c>
      <c r="R20" s="122">
        <f>IF(AND(O20&gt;0,Q20&gt;0),SUMIF('Исх.данные'!$C$14:$H$14,Q20,'Исх.данные'!$C$18:$H$18),IF(O20=0,0,IF(Q20=0,"РОТ")))</f>
        <v>126.44557526609226</v>
      </c>
      <c r="S20" s="149">
        <v>2</v>
      </c>
      <c r="T20" s="122">
        <f>IF(AND(N20&gt;0,P20&gt;0),SUMIF('Исх.данные'!$C$14:$J$15,S20,'Исх.данные'!$C$34:J41),IF(N20=0,0,IF(S20=0,"РОТ")))</f>
        <v>105.700598073999</v>
      </c>
      <c r="U20" s="144">
        <f>O20*R20*'Исх.данные'!$C$43%</f>
        <v>0</v>
      </c>
      <c r="V20" s="144">
        <f>P20*T20*'Исх.данные'!$C$44%</f>
        <v>0</v>
      </c>
      <c r="W20" s="144">
        <f t="shared" si="5"/>
        <v>0</v>
      </c>
      <c r="X20" s="145">
        <f t="shared" si="6"/>
        <v>0</v>
      </c>
      <c r="Y20" s="144">
        <f t="shared" si="7"/>
        <v>2.0200576518218627</v>
      </c>
      <c r="Z20" s="145">
        <f t="shared" si="8"/>
        <v>0.8443209716599193</v>
      </c>
      <c r="AA20" s="144">
        <f t="shared" si="9"/>
        <v>0</v>
      </c>
      <c r="AB20" s="145">
        <f t="shared" si="10"/>
        <v>0</v>
      </c>
      <c r="AC20" s="143">
        <v>2.5</v>
      </c>
      <c r="AD20" s="144">
        <f t="shared" si="11"/>
        <v>55.551585425101216</v>
      </c>
      <c r="AE20" s="144">
        <f t="shared" si="12"/>
        <v>44.32685101214575</v>
      </c>
      <c r="AF20" s="121">
        <f t="shared" si="13"/>
        <v>8.229864507422402</v>
      </c>
      <c r="AG20" s="152">
        <f t="shared" si="14"/>
        <v>6.566940890688259</v>
      </c>
      <c r="AH20" s="121">
        <f t="shared" si="15"/>
        <v>63.781449932523614</v>
      </c>
      <c r="AI20" s="121">
        <f t="shared" si="16"/>
        <v>50.89379190283401</v>
      </c>
      <c r="AJ20" s="121">
        <f t="shared" si="17"/>
        <v>19.580905129284748</v>
      </c>
      <c r="AK20" s="152">
        <f t="shared" si="18"/>
        <v>15.624394114170041</v>
      </c>
      <c r="AL20" s="121">
        <f t="shared" si="19"/>
        <v>83.36235506180836</v>
      </c>
      <c r="AM20" s="152">
        <f t="shared" si="20"/>
        <v>66.51818601700406</v>
      </c>
      <c r="AN20" s="180">
        <v>2</v>
      </c>
      <c r="AO20" s="148">
        <f t="shared" si="25"/>
        <v>0.84</v>
      </c>
      <c r="AP20" s="123">
        <f>(G20*AN20)*AO20/100</f>
        <v>0.01008</v>
      </c>
      <c r="AQ20" s="163" t="s">
        <v>187</v>
      </c>
      <c r="AR20" s="122">
        <f>'Исх.данные'!$G$85</f>
        <v>9559.371428571429</v>
      </c>
      <c r="AS20" s="115">
        <f>AP20*AR20</f>
        <v>96.358464</v>
      </c>
      <c r="AT20" s="150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>
        <f>аморт!$H$10</f>
        <v>69.6969696969697</v>
      </c>
      <c r="BN20" s="115">
        <f>BM20*L20*$O$11</f>
        <v>11.134584713532083</v>
      </c>
      <c r="BO20" s="156">
        <f>аморт!$H$25</f>
        <v>12.519247457627118</v>
      </c>
      <c r="BP20" s="115">
        <f>BO20*L20*$O$11</f>
        <v>2.000038480477596</v>
      </c>
      <c r="BQ20" s="153">
        <f>'Исх.данные'!$E$89</f>
        <v>98.91196513535999</v>
      </c>
      <c r="BR20" s="115">
        <f>BQ20*CB20</f>
        <v>10.089020443806719</v>
      </c>
      <c r="BS20" s="153">
        <f>'Исх.данные'!$E$94</f>
        <v>16.685392176959997</v>
      </c>
      <c r="BT20" s="115">
        <f>BS20*CB20</f>
        <v>1.7019100020499196</v>
      </c>
      <c r="BU20" s="153">
        <f>'Исх.данные'!$E$99</f>
        <v>5.761862046719998</v>
      </c>
      <c r="BV20" s="115">
        <f>BU20*CB20</f>
        <v>0.5877099287654398</v>
      </c>
      <c r="BW20" s="115">
        <f>аморт!$D$25*10%/аморт!$G$25*L20*O11</f>
        <v>2.000038480477596</v>
      </c>
      <c r="BX20" s="115">
        <f t="shared" si="21"/>
        <v>273.75230712792177</v>
      </c>
      <c r="BY20" s="153">
        <f t="shared" si="22"/>
        <v>0.22812692260660147</v>
      </c>
      <c r="BZ20" s="186">
        <f t="shared" si="23"/>
        <v>0.00026626180836707153</v>
      </c>
      <c r="CA20" s="153">
        <f>'Исх.данные'!$B$109</f>
        <v>5.1</v>
      </c>
      <c r="CB20" s="151">
        <f>CA20*L20</f>
        <v>0.102</v>
      </c>
    </row>
    <row r="21" spans="1:80" ht="22.5">
      <c r="A21" s="20">
        <f t="shared" si="1"/>
        <v>6</v>
      </c>
      <c r="B21" s="28" t="s">
        <v>62</v>
      </c>
      <c r="C21" s="30"/>
      <c r="D21" s="418" t="s">
        <v>143</v>
      </c>
      <c r="E21" s="419"/>
      <c r="F21" s="29" t="s">
        <v>144</v>
      </c>
      <c r="G21" s="178">
        <f>G18</f>
        <v>60</v>
      </c>
      <c r="H21" s="147" t="s">
        <v>514</v>
      </c>
      <c r="I21" s="147" t="s">
        <v>515</v>
      </c>
      <c r="J21" s="122">
        <f t="shared" si="24"/>
        <v>9.23076923076923</v>
      </c>
      <c r="K21" s="150">
        <v>6.5</v>
      </c>
      <c r="L21" s="148">
        <f t="shared" si="2"/>
        <v>9.23076923076923</v>
      </c>
      <c r="M21" s="149"/>
      <c r="N21" s="149">
        <v>1</v>
      </c>
      <c r="O21" s="121">
        <f t="shared" si="3"/>
        <v>0</v>
      </c>
      <c r="P21" s="121">
        <f t="shared" si="4"/>
        <v>73.73403924011211</v>
      </c>
      <c r="Q21" s="149"/>
      <c r="R21" s="148"/>
      <c r="S21" s="149">
        <v>3</v>
      </c>
      <c r="T21" s="122">
        <f>IF(AND(N21&gt;0,P21&gt;0),SUMIF('Исх.данные'!$C$14:$J$15,S21,'Исх.данные'!$C$34:J42),IF(N21=0,0,IF(S21=0,"РОТ")))</f>
        <v>113.60344652812975</v>
      </c>
      <c r="U21" s="144">
        <f>O21*R21*'Исх.данные'!$C$43%</f>
        <v>0</v>
      </c>
      <c r="V21" s="144">
        <f>P21*T21*'Исх.данные'!$C$44%</f>
        <v>0</v>
      </c>
      <c r="W21" s="144">
        <f t="shared" si="5"/>
        <v>0</v>
      </c>
      <c r="X21" s="145">
        <f t="shared" si="6"/>
        <v>0</v>
      </c>
      <c r="Y21" s="144">
        <f t="shared" si="7"/>
        <v>0</v>
      </c>
      <c r="Z21" s="145">
        <f t="shared" si="8"/>
        <v>418.82204920585485</v>
      </c>
      <c r="AA21" s="144">
        <f t="shared" si="9"/>
        <v>0</v>
      </c>
      <c r="AB21" s="145">
        <f t="shared" si="10"/>
        <v>0</v>
      </c>
      <c r="AC21" s="143">
        <v>2.5</v>
      </c>
      <c r="AD21" s="144">
        <f t="shared" si="11"/>
        <v>0</v>
      </c>
      <c r="AE21" s="144">
        <f t="shared" si="12"/>
        <v>21988.15758330738</v>
      </c>
      <c r="AF21" s="121"/>
      <c r="AG21" s="152">
        <f t="shared" si="14"/>
        <v>3257.504827156649</v>
      </c>
      <c r="AH21" s="121"/>
      <c r="AI21" s="121">
        <f t="shared" si="16"/>
        <v>25245.66241046403</v>
      </c>
      <c r="AJ21" s="121"/>
      <c r="AK21" s="152">
        <f t="shared" si="18"/>
        <v>7750.418360012457</v>
      </c>
      <c r="AL21" s="121"/>
      <c r="AM21" s="152">
        <f t="shared" si="20"/>
        <v>32996.08077047649</v>
      </c>
      <c r="AN21" s="150"/>
      <c r="AO21" s="148">
        <f t="shared" si="25"/>
        <v>0.84</v>
      </c>
      <c r="AP21" s="123"/>
      <c r="AQ21" s="156"/>
      <c r="AR21" s="156"/>
      <c r="AS21" s="115"/>
      <c r="AT21" s="150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>
        <f t="shared" si="26"/>
        <v>0</v>
      </c>
      <c r="BO21" s="115"/>
      <c r="BP21" s="115">
        <f t="shared" si="27"/>
        <v>0</v>
      </c>
      <c r="BQ21" s="115"/>
      <c r="BR21" s="115"/>
      <c r="BS21" s="115"/>
      <c r="BT21" s="115"/>
      <c r="BU21" s="115"/>
      <c r="BV21" s="115"/>
      <c r="BW21" s="115"/>
      <c r="BX21" s="115">
        <f t="shared" si="21"/>
        <v>32996.08077047649</v>
      </c>
      <c r="BY21" s="153">
        <f t="shared" si="22"/>
        <v>27.496733975397074</v>
      </c>
      <c r="BZ21" s="186">
        <f t="shared" si="23"/>
        <v>0.061445032700093424</v>
      </c>
      <c r="CA21" s="153"/>
      <c r="CB21" s="151"/>
    </row>
    <row r="22" spans="1:80" ht="11.25">
      <c r="A22" s="20">
        <f t="shared" si="1"/>
        <v>7</v>
      </c>
      <c r="B22" s="28" t="s">
        <v>63</v>
      </c>
      <c r="C22" s="30"/>
      <c r="D22" s="418" t="s">
        <v>143</v>
      </c>
      <c r="E22" s="419"/>
      <c r="F22" s="29" t="s">
        <v>144</v>
      </c>
      <c r="G22" s="178">
        <f>G21</f>
        <v>60</v>
      </c>
      <c r="H22" s="147" t="s">
        <v>514</v>
      </c>
      <c r="I22" s="147" t="s">
        <v>515</v>
      </c>
      <c r="J22" s="122">
        <f t="shared" si="24"/>
        <v>5</v>
      </c>
      <c r="K22" s="150">
        <v>6</v>
      </c>
      <c r="L22" s="148">
        <f t="shared" si="2"/>
        <v>10</v>
      </c>
      <c r="M22" s="149"/>
      <c r="N22" s="149">
        <v>2</v>
      </c>
      <c r="O22" s="121">
        <f t="shared" si="3"/>
        <v>0</v>
      </c>
      <c r="P22" s="121">
        <f t="shared" si="4"/>
        <v>79.87854251012146</v>
      </c>
      <c r="Q22" s="149">
        <v>2</v>
      </c>
      <c r="R22" s="122">
        <f>IF(AND(O22&gt;0,Q22&gt;0),SUMIF('Исх.данные'!$C$14:$H$14,Q22,'Исх.данные'!$C$18:$H$18),IF(O22=0,0,IF(Q22=0,"РОТ")))</f>
        <v>0</v>
      </c>
      <c r="S22" s="149">
        <v>2</v>
      </c>
      <c r="T22" s="122">
        <f>IF(AND(N22&gt;0,P22&gt;0),SUMIF('Исх.данные'!$C$14:$J$15,S22,'Исх.данные'!$C$34:J43),IF(N22=0,0,IF(S22=0,"РОТ")))</f>
        <v>105.700598073999</v>
      </c>
      <c r="U22" s="144">
        <f>O22*R22*'Исх.данные'!$C$43%</f>
        <v>0</v>
      </c>
      <c r="V22" s="144">
        <f>P22*T22*'Исх.данные'!$C$44%</f>
        <v>0</v>
      </c>
      <c r="W22" s="144">
        <f t="shared" si="5"/>
        <v>0</v>
      </c>
      <c r="X22" s="145">
        <f t="shared" si="6"/>
        <v>0</v>
      </c>
      <c r="Y22" s="144">
        <f t="shared" si="7"/>
        <v>0</v>
      </c>
      <c r="Z22" s="145">
        <f t="shared" si="8"/>
        <v>422.16048582995967</v>
      </c>
      <c r="AA22" s="144">
        <f t="shared" si="9"/>
        <v>0</v>
      </c>
      <c r="AB22" s="145">
        <f t="shared" si="10"/>
        <v>0</v>
      </c>
      <c r="AC22" s="143">
        <v>2.5</v>
      </c>
      <c r="AD22" s="144">
        <f t="shared" si="11"/>
        <v>0</v>
      </c>
      <c r="AE22" s="144">
        <f t="shared" si="12"/>
        <v>22163.425506072883</v>
      </c>
      <c r="AF22" s="121">
        <f t="shared" si="13"/>
        <v>0</v>
      </c>
      <c r="AG22" s="152">
        <f t="shared" si="14"/>
        <v>3283.4704453441304</v>
      </c>
      <c r="AH22" s="121">
        <f t="shared" si="15"/>
        <v>0</v>
      </c>
      <c r="AI22" s="121">
        <f t="shared" si="16"/>
        <v>25446.895951417013</v>
      </c>
      <c r="AJ22" s="121">
        <f t="shared" si="17"/>
        <v>0</v>
      </c>
      <c r="AK22" s="152">
        <f t="shared" si="18"/>
        <v>7812.197057085023</v>
      </c>
      <c r="AL22" s="121">
        <f t="shared" si="19"/>
        <v>0</v>
      </c>
      <c r="AM22" s="152">
        <f t="shared" si="20"/>
        <v>33259.09300850204</v>
      </c>
      <c r="AN22" s="150"/>
      <c r="AO22" s="148">
        <f t="shared" si="25"/>
        <v>0.84</v>
      </c>
      <c r="AP22" s="123"/>
      <c r="AQ22" s="156"/>
      <c r="AR22" s="156"/>
      <c r="AS22" s="115"/>
      <c r="AT22" s="150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>
        <f t="shared" si="26"/>
        <v>0</v>
      </c>
      <c r="BO22" s="115"/>
      <c r="BP22" s="115">
        <f t="shared" si="27"/>
        <v>0</v>
      </c>
      <c r="BQ22" s="153"/>
      <c r="BR22" s="115"/>
      <c r="BS22" s="153"/>
      <c r="BT22" s="115"/>
      <c r="BU22" s="153"/>
      <c r="BV22" s="115"/>
      <c r="BW22" s="115"/>
      <c r="BX22" s="115">
        <f t="shared" si="21"/>
        <v>33259.09300850204</v>
      </c>
      <c r="BY22" s="153">
        <f t="shared" si="22"/>
        <v>27.715910840418363</v>
      </c>
      <c r="BZ22" s="186">
        <f t="shared" si="23"/>
        <v>0.06656545209176788</v>
      </c>
      <c r="CA22" s="153"/>
      <c r="CB22" s="151"/>
    </row>
    <row r="23" spans="1:80" ht="11.25">
      <c r="A23" s="20">
        <f t="shared" si="1"/>
        <v>8</v>
      </c>
      <c r="B23" s="28" t="s">
        <v>519</v>
      </c>
      <c r="C23" s="30"/>
      <c r="D23" s="31" t="s">
        <v>133</v>
      </c>
      <c r="E23" s="32" t="s">
        <v>140</v>
      </c>
      <c r="F23" s="29" t="s">
        <v>144</v>
      </c>
      <c r="G23" s="178">
        <f>G22</f>
        <v>60</v>
      </c>
      <c r="H23" s="147" t="s">
        <v>514</v>
      </c>
      <c r="I23" s="147" t="s">
        <v>515</v>
      </c>
      <c r="J23" s="122">
        <f t="shared" si="24"/>
        <v>1</v>
      </c>
      <c r="K23" s="150">
        <v>30</v>
      </c>
      <c r="L23" s="148">
        <f t="shared" si="2"/>
        <v>2</v>
      </c>
      <c r="M23" s="149">
        <v>1</v>
      </c>
      <c r="N23" s="149">
        <v>2</v>
      </c>
      <c r="O23" s="121">
        <f t="shared" si="3"/>
        <v>15.975708502024291</v>
      </c>
      <c r="P23" s="121">
        <f t="shared" si="4"/>
        <v>15.975708502024291</v>
      </c>
      <c r="Q23" s="149">
        <v>2</v>
      </c>
      <c r="R23" s="122">
        <f>IF(AND(O23&gt;0,Q23&gt;0),SUMIF('Исх.данные'!$C$14:$H$14,Q23,'Исх.данные'!$C$18:$H$18),IF(O23=0,0,IF(Q23=0,"РОТ")))</f>
        <v>126.44557526609226</v>
      </c>
      <c r="S23" s="149">
        <v>2</v>
      </c>
      <c r="T23" s="122">
        <f>IF(AND(N23&gt;0,P23&gt;0),SUMIF('Исх.данные'!$C$14:$J$15,S23,'Исх.данные'!$C$34:J44),IF(N23=0,0,IF(S23=0,"РОТ")))</f>
        <v>105.700598073999</v>
      </c>
      <c r="U23" s="144">
        <f>O23*R23*'Исх.данные'!$C$43%</f>
        <v>0</v>
      </c>
      <c r="V23" s="144">
        <f>P23*T23*'Исх.данные'!$C$44%</f>
        <v>0</v>
      </c>
      <c r="W23" s="144">
        <f t="shared" si="5"/>
        <v>0</v>
      </c>
      <c r="X23" s="145">
        <f t="shared" si="6"/>
        <v>0</v>
      </c>
      <c r="Y23" s="144">
        <f t="shared" si="7"/>
        <v>202.00576518218628</v>
      </c>
      <c r="Z23" s="145">
        <f t="shared" si="8"/>
        <v>84.43209716599192</v>
      </c>
      <c r="AA23" s="144">
        <f t="shared" si="9"/>
        <v>0</v>
      </c>
      <c r="AB23" s="145">
        <f t="shared" si="10"/>
        <v>0</v>
      </c>
      <c r="AC23" s="143">
        <v>2.5</v>
      </c>
      <c r="AD23" s="144">
        <f t="shared" si="11"/>
        <v>5555.158542510122</v>
      </c>
      <c r="AE23" s="144">
        <f t="shared" si="12"/>
        <v>4432.685101214575</v>
      </c>
      <c r="AF23" s="121">
        <f t="shared" si="13"/>
        <v>822.9864507422402</v>
      </c>
      <c r="AG23" s="152">
        <f t="shared" si="14"/>
        <v>656.694089068826</v>
      </c>
      <c r="AH23" s="121">
        <f t="shared" si="15"/>
        <v>6378.144993252362</v>
      </c>
      <c r="AI23" s="121">
        <f t="shared" si="16"/>
        <v>5089.379190283401</v>
      </c>
      <c r="AJ23" s="121">
        <f t="shared" si="17"/>
        <v>1958.0905129284752</v>
      </c>
      <c r="AK23" s="152">
        <f t="shared" si="18"/>
        <v>1562.439411417004</v>
      </c>
      <c r="AL23" s="121">
        <f t="shared" si="19"/>
        <v>8336.235506180838</v>
      </c>
      <c r="AM23" s="152">
        <f t="shared" si="20"/>
        <v>6651.8186017004045</v>
      </c>
      <c r="AN23" s="180">
        <v>2</v>
      </c>
      <c r="AO23" s="148">
        <f t="shared" si="25"/>
        <v>0.84</v>
      </c>
      <c r="AP23" s="123">
        <f>(G23*AN23)*AO23/100</f>
        <v>1.008</v>
      </c>
      <c r="AQ23" s="163" t="s">
        <v>187</v>
      </c>
      <c r="AR23" s="122">
        <f>'Исх.данные'!$G$85</f>
        <v>9559.371428571429</v>
      </c>
      <c r="AS23" s="115">
        <f>AP23*AR23</f>
        <v>9635.8464</v>
      </c>
      <c r="AT23" s="150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>
        <f>аморт!$H$10</f>
        <v>69.6969696969697</v>
      </c>
      <c r="BN23" s="115">
        <f>BM23*L23*$O$11</f>
        <v>1113.4584713532083</v>
      </c>
      <c r="BO23" s="156">
        <f>аморт!$H$25</f>
        <v>12.519247457627118</v>
      </c>
      <c r="BP23" s="115">
        <f>BO23*L23*$O$11</f>
        <v>200.00384804775956</v>
      </c>
      <c r="BQ23" s="153">
        <f>'Исх.данные'!$E$89</f>
        <v>98.91196513535999</v>
      </c>
      <c r="BR23" s="115">
        <f>BQ23*CB23</f>
        <v>1008.9020443806719</v>
      </c>
      <c r="BS23" s="153">
        <f>'Исх.данные'!$E$94</f>
        <v>16.685392176959997</v>
      </c>
      <c r="BT23" s="115">
        <f>BS23*CB23</f>
        <v>170.19100020499195</v>
      </c>
      <c r="BU23" s="153">
        <f>'Исх.данные'!$E$99</f>
        <v>5.761862046719998</v>
      </c>
      <c r="BV23" s="115">
        <f>BU23*CB23</f>
        <v>58.77099287654398</v>
      </c>
      <c r="BW23" s="115">
        <f>аморт!$D$25*10%/аморт!$G$25*L23*O11</f>
        <v>200.00384804775956</v>
      </c>
      <c r="BX23" s="115">
        <f t="shared" si="21"/>
        <v>27375.230712792178</v>
      </c>
      <c r="BY23" s="153">
        <f t="shared" si="22"/>
        <v>22.81269226066015</v>
      </c>
      <c r="BZ23" s="186">
        <f t="shared" si="23"/>
        <v>0.02662618083670715</v>
      </c>
      <c r="CA23" s="153">
        <f>'Исх.данные'!$B$109</f>
        <v>5.1</v>
      </c>
      <c r="CB23" s="151">
        <f>CA23*L23</f>
        <v>10.2</v>
      </c>
    </row>
    <row r="24" spans="1:80" ht="22.5">
      <c r="A24" s="20">
        <f t="shared" si="1"/>
        <v>9</v>
      </c>
      <c r="B24" s="28" t="s">
        <v>64</v>
      </c>
      <c r="C24" s="30"/>
      <c r="D24" s="418" t="s">
        <v>143</v>
      </c>
      <c r="E24" s="419"/>
      <c r="F24" s="29" t="s">
        <v>148</v>
      </c>
      <c r="G24" s="181">
        <f>D6</f>
        <v>1200</v>
      </c>
      <c r="H24" s="147" t="s">
        <v>516</v>
      </c>
      <c r="I24" s="147" t="s">
        <v>516</v>
      </c>
      <c r="J24" s="122">
        <f t="shared" si="24"/>
        <v>2</v>
      </c>
      <c r="K24" s="150">
        <v>300</v>
      </c>
      <c r="L24" s="148">
        <f t="shared" si="2"/>
        <v>4</v>
      </c>
      <c r="M24" s="149"/>
      <c r="N24" s="149">
        <v>2</v>
      </c>
      <c r="O24" s="121">
        <f t="shared" si="3"/>
        <v>0</v>
      </c>
      <c r="P24" s="121">
        <f t="shared" si="4"/>
        <v>31.951417004048583</v>
      </c>
      <c r="Q24" s="149"/>
      <c r="R24" s="122"/>
      <c r="S24" s="149">
        <v>3</v>
      </c>
      <c r="T24" s="122">
        <f>IF(AND(N24&gt;0,P24&gt;0),SUMIF('Исх.данные'!$C$14:$J$15,S24,'Исх.данные'!$C$34:J45),IF(N24=0,0,IF(S24=0,"РОТ")))</f>
        <v>113.60344652812975</v>
      </c>
      <c r="U24" s="144">
        <f>O24*R24*'Исх.данные'!$C$43%</f>
        <v>0</v>
      </c>
      <c r="V24" s="144">
        <f>P24*T24*'Исх.данные'!$C$44%</f>
        <v>0</v>
      </c>
      <c r="W24" s="144">
        <f t="shared" si="5"/>
        <v>0</v>
      </c>
      <c r="X24" s="145">
        <f t="shared" si="6"/>
        <v>0</v>
      </c>
      <c r="Y24" s="144">
        <f t="shared" si="7"/>
        <v>0</v>
      </c>
      <c r="Z24" s="145">
        <f t="shared" si="8"/>
        <v>181.48955465587045</v>
      </c>
      <c r="AA24" s="144">
        <f t="shared" si="9"/>
        <v>0</v>
      </c>
      <c r="AB24" s="145">
        <f t="shared" si="10"/>
        <v>0</v>
      </c>
      <c r="AC24" s="143">
        <v>2.5</v>
      </c>
      <c r="AD24" s="144">
        <f t="shared" si="11"/>
        <v>0</v>
      </c>
      <c r="AE24" s="144">
        <f t="shared" si="12"/>
        <v>9528.201619433199</v>
      </c>
      <c r="AF24" s="121"/>
      <c r="AG24" s="152">
        <f t="shared" si="14"/>
        <v>1411.5854251012147</v>
      </c>
      <c r="AH24" s="121"/>
      <c r="AI24" s="121">
        <f t="shared" si="16"/>
        <v>10939.787044534414</v>
      </c>
      <c r="AJ24" s="121"/>
      <c r="AK24" s="152">
        <f t="shared" si="18"/>
        <v>3358.5146226720653</v>
      </c>
      <c r="AL24" s="121"/>
      <c r="AM24" s="152">
        <f t="shared" si="20"/>
        <v>14298.30166720648</v>
      </c>
      <c r="AN24" s="180"/>
      <c r="AO24" s="148"/>
      <c r="AP24" s="123"/>
      <c r="AQ24" s="163"/>
      <c r="AR24" s="122"/>
      <c r="AS24" s="115"/>
      <c r="AT24" s="150"/>
      <c r="AU24" s="115"/>
      <c r="AV24" s="115"/>
      <c r="AW24" s="115"/>
      <c r="AX24" s="115">
        <f>Нормы!C19</f>
        <v>50</v>
      </c>
      <c r="AY24" s="115">
        <f>AX24*G24/1000</f>
        <v>60</v>
      </c>
      <c r="AZ24" s="153">
        <f>Нормы!D19</f>
        <v>1.4164704000000001</v>
      </c>
      <c r="BA24" s="115">
        <f>AY24*AZ24*1000</f>
        <v>84988.224</v>
      </c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>
        <f t="shared" si="26"/>
        <v>0</v>
      </c>
      <c r="BO24" s="115"/>
      <c r="BP24" s="115">
        <f t="shared" si="27"/>
        <v>0</v>
      </c>
      <c r="BQ24" s="153"/>
      <c r="BR24" s="115"/>
      <c r="BS24" s="153"/>
      <c r="BT24" s="115"/>
      <c r="BU24" s="153"/>
      <c r="BV24" s="115"/>
      <c r="BW24" s="115"/>
      <c r="BX24" s="115">
        <f t="shared" si="21"/>
        <v>99286.52566720649</v>
      </c>
      <c r="BY24" s="153">
        <f t="shared" si="22"/>
        <v>82.73877138933874</v>
      </c>
      <c r="BZ24" s="186">
        <f t="shared" si="23"/>
        <v>0.02662618083670715</v>
      </c>
      <c r="CA24" s="153"/>
      <c r="CB24" s="151"/>
    </row>
    <row r="25" spans="1:80" ht="11.25">
      <c r="A25" s="20">
        <f t="shared" si="1"/>
        <v>10</v>
      </c>
      <c r="B25" s="28" t="s">
        <v>65</v>
      </c>
      <c r="C25" s="30"/>
      <c r="D25" s="418" t="s">
        <v>143</v>
      </c>
      <c r="E25" s="419"/>
      <c r="F25" s="29" t="s">
        <v>148</v>
      </c>
      <c r="G25" s="181">
        <f>D6</f>
        <v>1200</v>
      </c>
      <c r="H25" s="147" t="s">
        <v>516</v>
      </c>
      <c r="I25" s="147" t="s">
        <v>516</v>
      </c>
      <c r="J25" s="122">
        <f t="shared" si="24"/>
        <v>1.7142857142857142</v>
      </c>
      <c r="K25" s="150">
        <v>700</v>
      </c>
      <c r="L25" s="148">
        <f t="shared" si="2"/>
        <v>1.7142857142857142</v>
      </c>
      <c r="M25" s="149"/>
      <c r="N25" s="149">
        <v>1</v>
      </c>
      <c r="O25" s="121">
        <f t="shared" si="3"/>
        <v>0</v>
      </c>
      <c r="P25" s="121">
        <f t="shared" si="4"/>
        <v>13.693464430306534</v>
      </c>
      <c r="Q25" s="149"/>
      <c r="R25" s="148"/>
      <c r="S25" s="149">
        <v>2</v>
      </c>
      <c r="T25" s="122">
        <f>IF(AND(N25&gt;0,P25&gt;0),SUMIF('Исх.данные'!$C$14:$J$15,S25,'Исх.данные'!$C$34:J46),IF(N25=0,0,IF(S25=0,"РОТ")))</f>
        <v>105.700598073999</v>
      </c>
      <c r="U25" s="144">
        <f>O25*R25*'Исх.данные'!$C$43%</f>
        <v>0</v>
      </c>
      <c r="V25" s="144">
        <f>P25*T25*'Исх.данные'!$C$44%</f>
        <v>0</v>
      </c>
      <c r="W25" s="144">
        <f t="shared" si="5"/>
        <v>0</v>
      </c>
      <c r="X25" s="145">
        <f t="shared" si="6"/>
        <v>0</v>
      </c>
      <c r="Y25" s="144">
        <f t="shared" si="7"/>
        <v>0</v>
      </c>
      <c r="Z25" s="145">
        <f t="shared" si="8"/>
        <v>72.37036899942164</v>
      </c>
      <c r="AA25" s="144">
        <f t="shared" si="9"/>
        <v>0</v>
      </c>
      <c r="AB25" s="145">
        <f t="shared" si="10"/>
        <v>0</v>
      </c>
      <c r="AC25" s="143">
        <v>2.5</v>
      </c>
      <c r="AD25" s="144">
        <f t="shared" si="11"/>
        <v>0</v>
      </c>
      <c r="AE25" s="144">
        <f t="shared" si="12"/>
        <v>3799.4443724696357</v>
      </c>
      <c r="AF25" s="121"/>
      <c r="AG25" s="152">
        <f t="shared" si="14"/>
        <v>562.8806477732793</v>
      </c>
      <c r="AH25" s="121"/>
      <c r="AI25" s="121">
        <f t="shared" si="16"/>
        <v>4362.325020242915</v>
      </c>
      <c r="AJ25" s="121"/>
      <c r="AK25" s="152">
        <f t="shared" si="18"/>
        <v>1339.233781214575</v>
      </c>
      <c r="AL25" s="121"/>
      <c r="AM25" s="152">
        <f t="shared" si="20"/>
        <v>5701.5588014574905</v>
      </c>
      <c r="AN25" s="150"/>
      <c r="AO25" s="150"/>
      <c r="AP25" s="115"/>
      <c r="AQ25" s="156"/>
      <c r="AR25" s="156"/>
      <c r="AS25" s="115"/>
      <c r="AT25" s="150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>
        <f t="shared" si="26"/>
        <v>0</v>
      </c>
      <c r="BO25" s="115"/>
      <c r="BP25" s="115">
        <f t="shared" si="27"/>
        <v>0</v>
      </c>
      <c r="BQ25" s="115"/>
      <c r="BR25" s="115"/>
      <c r="BS25" s="115"/>
      <c r="BT25" s="115"/>
      <c r="BU25" s="115"/>
      <c r="BV25" s="115"/>
      <c r="BW25" s="115"/>
      <c r="BX25" s="115">
        <f t="shared" si="21"/>
        <v>5701.5588014574905</v>
      </c>
      <c r="BY25" s="153">
        <f t="shared" si="22"/>
        <v>4.7512990012145755</v>
      </c>
      <c r="BZ25" s="186">
        <f t="shared" si="23"/>
        <v>0.011411220358588778</v>
      </c>
      <c r="CA25" s="153"/>
      <c r="CB25" s="151"/>
    </row>
    <row r="26" spans="1:80" s="65" customFormat="1" ht="11.25">
      <c r="A26" s="62"/>
      <c r="B26" s="55" t="s">
        <v>22</v>
      </c>
      <c r="C26" s="64"/>
      <c r="D26" s="67"/>
      <c r="E26" s="61"/>
      <c r="F26" s="63"/>
      <c r="G26" s="170"/>
      <c r="H26" s="170"/>
      <c r="I26" s="170"/>
      <c r="J26" s="171">
        <f>SUM(J16:J25)</f>
        <v>20.636070987835694</v>
      </c>
      <c r="K26" s="171"/>
      <c r="L26" s="171">
        <f aca="true" t="shared" si="28" ref="L26:BT26">SUM(L16:L25)</f>
        <v>30.127087030616444</v>
      </c>
      <c r="M26" s="171">
        <f t="shared" si="28"/>
        <v>5</v>
      </c>
      <c r="N26" s="171">
        <f t="shared" si="28"/>
        <v>16</v>
      </c>
      <c r="O26" s="171">
        <f t="shared" si="28"/>
        <v>40.521914741605144</v>
      </c>
      <c r="P26" s="171">
        <f t="shared" si="28"/>
        <v>239.05320935792003</v>
      </c>
      <c r="Q26" s="171"/>
      <c r="R26" s="171"/>
      <c r="S26" s="171"/>
      <c r="T26" s="171"/>
      <c r="U26" s="171">
        <f t="shared" si="28"/>
        <v>0</v>
      </c>
      <c r="V26" s="171">
        <f t="shared" si="28"/>
        <v>0</v>
      </c>
      <c r="W26" s="171">
        <f t="shared" si="28"/>
        <v>0</v>
      </c>
      <c r="X26" s="171">
        <f t="shared" si="28"/>
        <v>0</v>
      </c>
      <c r="Y26" s="171">
        <f t="shared" si="28"/>
        <v>564.3034763705646</v>
      </c>
      <c r="Z26" s="171">
        <f t="shared" si="28"/>
        <v>1308.7150498483086</v>
      </c>
      <c r="AA26" s="171">
        <f t="shared" si="28"/>
        <v>0</v>
      </c>
      <c r="AB26" s="171">
        <f t="shared" si="28"/>
        <v>0</v>
      </c>
      <c r="AC26" s="171"/>
      <c r="AD26" s="171">
        <f t="shared" si="28"/>
        <v>15518.345600190523</v>
      </c>
      <c r="AE26" s="171">
        <f t="shared" si="28"/>
        <v>68707.5401170362</v>
      </c>
      <c r="AF26" s="171">
        <f t="shared" si="28"/>
        <v>2299.0141629911886</v>
      </c>
      <c r="AG26" s="171">
        <f t="shared" si="28"/>
        <v>10178.894832153512</v>
      </c>
      <c r="AH26" s="171">
        <f t="shared" si="28"/>
        <v>17817.359763181714</v>
      </c>
      <c r="AI26" s="171">
        <f t="shared" si="28"/>
        <v>78886.43494918972</v>
      </c>
      <c r="AJ26" s="171">
        <f t="shared" si="28"/>
        <v>5469.929447296786</v>
      </c>
      <c r="AK26" s="171">
        <f t="shared" si="28"/>
        <v>24218.13552940124</v>
      </c>
      <c r="AL26" s="171">
        <f t="shared" si="28"/>
        <v>23287.2892104785</v>
      </c>
      <c r="AM26" s="171">
        <f t="shared" si="28"/>
        <v>103104.57047859096</v>
      </c>
      <c r="AN26" s="171"/>
      <c r="AO26" s="171"/>
      <c r="AP26" s="171">
        <f t="shared" si="28"/>
        <v>2.07648</v>
      </c>
      <c r="AQ26" s="171"/>
      <c r="AR26" s="171"/>
      <c r="AS26" s="171">
        <f t="shared" si="28"/>
        <v>14364.184896</v>
      </c>
      <c r="AT26" s="171"/>
      <c r="AU26" s="171">
        <f t="shared" si="28"/>
        <v>0</v>
      </c>
      <c r="AV26" s="171"/>
      <c r="AW26" s="171">
        <f t="shared" si="28"/>
        <v>0</v>
      </c>
      <c r="AX26" s="171"/>
      <c r="AY26" s="171">
        <f t="shared" si="28"/>
        <v>60</v>
      </c>
      <c r="AZ26" s="171"/>
      <c r="BA26" s="171">
        <f t="shared" si="28"/>
        <v>84988.224</v>
      </c>
      <c r="BB26" s="171"/>
      <c r="BC26" s="171">
        <f t="shared" si="28"/>
        <v>0</v>
      </c>
      <c r="BD26" s="171"/>
      <c r="BE26" s="171">
        <f t="shared" si="28"/>
        <v>0</v>
      </c>
      <c r="BF26" s="171"/>
      <c r="BG26" s="171">
        <f t="shared" si="28"/>
        <v>0</v>
      </c>
      <c r="BH26" s="171"/>
      <c r="BI26" s="171">
        <f t="shared" si="28"/>
        <v>0</v>
      </c>
      <c r="BJ26" s="171"/>
      <c r="BK26" s="171"/>
      <c r="BL26" s="171"/>
      <c r="BM26" s="171"/>
      <c r="BN26" s="171">
        <f t="shared" si="28"/>
        <v>2779.9979691918643</v>
      </c>
      <c r="BO26" s="171"/>
      <c r="BP26" s="171">
        <f t="shared" si="28"/>
        <v>734.7268077082751</v>
      </c>
      <c r="BQ26" s="171"/>
      <c r="BR26" s="171">
        <f t="shared" si="28"/>
        <v>2717.1558565440305</v>
      </c>
      <c r="BS26" s="171"/>
      <c r="BT26" s="171">
        <f t="shared" si="28"/>
        <v>428.98719473168825</v>
      </c>
      <c r="BU26" s="171"/>
      <c r="BV26" s="171">
        <f aca="true" t="shared" si="29" ref="BV26:CB26">SUM(BV16:BV25)</f>
        <v>169.0357468646246</v>
      </c>
      <c r="BW26" s="171">
        <f t="shared" si="29"/>
        <v>492.30364726871477</v>
      </c>
      <c r="BX26" s="171">
        <f t="shared" si="29"/>
        <v>233066.47580737868</v>
      </c>
      <c r="BY26" s="171"/>
      <c r="BZ26" s="171"/>
      <c r="CA26" s="171"/>
      <c r="CB26" s="171">
        <f t="shared" si="29"/>
        <v>27.342</v>
      </c>
    </row>
    <row r="27" spans="1:80" s="7" customFormat="1" ht="11.25">
      <c r="A27" s="21"/>
      <c r="B27" s="399" t="s">
        <v>75</v>
      </c>
      <c r="C27" s="399"/>
      <c r="D27" s="399"/>
      <c r="E27" s="399"/>
      <c r="F27" s="23"/>
      <c r="G27" s="154"/>
      <c r="H27" s="154"/>
      <c r="I27" s="154"/>
      <c r="J27" s="154"/>
      <c r="K27" s="154"/>
      <c r="L27" s="166"/>
      <c r="M27" s="154"/>
      <c r="N27" s="154"/>
      <c r="O27" s="167"/>
      <c r="P27" s="167"/>
      <c r="Q27" s="155"/>
      <c r="R27" s="154"/>
      <c r="S27" s="155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68"/>
      <c r="AH27" s="167"/>
      <c r="AI27" s="167"/>
      <c r="AJ27" s="167"/>
      <c r="AK27" s="167"/>
      <c r="AL27" s="167"/>
      <c r="AM27" s="167"/>
      <c r="AN27" s="154"/>
      <c r="AO27" s="154"/>
      <c r="AP27" s="169"/>
      <c r="AQ27" s="155"/>
      <c r="AR27" s="155"/>
      <c r="AS27" s="169"/>
      <c r="AT27" s="154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15">
        <f t="shared" si="26"/>
        <v>0</v>
      </c>
      <c r="BO27" s="169"/>
      <c r="BP27" s="115">
        <f t="shared" si="27"/>
        <v>0</v>
      </c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</row>
    <row r="28" spans="1:80" s="7" customFormat="1" ht="22.5">
      <c r="A28" s="19">
        <v>1</v>
      </c>
      <c r="B28" s="28" t="s">
        <v>85</v>
      </c>
      <c r="C28" s="30"/>
      <c r="D28" s="425" t="s">
        <v>165</v>
      </c>
      <c r="E28" s="425"/>
      <c r="F28" s="29" t="s">
        <v>148</v>
      </c>
      <c r="G28" s="181">
        <f>D6</f>
        <v>1200</v>
      </c>
      <c r="H28" s="146" t="s">
        <v>517</v>
      </c>
      <c r="I28" s="146" t="s">
        <v>517</v>
      </c>
      <c r="J28" s="122">
        <f aca="true" t="shared" si="30" ref="J28:J37">L28/N28</f>
        <v>2.727272727272727</v>
      </c>
      <c r="K28" s="150">
        <v>220</v>
      </c>
      <c r="L28" s="148">
        <f aca="true" t="shared" si="31" ref="L28:L37">IF((M28+N28)&gt;0,G28/K28,0)</f>
        <v>5.454545454545454</v>
      </c>
      <c r="M28" s="154"/>
      <c r="N28" s="154">
        <v>2</v>
      </c>
      <c r="O28" s="121">
        <f aca="true" t="shared" si="32" ref="O28:O37">IF(M28=0,0,L28*$O$11)</f>
        <v>0</v>
      </c>
      <c r="P28" s="121">
        <f aca="true" t="shared" si="33" ref="P28:P37">IF(N28=0,0,L28*$O$11)</f>
        <v>43.57011409642988</v>
      </c>
      <c r="Q28" s="155"/>
      <c r="R28" s="154"/>
      <c r="S28" s="155">
        <v>3</v>
      </c>
      <c r="T28" s="122">
        <f>IF(AND(N28&gt;0,P28&gt;0),SUMIF('Исх.данные'!$C$14:$J$15,S28,'Исх.данные'!$C$34:J49),IF(N28=0,0,IF(S28=0,"РОТ")))</f>
        <v>113.60344652812975</v>
      </c>
      <c r="U28" s="144">
        <f>O28*R28*'Исх.данные'!$C$43%</f>
        <v>0</v>
      </c>
      <c r="V28" s="144">
        <f>P28*T28*'Исх.данные'!$C$44%</f>
        <v>0</v>
      </c>
      <c r="W28" s="144">
        <f aca="true" t="shared" si="34" ref="W28:W37">O28*R28*$W$11</f>
        <v>0</v>
      </c>
      <c r="X28" s="145">
        <f aca="true" t="shared" si="35" ref="X28:X37">P28*T28*$W$11</f>
        <v>0</v>
      </c>
      <c r="Y28" s="144">
        <f aca="true" t="shared" si="36" ref="Y28:Y37">(O28*R28+U28+W28)*$Y$11</f>
        <v>0</v>
      </c>
      <c r="Z28" s="145">
        <f aca="true" t="shared" si="37" ref="Z28:Z37">(P28*T28+V28+X28)*$Z$11</f>
        <v>247.48575634891424</v>
      </c>
      <c r="AA28" s="144">
        <f aca="true" t="shared" si="38" ref="AA28:AA37">(O28*R28+U28)*$AA$11</f>
        <v>0</v>
      </c>
      <c r="AB28" s="145">
        <f aca="true" t="shared" si="39" ref="AB28:AB37">(P28*T28+V28)*$AA$11</f>
        <v>0</v>
      </c>
      <c r="AC28" s="143">
        <v>2.5</v>
      </c>
      <c r="AD28" s="144">
        <f aca="true" t="shared" si="40" ref="AD28:AD37">(O28*R28+U28+W28+Y28+AA28)*AC28</f>
        <v>0</v>
      </c>
      <c r="AE28" s="144">
        <f aca="true" t="shared" si="41" ref="AE28:AE37">(P28*T28+V28+X28+Z28+AB28)*AC28</f>
        <v>12993.002208317996</v>
      </c>
      <c r="AF28" s="121"/>
      <c r="AG28" s="152">
        <f aca="true" t="shared" si="42" ref="AG28:AG37">AE28*$AF$11</f>
        <v>1924.8892160471103</v>
      </c>
      <c r="AH28" s="121"/>
      <c r="AI28" s="121">
        <f aca="true" t="shared" si="43" ref="AI28:AI37">AE28+AG28</f>
        <v>14917.891424365105</v>
      </c>
      <c r="AJ28" s="121"/>
      <c r="AK28" s="152">
        <f aca="true" t="shared" si="44" ref="AK28:AK37">AI28*$AJ$11</f>
        <v>4579.792667280087</v>
      </c>
      <c r="AL28" s="121"/>
      <c r="AM28" s="152">
        <f aca="true" t="shared" si="45" ref="AM28:AM37">AK28+AI28</f>
        <v>19497.68409164519</v>
      </c>
      <c r="AN28" s="154"/>
      <c r="AO28" s="154"/>
      <c r="AP28" s="169"/>
      <c r="AQ28" s="155"/>
      <c r="AR28" s="155"/>
      <c r="AS28" s="169"/>
      <c r="AT28" s="154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15">
        <f>аморт!H67</f>
        <v>138.30504000000002</v>
      </c>
      <c r="BN28" s="115">
        <f>BM28*L28*$O$11</f>
        <v>6025.9663729113</v>
      </c>
      <c r="BO28" s="169"/>
      <c r="BP28" s="115">
        <f t="shared" si="27"/>
        <v>0</v>
      </c>
      <c r="BQ28" s="169"/>
      <c r="BR28" s="169"/>
      <c r="BS28" s="169"/>
      <c r="BT28" s="169"/>
      <c r="BU28" s="169"/>
      <c r="BV28" s="169"/>
      <c r="BW28" s="115">
        <f>аморт!$D$67*10%/аморт!$G$67*L28*O11</f>
        <v>6025.9663729113</v>
      </c>
      <c r="BX28" s="115">
        <f aca="true" t="shared" si="46" ref="BX28:BX37">AL28+AM28+AS28+AW28+BA28+BE28+BI28+BL28+BN28+BP28+BR28+BT28+BV28+BW28</f>
        <v>31549.616837467795</v>
      </c>
      <c r="BY28" s="153">
        <f aca="true" t="shared" si="47" ref="BY28:BY37">BX28/$D$6</f>
        <v>26.291347364556497</v>
      </c>
      <c r="BZ28" s="186">
        <f aca="true" t="shared" si="48" ref="BZ28:BZ37">(O28+P28)/$D$6</f>
        <v>0.03630842841369157</v>
      </c>
      <c r="CA28" s="169"/>
      <c r="CB28" s="169"/>
    </row>
    <row r="29" spans="1:80" s="7" customFormat="1" ht="11.25">
      <c r="A29" s="19">
        <v>2</v>
      </c>
      <c r="B29" s="28" t="s">
        <v>68</v>
      </c>
      <c r="C29" s="30"/>
      <c r="D29" s="418" t="s">
        <v>143</v>
      </c>
      <c r="E29" s="419"/>
      <c r="F29" s="29" t="s">
        <v>148</v>
      </c>
      <c r="G29" s="181">
        <f>Нормы!C21*'О-РС'!D6</f>
        <v>1560</v>
      </c>
      <c r="H29" s="146" t="s">
        <v>517</v>
      </c>
      <c r="I29" s="146" t="s">
        <v>517</v>
      </c>
      <c r="J29" s="122">
        <f t="shared" si="30"/>
        <v>3.9</v>
      </c>
      <c r="K29" s="150">
        <v>400</v>
      </c>
      <c r="L29" s="148">
        <f t="shared" si="31"/>
        <v>3.9</v>
      </c>
      <c r="M29" s="154"/>
      <c r="N29" s="154">
        <v>1</v>
      </c>
      <c r="O29" s="121">
        <f t="shared" si="32"/>
        <v>0</v>
      </c>
      <c r="P29" s="121">
        <f t="shared" si="33"/>
        <v>31.152631578947368</v>
      </c>
      <c r="Q29" s="155"/>
      <c r="R29" s="154"/>
      <c r="S29" s="155">
        <v>1</v>
      </c>
      <c r="T29" s="122">
        <f>IF(AND(N29&gt;0,P29&gt;0),SUMIF('Исх.данные'!$C$14:$J$15,S29,'Исх.данные'!$C$34:J49),IF(N29=0,0,IF(S29=0,"РОТ")))</f>
        <v>98.78560567663457</v>
      </c>
      <c r="U29" s="144">
        <f>O29*R29*'Исх.данные'!$C$43%</f>
        <v>0</v>
      </c>
      <c r="V29" s="144">
        <f>P29*T29*'Исх.данные'!$C$44%</f>
        <v>0</v>
      </c>
      <c r="W29" s="144">
        <f t="shared" si="34"/>
        <v>0</v>
      </c>
      <c r="X29" s="145">
        <f t="shared" si="35"/>
        <v>0</v>
      </c>
      <c r="Y29" s="144">
        <f t="shared" si="36"/>
        <v>0</v>
      </c>
      <c r="Z29" s="145">
        <f t="shared" si="37"/>
        <v>153.87157894736845</v>
      </c>
      <c r="AA29" s="144">
        <f t="shared" si="38"/>
        <v>0</v>
      </c>
      <c r="AB29" s="145">
        <f t="shared" si="39"/>
        <v>0</v>
      </c>
      <c r="AC29" s="143">
        <v>2.5</v>
      </c>
      <c r="AD29" s="144">
        <f t="shared" si="40"/>
        <v>0</v>
      </c>
      <c r="AE29" s="144">
        <f t="shared" si="41"/>
        <v>8078.257894736843</v>
      </c>
      <c r="AF29" s="121"/>
      <c r="AG29" s="152">
        <f t="shared" si="42"/>
        <v>1196.778947368421</v>
      </c>
      <c r="AH29" s="121"/>
      <c r="AI29" s="121">
        <f t="shared" si="43"/>
        <v>9275.036842105264</v>
      </c>
      <c r="AJ29" s="121"/>
      <c r="AK29" s="152">
        <f t="shared" si="44"/>
        <v>2847.436310526316</v>
      </c>
      <c r="AL29" s="121"/>
      <c r="AM29" s="152">
        <f t="shared" si="45"/>
        <v>12122.47315263158</v>
      </c>
      <c r="AN29" s="154"/>
      <c r="AO29" s="154"/>
      <c r="AP29" s="169"/>
      <c r="AQ29" s="155"/>
      <c r="AR29" s="155"/>
      <c r="AS29" s="169"/>
      <c r="AT29" s="154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15"/>
      <c r="BK29" s="153"/>
      <c r="BL29" s="115"/>
      <c r="BM29" s="169"/>
      <c r="BN29" s="115">
        <f t="shared" si="26"/>
        <v>0</v>
      </c>
      <c r="BO29" s="169"/>
      <c r="BP29" s="115">
        <f t="shared" si="27"/>
        <v>0</v>
      </c>
      <c r="BQ29" s="169"/>
      <c r="BR29" s="169"/>
      <c r="BS29" s="169"/>
      <c r="BT29" s="169"/>
      <c r="BU29" s="169"/>
      <c r="BV29" s="169"/>
      <c r="BW29" s="169"/>
      <c r="BX29" s="115">
        <f t="shared" si="46"/>
        <v>12122.47315263158</v>
      </c>
      <c r="BY29" s="153">
        <f t="shared" si="47"/>
        <v>10.102060960526318</v>
      </c>
      <c r="BZ29" s="186">
        <f t="shared" si="48"/>
        <v>0.025960526315789472</v>
      </c>
      <c r="CA29" s="169"/>
      <c r="CB29" s="169"/>
    </row>
    <row r="30" spans="1:80" s="7" customFormat="1" ht="22.5">
      <c r="A30" s="19">
        <f>A29+1</f>
        <v>3</v>
      </c>
      <c r="B30" s="28" t="s">
        <v>196</v>
      </c>
      <c r="C30" s="30"/>
      <c r="D30" s="418" t="s">
        <v>143</v>
      </c>
      <c r="E30" s="419"/>
      <c r="F30" s="29" t="s">
        <v>167</v>
      </c>
      <c r="G30" s="181">
        <v>120</v>
      </c>
      <c r="H30" s="146" t="s">
        <v>517</v>
      </c>
      <c r="I30" s="146" t="s">
        <v>517</v>
      </c>
      <c r="J30" s="122">
        <f t="shared" si="30"/>
        <v>4</v>
      </c>
      <c r="K30" s="150">
        <v>30</v>
      </c>
      <c r="L30" s="148">
        <f t="shared" si="31"/>
        <v>4</v>
      </c>
      <c r="M30" s="154"/>
      <c r="N30" s="154">
        <v>1</v>
      </c>
      <c r="O30" s="121">
        <f t="shared" si="32"/>
        <v>0</v>
      </c>
      <c r="P30" s="121">
        <f t="shared" si="33"/>
        <v>31.951417004048583</v>
      </c>
      <c r="Q30" s="155"/>
      <c r="R30" s="154"/>
      <c r="S30" s="155">
        <v>3</v>
      </c>
      <c r="T30" s="122">
        <f>IF(AND(N30&gt;0,P30&gt;0),SUMIF('Исх.данные'!$C$14:$J$15,S30,'Исх.данные'!$C$34:J50),IF(N30=0,0,IF(S30=0,"РОТ")))</f>
        <v>113.60344652812975</v>
      </c>
      <c r="U30" s="144">
        <f>O30*R30*'Исх.данные'!$C$43%</f>
        <v>0</v>
      </c>
      <c r="V30" s="144">
        <f>P30*T30*'Исх.данные'!$C$44%</f>
        <v>0</v>
      </c>
      <c r="W30" s="144">
        <f t="shared" si="34"/>
        <v>0</v>
      </c>
      <c r="X30" s="145">
        <f t="shared" si="35"/>
        <v>0</v>
      </c>
      <c r="Y30" s="144">
        <f t="shared" si="36"/>
        <v>0</v>
      </c>
      <c r="Z30" s="145">
        <f t="shared" si="37"/>
        <v>181.48955465587045</v>
      </c>
      <c r="AA30" s="144">
        <f t="shared" si="38"/>
        <v>0</v>
      </c>
      <c r="AB30" s="145">
        <f t="shared" si="39"/>
        <v>0</v>
      </c>
      <c r="AC30" s="143">
        <v>2.5</v>
      </c>
      <c r="AD30" s="144">
        <f t="shared" si="40"/>
        <v>0</v>
      </c>
      <c r="AE30" s="144">
        <f t="shared" si="41"/>
        <v>9528.201619433199</v>
      </c>
      <c r="AF30" s="121"/>
      <c r="AG30" s="152">
        <f t="shared" si="42"/>
        <v>1411.5854251012147</v>
      </c>
      <c r="AH30" s="121"/>
      <c r="AI30" s="121">
        <f t="shared" si="43"/>
        <v>10939.787044534414</v>
      </c>
      <c r="AJ30" s="121"/>
      <c r="AK30" s="152">
        <f t="shared" si="44"/>
        <v>3358.5146226720653</v>
      </c>
      <c r="AL30" s="121"/>
      <c r="AM30" s="152">
        <f t="shared" si="45"/>
        <v>14298.30166720648</v>
      </c>
      <c r="AN30" s="154"/>
      <c r="AO30" s="154"/>
      <c r="AP30" s="169"/>
      <c r="AQ30" s="155"/>
      <c r="AR30" s="155"/>
      <c r="AS30" s="169"/>
      <c r="AT30" s="154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15"/>
      <c r="BK30" s="115"/>
      <c r="BL30" s="115"/>
      <c r="BM30" s="169"/>
      <c r="BN30" s="115">
        <f t="shared" si="26"/>
        <v>0</v>
      </c>
      <c r="BO30" s="169"/>
      <c r="BP30" s="115">
        <f t="shared" si="27"/>
        <v>0</v>
      </c>
      <c r="BQ30" s="169"/>
      <c r="BR30" s="169"/>
      <c r="BS30" s="169"/>
      <c r="BT30" s="169"/>
      <c r="BU30" s="169"/>
      <c r="BV30" s="169"/>
      <c r="BW30" s="169"/>
      <c r="BX30" s="115">
        <f t="shared" si="46"/>
        <v>14298.30166720648</v>
      </c>
      <c r="BY30" s="153">
        <f t="shared" si="47"/>
        <v>11.915251389338733</v>
      </c>
      <c r="BZ30" s="186">
        <f t="shared" si="48"/>
        <v>0.02662618083670715</v>
      </c>
      <c r="CA30" s="169"/>
      <c r="CB30" s="169"/>
    </row>
    <row r="31" spans="1:80" s="7" customFormat="1" ht="11.25">
      <c r="A31" s="19">
        <f aca="true" t="shared" si="49" ref="A31:A37">A30+1</f>
        <v>4</v>
      </c>
      <c r="B31" s="28" t="s">
        <v>69</v>
      </c>
      <c r="C31" s="30"/>
      <c r="D31" s="418" t="s">
        <v>143</v>
      </c>
      <c r="E31" s="419"/>
      <c r="F31" s="29" t="s">
        <v>148</v>
      </c>
      <c r="G31" s="181">
        <f>D6</f>
        <v>1200</v>
      </c>
      <c r="H31" s="146" t="s">
        <v>517</v>
      </c>
      <c r="I31" s="146" t="s">
        <v>517</v>
      </c>
      <c r="J31" s="122">
        <f t="shared" si="30"/>
        <v>40</v>
      </c>
      <c r="K31" s="150">
        <v>30</v>
      </c>
      <c r="L31" s="148">
        <f t="shared" si="31"/>
        <v>40</v>
      </c>
      <c r="M31" s="154"/>
      <c r="N31" s="154">
        <v>1</v>
      </c>
      <c r="O31" s="121">
        <f t="shared" si="32"/>
        <v>0</v>
      </c>
      <c r="P31" s="121">
        <f t="shared" si="33"/>
        <v>319.51417004048585</v>
      </c>
      <c r="Q31" s="155"/>
      <c r="R31" s="154"/>
      <c r="S31" s="155">
        <v>2</v>
      </c>
      <c r="T31" s="122">
        <f>IF(AND(N31&gt;0,P31&gt;0),SUMIF('Исх.данные'!$C$14:$J$15,S31,'Исх.данные'!$C$34:J51),IF(N31=0,0,IF(S31=0,"РОТ")))</f>
        <v>105.700598073999</v>
      </c>
      <c r="U31" s="144">
        <f>O31*R31*'Исх.данные'!$C$43%</f>
        <v>0</v>
      </c>
      <c r="V31" s="144">
        <f>P31*T31*'Исх.данные'!$C$44%</f>
        <v>0</v>
      </c>
      <c r="W31" s="144">
        <f t="shared" si="34"/>
        <v>0</v>
      </c>
      <c r="X31" s="145">
        <f t="shared" si="35"/>
        <v>0</v>
      </c>
      <c r="Y31" s="144">
        <f t="shared" si="36"/>
        <v>0</v>
      </c>
      <c r="Z31" s="145">
        <f t="shared" si="37"/>
        <v>1688.6419433198387</v>
      </c>
      <c r="AA31" s="144">
        <f t="shared" si="38"/>
        <v>0</v>
      </c>
      <c r="AB31" s="145">
        <f t="shared" si="39"/>
        <v>0</v>
      </c>
      <c r="AC31" s="143">
        <v>2.5</v>
      </c>
      <c r="AD31" s="144">
        <f t="shared" si="40"/>
        <v>0</v>
      </c>
      <c r="AE31" s="144">
        <f t="shared" si="41"/>
        <v>88653.70202429153</v>
      </c>
      <c r="AF31" s="121"/>
      <c r="AG31" s="152">
        <f t="shared" si="42"/>
        <v>13133.881781376522</v>
      </c>
      <c r="AH31" s="121"/>
      <c r="AI31" s="121">
        <f t="shared" si="43"/>
        <v>101787.58380566805</v>
      </c>
      <c r="AJ31" s="121"/>
      <c r="AK31" s="152">
        <f t="shared" si="44"/>
        <v>31248.78822834009</v>
      </c>
      <c r="AL31" s="121"/>
      <c r="AM31" s="152">
        <f t="shared" si="45"/>
        <v>133036.37203400815</v>
      </c>
      <c r="AN31" s="154"/>
      <c r="AO31" s="154"/>
      <c r="AP31" s="169"/>
      <c r="AQ31" s="155"/>
      <c r="AR31" s="155"/>
      <c r="AS31" s="169"/>
      <c r="AT31" s="154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15"/>
      <c r="BK31" s="115"/>
      <c r="BL31" s="115"/>
      <c r="BM31" s="169"/>
      <c r="BN31" s="115">
        <f t="shared" si="26"/>
        <v>0</v>
      </c>
      <c r="BO31" s="169"/>
      <c r="BP31" s="115">
        <f t="shared" si="27"/>
        <v>0</v>
      </c>
      <c r="BQ31" s="169"/>
      <c r="BR31" s="169"/>
      <c r="BS31" s="169"/>
      <c r="BT31" s="169"/>
      <c r="BU31" s="169"/>
      <c r="BV31" s="169"/>
      <c r="BW31" s="169"/>
      <c r="BX31" s="115">
        <f t="shared" si="46"/>
        <v>133036.37203400815</v>
      </c>
      <c r="BY31" s="153">
        <f t="shared" si="47"/>
        <v>110.86364336167345</v>
      </c>
      <c r="BZ31" s="186">
        <f t="shared" si="48"/>
        <v>0.26626180836707153</v>
      </c>
      <c r="CA31" s="169"/>
      <c r="CB31" s="169"/>
    </row>
    <row r="32" spans="1:80" s="7" customFormat="1" ht="11.25">
      <c r="A32" s="19">
        <f t="shared" si="49"/>
        <v>5</v>
      </c>
      <c r="B32" s="28" t="s">
        <v>70</v>
      </c>
      <c r="C32" s="30"/>
      <c r="D32" s="418" t="s">
        <v>143</v>
      </c>
      <c r="E32" s="419"/>
      <c r="F32" s="29" t="s">
        <v>148</v>
      </c>
      <c r="G32" s="181">
        <f>G29</f>
        <v>1560</v>
      </c>
      <c r="H32" s="146" t="s">
        <v>517</v>
      </c>
      <c r="I32" s="146" t="s">
        <v>517</v>
      </c>
      <c r="J32" s="122">
        <f t="shared" si="30"/>
        <v>19.5</v>
      </c>
      <c r="K32" s="150">
        <v>80</v>
      </c>
      <c r="L32" s="148">
        <f t="shared" si="31"/>
        <v>19.5</v>
      </c>
      <c r="M32" s="154"/>
      <c r="N32" s="154">
        <v>1</v>
      </c>
      <c r="O32" s="121">
        <f t="shared" si="32"/>
        <v>0</v>
      </c>
      <c r="P32" s="121">
        <f t="shared" si="33"/>
        <v>155.76315789473685</v>
      </c>
      <c r="Q32" s="155"/>
      <c r="R32" s="154"/>
      <c r="S32" s="155">
        <v>3</v>
      </c>
      <c r="T32" s="122">
        <f>IF(AND(N32&gt;0,P32&gt;0),SUMIF('Исх.данные'!$C$14:$J$15,S32,'Исх.данные'!$C$34:J52),IF(N32=0,0,IF(S32=0,"РОТ")))</f>
        <v>113.60344652812975</v>
      </c>
      <c r="U32" s="144">
        <f>O32*R32*'Исх.данные'!$C$43%</f>
        <v>0</v>
      </c>
      <c r="V32" s="144">
        <f>P32*T32*'Исх.данные'!$C$44%</f>
        <v>0</v>
      </c>
      <c r="W32" s="144">
        <f t="shared" si="34"/>
        <v>0</v>
      </c>
      <c r="X32" s="145">
        <f t="shared" si="35"/>
        <v>0</v>
      </c>
      <c r="Y32" s="144">
        <f t="shared" si="36"/>
        <v>0</v>
      </c>
      <c r="Z32" s="145">
        <f t="shared" si="37"/>
        <v>884.7615789473684</v>
      </c>
      <c r="AA32" s="144">
        <f t="shared" si="38"/>
        <v>0</v>
      </c>
      <c r="AB32" s="145">
        <f t="shared" si="39"/>
        <v>0</v>
      </c>
      <c r="AC32" s="143">
        <v>2.5</v>
      </c>
      <c r="AD32" s="144">
        <f t="shared" si="40"/>
        <v>0</v>
      </c>
      <c r="AE32" s="144">
        <f t="shared" si="41"/>
        <v>46449.98289473684</v>
      </c>
      <c r="AF32" s="121"/>
      <c r="AG32" s="152">
        <f t="shared" si="42"/>
        <v>6881.4789473684195</v>
      </c>
      <c r="AH32" s="121"/>
      <c r="AI32" s="121">
        <f t="shared" si="43"/>
        <v>53331.46184210526</v>
      </c>
      <c r="AJ32" s="121"/>
      <c r="AK32" s="152">
        <f t="shared" si="44"/>
        <v>16372.758785526314</v>
      </c>
      <c r="AL32" s="121"/>
      <c r="AM32" s="152">
        <f t="shared" si="45"/>
        <v>69704.22062763157</v>
      </c>
      <c r="AN32" s="154"/>
      <c r="AO32" s="154"/>
      <c r="AP32" s="169"/>
      <c r="AQ32" s="155"/>
      <c r="AR32" s="155"/>
      <c r="AS32" s="169"/>
      <c r="AT32" s="154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15">
        <f>G32</f>
        <v>1560</v>
      </c>
      <c r="BK32" s="153">
        <v>50</v>
      </c>
      <c r="BL32" s="115">
        <f>BJ32*BK32</f>
        <v>78000</v>
      </c>
      <c r="BM32" s="169"/>
      <c r="BN32" s="115">
        <f t="shared" si="26"/>
        <v>0</v>
      </c>
      <c r="BO32" s="169"/>
      <c r="BP32" s="115">
        <f t="shared" si="27"/>
        <v>0</v>
      </c>
      <c r="BQ32" s="169"/>
      <c r="BR32" s="169"/>
      <c r="BS32" s="169"/>
      <c r="BT32" s="169"/>
      <c r="BU32" s="169"/>
      <c r="BV32" s="169"/>
      <c r="BW32" s="169"/>
      <c r="BX32" s="115">
        <f t="shared" si="46"/>
        <v>147704.22062763158</v>
      </c>
      <c r="BY32" s="153">
        <f t="shared" si="47"/>
        <v>123.08685052302631</v>
      </c>
      <c r="BZ32" s="186">
        <f t="shared" si="48"/>
        <v>0.12980263157894736</v>
      </c>
      <c r="CA32" s="169"/>
      <c r="CB32" s="169"/>
    </row>
    <row r="33" spans="1:80" s="7" customFormat="1" ht="22.5">
      <c r="A33" s="19">
        <f t="shared" si="49"/>
        <v>6</v>
      </c>
      <c r="B33" s="28" t="s">
        <v>510</v>
      </c>
      <c r="C33" s="30"/>
      <c r="D33" s="418" t="s">
        <v>143</v>
      </c>
      <c r="E33" s="419"/>
      <c r="F33" s="29" t="s">
        <v>148</v>
      </c>
      <c r="G33" s="181">
        <f>D6</f>
        <v>1200</v>
      </c>
      <c r="H33" s="146" t="s">
        <v>517</v>
      </c>
      <c r="I33" s="146" t="s">
        <v>517</v>
      </c>
      <c r="J33" s="122">
        <f t="shared" si="30"/>
        <v>0.9230769230769231</v>
      </c>
      <c r="K33" s="150">
        <v>1300</v>
      </c>
      <c r="L33" s="148">
        <f t="shared" si="31"/>
        <v>0.9230769230769231</v>
      </c>
      <c r="M33" s="154"/>
      <c r="N33" s="154">
        <v>1</v>
      </c>
      <c r="O33" s="121">
        <f t="shared" si="32"/>
        <v>0</v>
      </c>
      <c r="P33" s="121">
        <f t="shared" si="33"/>
        <v>7.373403924011212</v>
      </c>
      <c r="Q33" s="155"/>
      <c r="R33" s="154"/>
      <c r="S33" s="155">
        <v>4</v>
      </c>
      <c r="T33" s="122">
        <f>IF(AND(N33&gt;0,P33&gt;0),SUMIF('Исх.данные'!$C$14:$J$15,S33,'Исх.данные'!$C$34:J53),IF(N33=0,0,IF(S33=0,"РОТ")))</f>
        <v>123.48200709579322</v>
      </c>
      <c r="U33" s="144">
        <f>O33*R33*'Исх.данные'!$C$43%</f>
        <v>0</v>
      </c>
      <c r="V33" s="144">
        <f>P33*T33*'Исх.данные'!$C$44%</f>
        <v>0</v>
      </c>
      <c r="W33" s="144">
        <f t="shared" si="34"/>
        <v>0</v>
      </c>
      <c r="X33" s="145">
        <f t="shared" si="35"/>
        <v>0</v>
      </c>
      <c r="Y33" s="144">
        <f t="shared" si="36"/>
        <v>0</v>
      </c>
      <c r="Z33" s="145">
        <f t="shared" si="37"/>
        <v>45.52413578324511</v>
      </c>
      <c r="AA33" s="144">
        <f t="shared" si="38"/>
        <v>0</v>
      </c>
      <c r="AB33" s="145">
        <f t="shared" si="39"/>
        <v>0</v>
      </c>
      <c r="AC33" s="143">
        <v>2.5</v>
      </c>
      <c r="AD33" s="144">
        <f t="shared" si="40"/>
        <v>0</v>
      </c>
      <c r="AE33" s="144">
        <f t="shared" si="41"/>
        <v>2390.017128620368</v>
      </c>
      <c r="AF33" s="121"/>
      <c r="AG33" s="152">
        <f t="shared" si="42"/>
        <v>354.0766116474619</v>
      </c>
      <c r="AH33" s="121"/>
      <c r="AI33" s="121">
        <f t="shared" si="43"/>
        <v>2744.09374026783</v>
      </c>
      <c r="AJ33" s="121"/>
      <c r="AK33" s="152">
        <f t="shared" si="44"/>
        <v>842.4367782622238</v>
      </c>
      <c r="AL33" s="121"/>
      <c r="AM33" s="152">
        <f t="shared" si="45"/>
        <v>3586.530518530054</v>
      </c>
      <c r="AN33" s="154"/>
      <c r="AO33" s="154"/>
      <c r="AP33" s="169"/>
      <c r="AQ33" s="155"/>
      <c r="AR33" s="155"/>
      <c r="AS33" s="169"/>
      <c r="AT33" s="154"/>
      <c r="AU33" s="169"/>
      <c r="AV33" s="169"/>
      <c r="AW33" s="169"/>
      <c r="AX33" s="153">
        <f>Нормы!C17</f>
        <v>0.5</v>
      </c>
      <c r="AY33" s="153">
        <f>AX33*G33/1000</f>
        <v>0.6</v>
      </c>
      <c r="AZ33" s="153">
        <f>Нормы!D17</f>
        <v>33.7</v>
      </c>
      <c r="BA33" s="115">
        <f>AY33*AZ33*1000</f>
        <v>20220.000000000004</v>
      </c>
      <c r="BB33" s="169"/>
      <c r="BC33" s="169"/>
      <c r="BD33" s="169"/>
      <c r="BE33" s="169"/>
      <c r="BF33" s="169"/>
      <c r="BG33" s="169"/>
      <c r="BH33" s="169"/>
      <c r="BI33" s="169"/>
      <c r="BJ33" s="115"/>
      <c r="BK33" s="115"/>
      <c r="BL33" s="115"/>
      <c r="BM33" s="169"/>
      <c r="BN33" s="115">
        <f t="shared" si="26"/>
        <v>0</v>
      </c>
      <c r="BO33" s="169"/>
      <c r="BP33" s="115">
        <f t="shared" si="27"/>
        <v>0</v>
      </c>
      <c r="BQ33" s="169"/>
      <c r="BR33" s="169"/>
      <c r="BS33" s="169"/>
      <c r="BT33" s="169"/>
      <c r="BU33" s="169"/>
      <c r="BV33" s="169"/>
      <c r="BW33" s="169"/>
      <c r="BX33" s="115">
        <f t="shared" si="46"/>
        <v>23806.530518530057</v>
      </c>
      <c r="BY33" s="153">
        <f t="shared" si="47"/>
        <v>19.83877543210838</v>
      </c>
      <c r="BZ33" s="186">
        <f t="shared" si="48"/>
        <v>0.006144503270009344</v>
      </c>
      <c r="CA33" s="169"/>
      <c r="CB33" s="169"/>
    </row>
    <row r="34" spans="1:80" s="7" customFormat="1" ht="22.5">
      <c r="A34" s="19">
        <f t="shared" si="49"/>
        <v>7</v>
      </c>
      <c r="B34" s="28" t="s">
        <v>71</v>
      </c>
      <c r="C34" s="30"/>
      <c r="D34" s="430" t="s">
        <v>143</v>
      </c>
      <c r="E34" s="431"/>
      <c r="F34" s="29" t="s">
        <v>148</v>
      </c>
      <c r="G34" s="181">
        <f>D6/4</f>
        <v>300</v>
      </c>
      <c r="H34" s="146" t="s">
        <v>517</v>
      </c>
      <c r="I34" s="146" t="s">
        <v>517</v>
      </c>
      <c r="J34" s="122">
        <f t="shared" si="30"/>
        <v>1.3043478260869565</v>
      </c>
      <c r="K34" s="150">
        <v>230</v>
      </c>
      <c r="L34" s="148">
        <f t="shared" si="31"/>
        <v>1.3043478260869565</v>
      </c>
      <c r="M34" s="154"/>
      <c r="N34" s="154">
        <v>1</v>
      </c>
      <c r="O34" s="121">
        <f t="shared" si="32"/>
        <v>0</v>
      </c>
      <c r="P34" s="121">
        <f t="shared" si="33"/>
        <v>10.418940327407146</v>
      </c>
      <c r="Q34" s="155"/>
      <c r="R34" s="154"/>
      <c r="S34" s="155">
        <v>2</v>
      </c>
      <c r="T34" s="122">
        <f>IF(AND(N34&gt;0,P34&gt;0),SUMIF('Исх.данные'!$C$14:$J$15,S34,'Исх.данные'!$C$34:J54),IF(N34=0,0,IF(S34=0,"РОТ")))</f>
        <v>105.700598073999</v>
      </c>
      <c r="U34" s="144">
        <f>O34*R34*'Исх.данные'!$C$43%</f>
        <v>0</v>
      </c>
      <c r="V34" s="144">
        <f>P34*T34*'Исх.данные'!$C$44%</f>
        <v>0</v>
      </c>
      <c r="W34" s="144">
        <f t="shared" si="34"/>
        <v>0</v>
      </c>
      <c r="X34" s="145">
        <f t="shared" si="35"/>
        <v>0</v>
      </c>
      <c r="Y34" s="144">
        <f t="shared" si="36"/>
        <v>0</v>
      </c>
      <c r="Z34" s="145">
        <f t="shared" si="37"/>
        <v>55.064411195212124</v>
      </c>
      <c r="AA34" s="144">
        <f t="shared" si="38"/>
        <v>0</v>
      </c>
      <c r="AB34" s="145">
        <f t="shared" si="39"/>
        <v>0</v>
      </c>
      <c r="AC34" s="143">
        <v>2.5</v>
      </c>
      <c r="AD34" s="144">
        <f t="shared" si="40"/>
        <v>0</v>
      </c>
      <c r="AE34" s="144">
        <f t="shared" si="41"/>
        <v>2890.8815877486363</v>
      </c>
      <c r="AF34" s="121"/>
      <c r="AG34" s="152">
        <f t="shared" si="42"/>
        <v>428.2787537405387</v>
      </c>
      <c r="AH34" s="121"/>
      <c r="AI34" s="121">
        <f t="shared" si="43"/>
        <v>3319.160341489175</v>
      </c>
      <c r="AJ34" s="121"/>
      <c r="AK34" s="152">
        <f t="shared" si="44"/>
        <v>1018.9822248371768</v>
      </c>
      <c r="AL34" s="121"/>
      <c r="AM34" s="152">
        <f t="shared" si="45"/>
        <v>4338.142566326352</v>
      </c>
      <c r="AN34" s="154"/>
      <c r="AO34" s="154"/>
      <c r="AP34" s="169"/>
      <c r="AQ34" s="155"/>
      <c r="AR34" s="155"/>
      <c r="AS34" s="169"/>
      <c r="AT34" s="154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15">
        <f t="shared" si="26"/>
        <v>0</v>
      </c>
      <c r="BO34" s="169"/>
      <c r="BP34" s="115">
        <f t="shared" si="27"/>
        <v>0</v>
      </c>
      <c r="BQ34" s="169"/>
      <c r="BR34" s="169"/>
      <c r="BS34" s="169"/>
      <c r="BT34" s="169"/>
      <c r="BU34" s="169"/>
      <c r="BV34" s="169"/>
      <c r="BW34" s="169"/>
      <c r="BX34" s="115">
        <f t="shared" si="46"/>
        <v>4338.142566326352</v>
      </c>
      <c r="BY34" s="153">
        <f t="shared" si="47"/>
        <v>3.6151188052719596</v>
      </c>
      <c r="BZ34" s="186">
        <f t="shared" si="48"/>
        <v>0.008682450272839289</v>
      </c>
      <c r="CA34" s="169"/>
      <c r="CB34" s="169"/>
    </row>
    <row r="35" spans="1:80" s="7" customFormat="1" ht="11.25">
      <c r="A35" s="19">
        <f t="shared" si="49"/>
        <v>8</v>
      </c>
      <c r="B35" s="28" t="s">
        <v>72</v>
      </c>
      <c r="C35" s="211"/>
      <c r="D35" s="32" t="s">
        <v>513</v>
      </c>
      <c r="E35" s="214"/>
      <c r="F35" s="210" t="s">
        <v>148</v>
      </c>
      <c r="G35" s="181">
        <f>D6*2</f>
        <v>2400</v>
      </c>
      <c r="H35" s="146" t="s">
        <v>517</v>
      </c>
      <c r="I35" s="146" t="s">
        <v>517</v>
      </c>
      <c r="J35" s="122">
        <f t="shared" si="30"/>
        <v>1.2</v>
      </c>
      <c r="K35" s="150">
        <v>1000</v>
      </c>
      <c r="L35" s="148">
        <f t="shared" si="31"/>
        <v>2.4</v>
      </c>
      <c r="M35" s="154"/>
      <c r="N35" s="154">
        <v>2</v>
      </c>
      <c r="O35" s="121">
        <f t="shared" si="32"/>
        <v>0</v>
      </c>
      <c r="P35" s="121">
        <f t="shared" si="33"/>
        <v>19.17085020242915</v>
      </c>
      <c r="Q35" s="155"/>
      <c r="R35" s="154"/>
      <c r="S35" s="155">
        <v>4</v>
      </c>
      <c r="T35" s="122">
        <f>IF(AND(N35&gt;0,P35&gt;0),SUMIF('Исх.данные'!$C$14:$J$15,S35,'Исх.данные'!$C$34:J55),IF(N35=0,0,IF(S35=0,"РОТ")))</f>
        <v>123.48200709579322</v>
      </c>
      <c r="U35" s="144">
        <f>O35*R35*'Исх.данные'!$C$43%</f>
        <v>0</v>
      </c>
      <c r="V35" s="144">
        <f>P35*T35*'Исх.данные'!$C$44%</f>
        <v>0</v>
      </c>
      <c r="W35" s="144">
        <f t="shared" si="34"/>
        <v>0</v>
      </c>
      <c r="X35" s="145">
        <f t="shared" si="35"/>
        <v>0</v>
      </c>
      <c r="Y35" s="144">
        <f t="shared" si="36"/>
        <v>0</v>
      </c>
      <c r="Z35" s="145">
        <f t="shared" si="37"/>
        <v>118.36275303643727</v>
      </c>
      <c r="AA35" s="144">
        <f t="shared" si="38"/>
        <v>0</v>
      </c>
      <c r="AB35" s="145">
        <f t="shared" si="39"/>
        <v>0</v>
      </c>
      <c r="AC35" s="143">
        <v>2.5</v>
      </c>
      <c r="AD35" s="144">
        <f t="shared" si="40"/>
        <v>0</v>
      </c>
      <c r="AE35" s="144">
        <f t="shared" si="41"/>
        <v>6214.044534412957</v>
      </c>
      <c r="AF35" s="121"/>
      <c r="AG35" s="152">
        <f t="shared" si="42"/>
        <v>920.599190283401</v>
      </c>
      <c r="AH35" s="121"/>
      <c r="AI35" s="121">
        <f t="shared" si="43"/>
        <v>7134.643724696358</v>
      </c>
      <c r="AJ35" s="121"/>
      <c r="AK35" s="152">
        <f t="shared" si="44"/>
        <v>2190.335623481782</v>
      </c>
      <c r="AL35" s="121"/>
      <c r="AM35" s="152">
        <f t="shared" si="45"/>
        <v>9324.97934817814</v>
      </c>
      <c r="AN35" s="154"/>
      <c r="AO35" s="154"/>
      <c r="AP35" s="169"/>
      <c r="AQ35" s="155"/>
      <c r="AR35" s="155"/>
      <c r="AS35" s="169"/>
      <c r="AT35" s="154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15">
        <f t="shared" si="26"/>
        <v>0</v>
      </c>
      <c r="BO35" s="115">
        <f>аморт!$H$97</f>
        <v>60.666666666666664</v>
      </c>
      <c r="BP35" s="115">
        <f>BO35*L35*$O$11</f>
        <v>1163.0315789473684</v>
      </c>
      <c r="BQ35" s="169"/>
      <c r="BR35" s="115">
        <f>BQ35*CB35</f>
        <v>0</v>
      </c>
      <c r="BS35" s="169"/>
      <c r="BT35" s="115">
        <f>BS35*CB35</f>
        <v>0</v>
      </c>
      <c r="BU35" s="169"/>
      <c r="BV35" s="115">
        <f>BU35*CB35</f>
        <v>0</v>
      </c>
      <c r="BW35" s="115">
        <f>аморт!$D$97*10%/аморт!$G$97*L35*O11</f>
        <v>930.4252631578946</v>
      </c>
      <c r="BX35" s="115">
        <f t="shared" si="46"/>
        <v>11418.436190283403</v>
      </c>
      <c r="BY35" s="153">
        <f t="shared" si="47"/>
        <v>9.515363491902836</v>
      </c>
      <c r="BZ35" s="186">
        <f t="shared" si="48"/>
        <v>0.015975708502024292</v>
      </c>
      <c r="CA35" s="169"/>
      <c r="CB35" s="169"/>
    </row>
    <row r="36" spans="1:80" s="7" customFormat="1" ht="11.25">
      <c r="A36" s="19">
        <f t="shared" si="49"/>
        <v>9</v>
      </c>
      <c r="B36" s="28" t="s">
        <v>73</v>
      </c>
      <c r="C36" s="30"/>
      <c r="D36" s="432" t="s">
        <v>143</v>
      </c>
      <c r="E36" s="433"/>
      <c r="F36" s="29" t="s">
        <v>148</v>
      </c>
      <c r="G36" s="181">
        <f>D6</f>
        <v>1200</v>
      </c>
      <c r="H36" s="146" t="s">
        <v>517</v>
      </c>
      <c r="I36" s="146" t="s">
        <v>517</v>
      </c>
      <c r="J36" s="122">
        <f t="shared" si="30"/>
        <v>4</v>
      </c>
      <c r="K36" s="150">
        <v>300</v>
      </c>
      <c r="L36" s="148">
        <f t="shared" si="31"/>
        <v>4</v>
      </c>
      <c r="M36" s="154"/>
      <c r="N36" s="154">
        <v>1</v>
      </c>
      <c r="O36" s="121">
        <f t="shared" si="32"/>
        <v>0</v>
      </c>
      <c r="P36" s="121">
        <f t="shared" si="33"/>
        <v>31.951417004048583</v>
      </c>
      <c r="Q36" s="155"/>
      <c r="R36" s="154"/>
      <c r="S36" s="155">
        <v>2</v>
      </c>
      <c r="T36" s="122">
        <f>IF(AND(N36&gt;0,P36&gt;0),SUMIF('Исх.данные'!$C$14:$J$15,S36,'Исх.данные'!$C$34:J56),IF(N36=0,0,IF(S36=0,"РОТ")))</f>
        <v>105.700598073999</v>
      </c>
      <c r="U36" s="144">
        <f>O36*R36*'Исх.данные'!$C$43%</f>
        <v>0</v>
      </c>
      <c r="V36" s="144">
        <f>P36*T36*'Исх.данные'!$C$44%</f>
        <v>0</v>
      </c>
      <c r="W36" s="144">
        <f t="shared" si="34"/>
        <v>0</v>
      </c>
      <c r="X36" s="145">
        <f t="shared" si="35"/>
        <v>0</v>
      </c>
      <c r="Y36" s="144">
        <f t="shared" si="36"/>
        <v>0</v>
      </c>
      <c r="Z36" s="145">
        <f t="shared" si="37"/>
        <v>168.86419433198384</v>
      </c>
      <c r="AA36" s="144">
        <f t="shared" si="38"/>
        <v>0</v>
      </c>
      <c r="AB36" s="145">
        <f t="shared" si="39"/>
        <v>0</v>
      </c>
      <c r="AC36" s="143">
        <v>2.5</v>
      </c>
      <c r="AD36" s="144">
        <f t="shared" si="40"/>
        <v>0</v>
      </c>
      <c r="AE36" s="144">
        <f t="shared" si="41"/>
        <v>8865.37020242915</v>
      </c>
      <c r="AF36" s="121"/>
      <c r="AG36" s="152">
        <f t="shared" si="42"/>
        <v>1313.388178137652</v>
      </c>
      <c r="AH36" s="121"/>
      <c r="AI36" s="121">
        <f t="shared" si="43"/>
        <v>10178.758380566802</v>
      </c>
      <c r="AJ36" s="121"/>
      <c r="AK36" s="152">
        <f t="shared" si="44"/>
        <v>3124.878822834008</v>
      </c>
      <c r="AL36" s="121"/>
      <c r="AM36" s="152">
        <f t="shared" si="45"/>
        <v>13303.637203400809</v>
      </c>
      <c r="AN36" s="154"/>
      <c r="AO36" s="154"/>
      <c r="AP36" s="169"/>
      <c r="AQ36" s="155"/>
      <c r="AR36" s="155"/>
      <c r="AS36" s="169"/>
      <c r="AT36" s="154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15">
        <f t="shared" si="26"/>
        <v>0</v>
      </c>
      <c r="BO36" s="169"/>
      <c r="BP36" s="115">
        <f t="shared" si="27"/>
        <v>0</v>
      </c>
      <c r="BQ36" s="169"/>
      <c r="BR36" s="169"/>
      <c r="BS36" s="169"/>
      <c r="BT36" s="169"/>
      <c r="BU36" s="169"/>
      <c r="BV36" s="169"/>
      <c r="BW36" s="169"/>
      <c r="BX36" s="115">
        <f t="shared" si="46"/>
        <v>13303.637203400809</v>
      </c>
      <c r="BY36" s="153">
        <f t="shared" si="47"/>
        <v>11.08636433616734</v>
      </c>
      <c r="BZ36" s="186">
        <f t="shared" si="48"/>
        <v>0.02662618083670715</v>
      </c>
      <c r="CA36" s="169"/>
      <c r="CB36" s="169"/>
    </row>
    <row r="37" spans="1:80" s="7" customFormat="1" ht="11.25">
      <c r="A37" s="19">
        <f t="shared" si="49"/>
        <v>10</v>
      </c>
      <c r="B37" s="28" t="s">
        <v>74</v>
      </c>
      <c r="C37" s="30"/>
      <c r="D37" s="418" t="s">
        <v>143</v>
      </c>
      <c r="E37" s="419"/>
      <c r="F37" s="29" t="s">
        <v>148</v>
      </c>
      <c r="G37" s="181">
        <f>D6</f>
        <v>1200</v>
      </c>
      <c r="H37" s="146" t="s">
        <v>517</v>
      </c>
      <c r="I37" s="146" t="s">
        <v>517</v>
      </c>
      <c r="J37" s="122">
        <f t="shared" si="30"/>
        <v>0.4</v>
      </c>
      <c r="K37" s="150">
        <v>3000</v>
      </c>
      <c r="L37" s="148">
        <f t="shared" si="31"/>
        <v>0.4</v>
      </c>
      <c r="M37" s="154"/>
      <c r="N37" s="154">
        <v>1</v>
      </c>
      <c r="O37" s="121">
        <f t="shared" si="32"/>
        <v>0</v>
      </c>
      <c r="P37" s="121">
        <f t="shared" si="33"/>
        <v>3.1951417004048586</v>
      </c>
      <c r="Q37" s="155"/>
      <c r="R37" s="154"/>
      <c r="S37" s="155">
        <v>4</v>
      </c>
      <c r="T37" s="122">
        <f>IF(AND(N37&gt;0,P37&gt;0),SUMIF('Исх.данные'!$C$14:$J$15,S37,'Исх.данные'!$C$34:J56),IF(N37=0,0,IF(S37=0,"РОТ")))</f>
        <v>123.48200709579322</v>
      </c>
      <c r="U37" s="144">
        <f>O37*R37*'Исх.данные'!$C$43%</f>
        <v>0</v>
      </c>
      <c r="V37" s="144">
        <f>P37*T37*'Исх.данные'!$C$44%</f>
        <v>0</v>
      </c>
      <c r="W37" s="144">
        <f t="shared" si="34"/>
        <v>0</v>
      </c>
      <c r="X37" s="145">
        <f t="shared" si="35"/>
        <v>0</v>
      </c>
      <c r="Y37" s="144">
        <f t="shared" si="36"/>
        <v>0</v>
      </c>
      <c r="Z37" s="145">
        <f t="shared" si="37"/>
        <v>19.72712550607288</v>
      </c>
      <c r="AA37" s="144">
        <f t="shared" si="38"/>
        <v>0</v>
      </c>
      <c r="AB37" s="145">
        <f t="shared" si="39"/>
        <v>0</v>
      </c>
      <c r="AC37" s="143">
        <v>2.5</v>
      </c>
      <c r="AD37" s="144">
        <f t="shared" si="40"/>
        <v>0</v>
      </c>
      <c r="AE37" s="144">
        <f t="shared" si="41"/>
        <v>1035.674089068826</v>
      </c>
      <c r="AF37" s="121"/>
      <c r="AG37" s="152">
        <f t="shared" si="42"/>
        <v>153.43319838056684</v>
      </c>
      <c r="AH37" s="121"/>
      <c r="AI37" s="121">
        <f t="shared" si="43"/>
        <v>1189.107287449393</v>
      </c>
      <c r="AJ37" s="121"/>
      <c r="AK37" s="152">
        <f t="shared" si="44"/>
        <v>365.05593724696365</v>
      </c>
      <c r="AL37" s="121"/>
      <c r="AM37" s="152">
        <f t="shared" si="45"/>
        <v>1554.1632246963566</v>
      </c>
      <c r="AN37" s="154"/>
      <c r="AO37" s="154"/>
      <c r="AP37" s="169"/>
      <c r="AQ37" s="155"/>
      <c r="AR37" s="155"/>
      <c r="AS37" s="169"/>
      <c r="AT37" s="154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15">
        <f t="shared" si="26"/>
        <v>0</v>
      </c>
      <c r="BO37" s="169"/>
      <c r="BP37" s="115">
        <f t="shared" si="27"/>
        <v>0</v>
      </c>
      <c r="BQ37" s="169"/>
      <c r="BR37" s="169"/>
      <c r="BS37" s="169"/>
      <c r="BT37" s="169"/>
      <c r="BU37" s="169"/>
      <c r="BV37" s="169"/>
      <c r="BW37" s="169"/>
      <c r="BX37" s="115">
        <f t="shared" si="46"/>
        <v>1554.1632246963566</v>
      </c>
      <c r="BY37" s="153">
        <f t="shared" si="47"/>
        <v>1.295136020580297</v>
      </c>
      <c r="BZ37" s="186">
        <f t="shared" si="48"/>
        <v>0.0026626180836707156</v>
      </c>
      <c r="CA37" s="169"/>
      <c r="CB37" s="169"/>
    </row>
    <row r="38" spans="1:80" s="56" customFormat="1" ht="11.25">
      <c r="A38" s="54"/>
      <c r="B38" s="55" t="s">
        <v>22</v>
      </c>
      <c r="C38" s="55"/>
      <c r="D38" s="55"/>
      <c r="E38" s="55"/>
      <c r="F38" s="57"/>
      <c r="G38" s="157"/>
      <c r="H38" s="157"/>
      <c r="I38" s="157"/>
      <c r="J38" s="172">
        <f>SUM(J28:J37)</f>
        <v>77.9546974764366</v>
      </c>
      <c r="K38" s="172"/>
      <c r="L38" s="172">
        <f aca="true" t="shared" si="50" ref="L38:BT38">SUM(L28:L37)</f>
        <v>81.88197020370933</v>
      </c>
      <c r="M38" s="172">
        <f t="shared" si="50"/>
        <v>0</v>
      </c>
      <c r="N38" s="172">
        <f t="shared" si="50"/>
        <v>12</v>
      </c>
      <c r="O38" s="172">
        <f t="shared" si="50"/>
        <v>0</v>
      </c>
      <c r="P38" s="172">
        <f t="shared" si="50"/>
        <v>654.0612437729495</v>
      </c>
      <c r="Q38" s="172"/>
      <c r="R38" s="172"/>
      <c r="S38" s="172"/>
      <c r="T38" s="172"/>
      <c r="U38" s="172">
        <f t="shared" si="50"/>
        <v>0</v>
      </c>
      <c r="V38" s="172">
        <f t="shared" si="50"/>
        <v>0</v>
      </c>
      <c r="W38" s="172">
        <f t="shared" si="50"/>
        <v>0</v>
      </c>
      <c r="X38" s="172">
        <f t="shared" si="50"/>
        <v>0</v>
      </c>
      <c r="Y38" s="172">
        <f t="shared" si="50"/>
        <v>0</v>
      </c>
      <c r="Z38" s="172">
        <f t="shared" si="50"/>
        <v>3563.7930320723117</v>
      </c>
      <c r="AA38" s="172">
        <f t="shared" si="50"/>
        <v>0</v>
      </c>
      <c r="AB38" s="172">
        <f t="shared" si="50"/>
        <v>0</v>
      </c>
      <c r="AC38" s="172"/>
      <c r="AD38" s="172">
        <f t="shared" si="50"/>
        <v>0</v>
      </c>
      <c r="AE38" s="172">
        <f t="shared" si="50"/>
        <v>187099.13418379638</v>
      </c>
      <c r="AF38" s="172">
        <f t="shared" si="50"/>
        <v>0</v>
      </c>
      <c r="AG38" s="172">
        <f t="shared" si="50"/>
        <v>27718.390249451306</v>
      </c>
      <c r="AH38" s="172">
        <f t="shared" si="50"/>
        <v>0</v>
      </c>
      <c r="AI38" s="172">
        <f t="shared" si="50"/>
        <v>214817.52443324766</v>
      </c>
      <c r="AJ38" s="172">
        <f t="shared" si="50"/>
        <v>0</v>
      </c>
      <c r="AK38" s="172">
        <f t="shared" si="50"/>
        <v>65948.98000100702</v>
      </c>
      <c r="AL38" s="172">
        <f t="shared" si="50"/>
        <v>0</v>
      </c>
      <c r="AM38" s="172">
        <f t="shared" si="50"/>
        <v>280766.50443425466</v>
      </c>
      <c r="AN38" s="172"/>
      <c r="AO38" s="172"/>
      <c r="AP38" s="172">
        <f t="shared" si="50"/>
        <v>0</v>
      </c>
      <c r="AQ38" s="172"/>
      <c r="AR38" s="172"/>
      <c r="AS38" s="172">
        <f t="shared" si="50"/>
        <v>0</v>
      </c>
      <c r="AT38" s="172"/>
      <c r="AU38" s="172">
        <f t="shared" si="50"/>
        <v>0</v>
      </c>
      <c r="AV38" s="172"/>
      <c r="AW38" s="172">
        <f t="shared" si="50"/>
        <v>0</v>
      </c>
      <c r="AX38" s="172"/>
      <c r="AY38" s="172">
        <f t="shared" si="50"/>
        <v>0.6</v>
      </c>
      <c r="AZ38" s="172"/>
      <c r="BA38" s="172">
        <f t="shared" si="50"/>
        <v>20220.000000000004</v>
      </c>
      <c r="BB38" s="172"/>
      <c r="BC38" s="172">
        <f t="shared" si="50"/>
        <v>0</v>
      </c>
      <c r="BD38" s="172"/>
      <c r="BE38" s="172">
        <f t="shared" si="50"/>
        <v>0</v>
      </c>
      <c r="BF38" s="172"/>
      <c r="BG38" s="172">
        <f t="shared" si="50"/>
        <v>0</v>
      </c>
      <c r="BH38" s="172"/>
      <c r="BI38" s="172">
        <f t="shared" si="50"/>
        <v>0</v>
      </c>
      <c r="BJ38" s="172">
        <f>SUM(BJ28:BJ37)</f>
        <v>1560</v>
      </c>
      <c r="BK38" s="172"/>
      <c r="BL38" s="172">
        <f>SUM(BL28:BL37)</f>
        <v>78000</v>
      </c>
      <c r="BM38" s="172"/>
      <c r="BN38" s="172">
        <f t="shared" si="50"/>
        <v>6025.9663729113</v>
      </c>
      <c r="BO38" s="172"/>
      <c r="BP38" s="172">
        <f t="shared" si="50"/>
        <v>1163.0315789473684</v>
      </c>
      <c r="BQ38" s="172"/>
      <c r="BR38" s="172">
        <f t="shared" si="50"/>
        <v>0</v>
      </c>
      <c r="BS38" s="172"/>
      <c r="BT38" s="172">
        <f t="shared" si="50"/>
        <v>0</v>
      </c>
      <c r="BU38" s="172"/>
      <c r="BV38" s="172">
        <f aca="true" t="shared" si="51" ref="BV38:CB38">SUM(BV28:BV37)</f>
        <v>0</v>
      </c>
      <c r="BW38" s="172">
        <f t="shared" si="51"/>
        <v>6956.391636069195</v>
      </c>
      <c r="BX38" s="172">
        <f t="shared" si="51"/>
        <v>393131.8940221825</v>
      </c>
      <c r="BY38" s="172"/>
      <c r="BZ38" s="172"/>
      <c r="CA38" s="172"/>
      <c r="CB38" s="172">
        <f t="shared" si="51"/>
        <v>0</v>
      </c>
    </row>
    <row r="39" spans="1:80" ht="11.25">
      <c r="A39" s="20"/>
      <c r="B39" s="392" t="s">
        <v>82</v>
      </c>
      <c r="C39" s="392"/>
      <c r="D39" s="392"/>
      <c r="E39" s="392"/>
      <c r="F39" s="29"/>
      <c r="G39" s="147"/>
      <c r="H39" s="147"/>
      <c r="I39" s="147"/>
      <c r="J39" s="147"/>
      <c r="K39" s="150"/>
      <c r="L39" s="148"/>
      <c r="M39" s="149"/>
      <c r="N39" s="149"/>
      <c r="O39" s="121"/>
      <c r="P39" s="121"/>
      <c r="Q39" s="149"/>
      <c r="R39" s="148"/>
      <c r="S39" s="149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50"/>
      <c r="AF39" s="150"/>
      <c r="AG39" s="150"/>
      <c r="AH39" s="121"/>
      <c r="AI39" s="121"/>
      <c r="AJ39" s="121"/>
      <c r="AK39" s="121"/>
      <c r="AL39" s="121"/>
      <c r="AM39" s="121"/>
      <c r="AN39" s="150"/>
      <c r="AO39" s="150"/>
      <c r="AP39" s="115"/>
      <c r="AQ39" s="156"/>
      <c r="AR39" s="156"/>
      <c r="AS39" s="115"/>
      <c r="AT39" s="150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>
        <f t="shared" si="26"/>
        <v>0</v>
      </c>
      <c r="BO39" s="115"/>
      <c r="BP39" s="115">
        <f t="shared" si="27"/>
        <v>0</v>
      </c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53"/>
      <c r="CB39" s="151"/>
    </row>
    <row r="40" spans="1:80" ht="11.25">
      <c r="A40" s="20">
        <v>1</v>
      </c>
      <c r="B40" s="28" t="s">
        <v>76</v>
      </c>
      <c r="C40" s="30"/>
      <c r="D40" s="430" t="s">
        <v>143</v>
      </c>
      <c r="E40" s="431"/>
      <c r="F40" s="29" t="s">
        <v>171</v>
      </c>
      <c r="G40" s="179">
        <f>Нормы!C16*'О-РС'!D6</f>
        <v>5.3999999999999995</v>
      </c>
      <c r="H40" s="147" t="s">
        <v>483</v>
      </c>
      <c r="I40" s="147" t="s">
        <v>484</v>
      </c>
      <c r="J40" s="122">
        <f aca="true" t="shared" si="52" ref="J40:J45">L40/N40</f>
        <v>0.7714285714285714</v>
      </c>
      <c r="K40" s="150">
        <v>7</v>
      </c>
      <c r="L40" s="148">
        <f aca="true" t="shared" si="53" ref="L40:L46">IF((M40+N40)&gt;0,G40/K40,0)</f>
        <v>0.7714285714285714</v>
      </c>
      <c r="M40" s="149"/>
      <c r="N40" s="149">
        <v>1</v>
      </c>
      <c r="O40" s="121">
        <f aca="true" t="shared" si="54" ref="O40:O46">IF(M40=0,0,L40*$O$11)</f>
        <v>0</v>
      </c>
      <c r="P40" s="121">
        <f aca="true" t="shared" si="55" ref="P40:P46">IF(N40=0,0,L40*$O$11)</f>
        <v>6.16205899363794</v>
      </c>
      <c r="Q40" s="149"/>
      <c r="R40" s="148"/>
      <c r="S40" s="149">
        <v>2</v>
      </c>
      <c r="T40" s="122">
        <f>IF(AND(N40&gt;0,P40&gt;0),SUMIF('Исх.данные'!$C$14:$J$15,S40,'Исх.данные'!$C$34:J56),IF(N40=0,0,IF(S40=0,"РОТ")))</f>
        <v>105.700598073999</v>
      </c>
      <c r="U40" s="144">
        <f>O40*R40*'Исх.данные'!$C$43%</f>
        <v>0</v>
      </c>
      <c r="V40" s="144">
        <f>P40*T40*'Исх.данные'!$C$44%</f>
        <v>0</v>
      </c>
      <c r="W40" s="144">
        <f aca="true" t="shared" si="56" ref="W40:W46">O40*R40*$W$11</f>
        <v>0</v>
      </c>
      <c r="X40" s="145">
        <f aca="true" t="shared" si="57" ref="X40:X46">P40*T40*$W$11</f>
        <v>0</v>
      </c>
      <c r="Y40" s="144">
        <f aca="true" t="shared" si="58" ref="Y40:Y46">(O40*R40+U40+W40)*$Y$11</f>
        <v>0</v>
      </c>
      <c r="Z40" s="145">
        <f aca="true" t="shared" si="59" ref="Z40:Z46">(P40*T40+V40+X40)*$Z$11</f>
        <v>32.56666604973974</v>
      </c>
      <c r="AA40" s="144">
        <f aca="true" t="shared" si="60" ref="AA40:AA46">(O40*R40+U40)*$AA$11</f>
        <v>0</v>
      </c>
      <c r="AB40" s="145">
        <f aca="true" t="shared" si="61" ref="AB40:AB46">(P40*T40+V40)*$AA$11</f>
        <v>0</v>
      </c>
      <c r="AC40" s="143">
        <v>2.5</v>
      </c>
      <c r="AD40" s="144">
        <f aca="true" t="shared" si="62" ref="AD40:AD46">(O40*R40+U40+W40+Y40+AA40)*AC40</f>
        <v>0</v>
      </c>
      <c r="AE40" s="144">
        <f aca="true" t="shared" si="63" ref="AE40:AE46">(P40*T40+V40+X40+Z40+AB40)*AC40</f>
        <v>1709.7499676113362</v>
      </c>
      <c r="AF40" s="121"/>
      <c r="AG40" s="152">
        <f aca="true" t="shared" si="64" ref="AG40:AG45">AE40*$AF$11</f>
        <v>253.29629149797572</v>
      </c>
      <c r="AH40" s="121"/>
      <c r="AI40" s="121">
        <f aca="true" t="shared" si="65" ref="AI40:AI45">AE40+AG40</f>
        <v>1963.046259109312</v>
      </c>
      <c r="AJ40" s="121"/>
      <c r="AK40" s="152">
        <f aca="true" t="shared" si="66" ref="AK40:AK45">AI40*$AJ$11</f>
        <v>602.6552015465587</v>
      </c>
      <c r="AL40" s="121"/>
      <c r="AM40" s="152">
        <f aca="true" t="shared" si="67" ref="AM40:AM45">AK40+AI40</f>
        <v>2565.7014606558705</v>
      </c>
      <c r="AN40" s="150"/>
      <c r="AO40" s="150"/>
      <c r="AP40" s="115"/>
      <c r="AQ40" s="156"/>
      <c r="AR40" s="156"/>
      <c r="AS40" s="115"/>
      <c r="AT40" s="150"/>
      <c r="AU40" s="115"/>
      <c r="AV40" s="115"/>
      <c r="AW40" s="115"/>
      <c r="AX40" s="115"/>
      <c r="AY40" s="115"/>
      <c r="AZ40" s="115"/>
      <c r="BA40" s="115"/>
      <c r="BB40" s="115">
        <f>Нормы!C20</f>
        <v>1</v>
      </c>
      <c r="BC40" s="153">
        <f>BB40*D6/1000</f>
        <v>1.2</v>
      </c>
      <c r="BD40" s="115">
        <f>Нормы!D20</f>
        <v>297</v>
      </c>
      <c r="BE40" s="115">
        <f>BC40*BD40*1000</f>
        <v>356400</v>
      </c>
      <c r="BF40" s="115"/>
      <c r="BG40" s="115"/>
      <c r="BH40" s="115"/>
      <c r="BI40" s="115"/>
      <c r="BJ40" s="115"/>
      <c r="BK40" s="115"/>
      <c r="BL40" s="115"/>
      <c r="BM40" s="115"/>
      <c r="BN40" s="115">
        <f t="shared" si="26"/>
        <v>0</v>
      </c>
      <c r="BO40" s="115"/>
      <c r="BP40" s="115">
        <f t="shared" si="27"/>
        <v>0</v>
      </c>
      <c r="BQ40" s="115"/>
      <c r="BR40" s="115"/>
      <c r="BS40" s="115"/>
      <c r="BT40" s="115"/>
      <c r="BU40" s="115"/>
      <c r="BV40" s="115"/>
      <c r="BW40" s="115"/>
      <c r="BX40" s="115">
        <f aca="true" t="shared" si="68" ref="BX40:BX46">AL40+AM40+AS40+AW40+BA40+BE40+BI40+BL40+BN40+BP40+BR40+BT40+BV40+BW40</f>
        <v>358965.7014606559</v>
      </c>
      <c r="BY40" s="153">
        <f aca="true" t="shared" si="69" ref="BY40:BY46">BX40/$D$6</f>
        <v>299.1380845505466</v>
      </c>
      <c r="BZ40" s="186">
        <f aca="true" t="shared" si="70" ref="BZ40:BZ46">(O40+P40)/$D$6</f>
        <v>0.00513504916136495</v>
      </c>
      <c r="CA40" s="153"/>
      <c r="CB40" s="151"/>
    </row>
    <row r="41" spans="1:80" ht="11.25">
      <c r="A41" s="20">
        <v>2</v>
      </c>
      <c r="B41" s="28" t="s">
        <v>77</v>
      </c>
      <c r="C41" s="211"/>
      <c r="D41" s="212" t="s">
        <v>511</v>
      </c>
      <c r="E41" s="213"/>
      <c r="F41" s="210" t="s">
        <v>172</v>
      </c>
      <c r="G41" s="181">
        <f>D6/1.25</f>
        <v>960</v>
      </c>
      <c r="H41" s="219">
        <v>42485</v>
      </c>
      <c r="I41" s="219">
        <v>42500</v>
      </c>
      <c r="J41" s="122">
        <f t="shared" si="52"/>
        <v>32</v>
      </c>
      <c r="K41" s="150">
        <v>30</v>
      </c>
      <c r="L41" s="148">
        <f t="shared" si="53"/>
        <v>32</v>
      </c>
      <c r="M41" s="149"/>
      <c r="N41" s="149">
        <v>1</v>
      </c>
      <c r="O41" s="121">
        <f t="shared" si="54"/>
        <v>0</v>
      </c>
      <c r="P41" s="121">
        <f t="shared" si="55"/>
        <v>255.61133603238866</v>
      </c>
      <c r="Q41" s="149"/>
      <c r="R41" s="148"/>
      <c r="S41" s="149">
        <v>3</v>
      </c>
      <c r="T41" s="122">
        <f>IF(AND(N41&gt;0,P41&gt;0),SUMIF('Исх.данные'!$C$14:$J$15,S41,'Исх.данные'!$C$34:J56),IF(N41=0,0,IF(S41=0,"РОТ")))</f>
        <v>113.60344652812975</v>
      </c>
      <c r="U41" s="144">
        <f>O41*R41*'Исх.данные'!$C$43%</f>
        <v>0</v>
      </c>
      <c r="V41" s="144">
        <f>P41*T41*'Исх.данные'!$C$44%</f>
        <v>0</v>
      </c>
      <c r="W41" s="144">
        <f t="shared" si="56"/>
        <v>0</v>
      </c>
      <c r="X41" s="145">
        <f t="shared" si="57"/>
        <v>0</v>
      </c>
      <c r="Y41" s="144">
        <f t="shared" si="58"/>
        <v>0</v>
      </c>
      <c r="Z41" s="145">
        <f t="shared" si="59"/>
        <v>1451.9164372469636</v>
      </c>
      <c r="AA41" s="144">
        <f t="shared" si="60"/>
        <v>0</v>
      </c>
      <c r="AB41" s="145">
        <f t="shared" si="61"/>
        <v>0</v>
      </c>
      <c r="AC41" s="143">
        <v>2.5</v>
      </c>
      <c r="AD41" s="144">
        <f t="shared" si="62"/>
        <v>0</v>
      </c>
      <c r="AE41" s="144">
        <f t="shared" si="63"/>
        <v>76225.61295546559</v>
      </c>
      <c r="AF41" s="121"/>
      <c r="AG41" s="152">
        <f t="shared" si="64"/>
        <v>11292.683400809718</v>
      </c>
      <c r="AH41" s="121"/>
      <c r="AI41" s="121">
        <f t="shared" si="65"/>
        <v>87518.29635627531</v>
      </c>
      <c r="AJ41" s="121"/>
      <c r="AK41" s="152">
        <f t="shared" si="66"/>
        <v>26868.116981376523</v>
      </c>
      <c r="AL41" s="121"/>
      <c r="AM41" s="152">
        <f t="shared" si="67"/>
        <v>114386.41333765184</v>
      </c>
      <c r="AN41" s="150"/>
      <c r="AO41" s="150"/>
      <c r="AP41" s="115"/>
      <c r="AQ41" s="156"/>
      <c r="AR41" s="156"/>
      <c r="AS41" s="115"/>
      <c r="AT41" s="182">
        <f>Нормы!C16</f>
        <v>0.0045</v>
      </c>
      <c r="AU41" s="153">
        <f>AT41*D6</f>
        <v>5.3999999999999995</v>
      </c>
      <c r="AV41" s="115">
        <f>Нормы!D16</f>
        <v>5000</v>
      </c>
      <c r="AW41" s="115">
        <f>AU41*AV41</f>
        <v>26999.999999999996</v>
      </c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>
        <f t="shared" si="26"/>
        <v>0</v>
      </c>
      <c r="BO41" s="115">
        <f>аморт!$H$78</f>
        <v>252.1557894736842</v>
      </c>
      <c r="BP41" s="115">
        <f>BO41*L41*$O$11</f>
        <v>64453.87823567014</v>
      </c>
      <c r="BQ41" s="115"/>
      <c r="BR41" s="115"/>
      <c r="BS41" s="115"/>
      <c r="BT41" s="115"/>
      <c r="BU41" s="115"/>
      <c r="BV41" s="115"/>
      <c r="BW41" s="115">
        <f>аморт!$D$78*10%/аморт!$G$78*L41*O11</f>
        <v>58008.49041210314</v>
      </c>
      <c r="BX41" s="115">
        <f t="shared" si="68"/>
        <v>263848.7819854251</v>
      </c>
      <c r="BY41" s="153">
        <f t="shared" si="69"/>
        <v>219.87398498785424</v>
      </c>
      <c r="BZ41" s="186">
        <f t="shared" si="70"/>
        <v>0.2130094466936572</v>
      </c>
      <c r="CA41" s="153"/>
      <c r="CB41" s="151"/>
    </row>
    <row r="42" spans="1:80" ht="11.25">
      <c r="A42" s="20">
        <v>3</v>
      </c>
      <c r="B42" s="28" t="s">
        <v>197</v>
      </c>
      <c r="C42" s="30"/>
      <c r="D42" s="432" t="s">
        <v>143</v>
      </c>
      <c r="E42" s="433"/>
      <c r="F42" s="29" t="s">
        <v>172</v>
      </c>
      <c r="G42" s="181">
        <f>D6</f>
        <v>1200</v>
      </c>
      <c r="H42" s="147" t="s">
        <v>504</v>
      </c>
      <c r="I42" s="147" t="s">
        <v>504</v>
      </c>
      <c r="J42" s="122">
        <f t="shared" si="52"/>
        <v>42.857142857142854</v>
      </c>
      <c r="K42" s="150">
        <v>28</v>
      </c>
      <c r="L42" s="148">
        <f t="shared" si="53"/>
        <v>42.857142857142854</v>
      </c>
      <c r="M42" s="149"/>
      <c r="N42" s="149">
        <v>1</v>
      </c>
      <c r="O42" s="121">
        <f t="shared" si="54"/>
        <v>0</v>
      </c>
      <c r="P42" s="121">
        <f t="shared" si="55"/>
        <v>342.3366107576634</v>
      </c>
      <c r="Q42" s="149"/>
      <c r="R42" s="148"/>
      <c r="S42" s="149">
        <v>4</v>
      </c>
      <c r="T42" s="122">
        <f>IF(AND(N42&gt;0,P42&gt;0),SUMIF('Исх.данные'!$C$14:$J$15,S42,'Исх.данные'!$C$34:J56),IF(N42=0,0,IF(S42=0,"РОТ")))</f>
        <v>123.48200709579322</v>
      </c>
      <c r="U42" s="144">
        <f>O42*R42*'Исх.данные'!$C$43%</f>
        <v>0</v>
      </c>
      <c r="V42" s="144">
        <f>P42*T42*'Исх.данные'!$C$44%</f>
        <v>0</v>
      </c>
      <c r="W42" s="144">
        <f t="shared" si="56"/>
        <v>0</v>
      </c>
      <c r="X42" s="145">
        <f t="shared" si="57"/>
        <v>0</v>
      </c>
      <c r="Y42" s="144">
        <f t="shared" si="58"/>
        <v>0</v>
      </c>
      <c r="Z42" s="145">
        <f t="shared" si="59"/>
        <v>2113.6205899363795</v>
      </c>
      <c r="AA42" s="144">
        <f t="shared" si="60"/>
        <v>0</v>
      </c>
      <c r="AB42" s="145">
        <f t="shared" si="61"/>
        <v>0</v>
      </c>
      <c r="AC42" s="143">
        <v>2.5</v>
      </c>
      <c r="AD42" s="144">
        <f t="shared" si="62"/>
        <v>0</v>
      </c>
      <c r="AE42" s="144">
        <f t="shared" si="63"/>
        <v>110965.08097165992</v>
      </c>
      <c r="AF42" s="121"/>
      <c r="AG42" s="152">
        <f t="shared" si="64"/>
        <v>16439.27125506073</v>
      </c>
      <c r="AH42" s="121"/>
      <c r="AI42" s="121">
        <f t="shared" si="65"/>
        <v>127404.35222672064</v>
      </c>
      <c r="AJ42" s="121"/>
      <c r="AK42" s="152">
        <f t="shared" si="66"/>
        <v>39113.136133603235</v>
      </c>
      <c r="AL42" s="121"/>
      <c r="AM42" s="152">
        <f t="shared" si="67"/>
        <v>166517.48836032388</v>
      </c>
      <c r="AN42" s="150"/>
      <c r="AO42" s="150"/>
      <c r="AP42" s="115"/>
      <c r="AQ42" s="156"/>
      <c r="AR42" s="156"/>
      <c r="AS42" s="115"/>
      <c r="AT42" s="150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>
        <f t="shared" si="26"/>
        <v>0</v>
      </c>
      <c r="BO42" s="115"/>
      <c r="BP42" s="115">
        <f t="shared" si="27"/>
        <v>0</v>
      </c>
      <c r="BQ42" s="115"/>
      <c r="BR42" s="115"/>
      <c r="BS42" s="115"/>
      <c r="BT42" s="115"/>
      <c r="BU42" s="115"/>
      <c r="BV42" s="115"/>
      <c r="BW42" s="115"/>
      <c r="BX42" s="115">
        <f t="shared" si="68"/>
        <v>166517.48836032388</v>
      </c>
      <c r="BY42" s="153">
        <f t="shared" si="69"/>
        <v>138.76457363360325</v>
      </c>
      <c r="BZ42" s="186">
        <f t="shared" si="70"/>
        <v>0.28528050896471946</v>
      </c>
      <c r="CA42" s="153"/>
      <c r="CB42" s="151"/>
    </row>
    <row r="43" spans="1:80" ht="22.5">
      <c r="A43" s="20">
        <v>4</v>
      </c>
      <c r="B43" s="28" t="s">
        <v>78</v>
      </c>
      <c r="C43" s="30"/>
      <c r="D43" s="418" t="s">
        <v>143</v>
      </c>
      <c r="E43" s="419"/>
      <c r="F43" s="29" t="s">
        <v>172</v>
      </c>
      <c r="G43" s="181">
        <f>D6*6</f>
        <v>7200</v>
      </c>
      <c r="H43" s="147" t="s">
        <v>504</v>
      </c>
      <c r="I43" s="147" t="s">
        <v>504</v>
      </c>
      <c r="J43" s="122">
        <f t="shared" si="52"/>
        <v>2.4</v>
      </c>
      <c r="K43" s="150">
        <v>3000</v>
      </c>
      <c r="L43" s="148">
        <f t="shared" si="53"/>
        <v>2.4</v>
      </c>
      <c r="M43" s="149"/>
      <c r="N43" s="149">
        <v>1</v>
      </c>
      <c r="O43" s="121">
        <f t="shared" si="54"/>
        <v>0</v>
      </c>
      <c r="P43" s="121">
        <f t="shared" si="55"/>
        <v>19.17085020242915</v>
      </c>
      <c r="Q43" s="149"/>
      <c r="R43" s="148"/>
      <c r="S43" s="149">
        <v>4</v>
      </c>
      <c r="T43" s="122">
        <f>IF(AND(N43&gt;0,P43&gt;0),SUMIF('Исх.данные'!$C$14:$J$15,S43,'Исх.данные'!$C$34:J56),IF(N43=0,0,IF(S43=0,"РОТ")))</f>
        <v>123.48200709579322</v>
      </c>
      <c r="U43" s="144">
        <f>O43*R43*'Исх.данные'!$C$43%</f>
        <v>0</v>
      </c>
      <c r="V43" s="144">
        <f>P43*T43*'Исх.данные'!$C$44%</f>
        <v>0</v>
      </c>
      <c r="W43" s="144">
        <f t="shared" si="56"/>
        <v>0</v>
      </c>
      <c r="X43" s="145">
        <f t="shared" si="57"/>
        <v>0</v>
      </c>
      <c r="Y43" s="144">
        <f t="shared" si="58"/>
        <v>0</v>
      </c>
      <c r="Z43" s="145">
        <f t="shared" si="59"/>
        <v>118.36275303643727</v>
      </c>
      <c r="AA43" s="144">
        <f t="shared" si="60"/>
        <v>0</v>
      </c>
      <c r="AB43" s="145">
        <f t="shared" si="61"/>
        <v>0</v>
      </c>
      <c r="AC43" s="143">
        <v>2.5</v>
      </c>
      <c r="AD43" s="144">
        <f t="shared" si="62"/>
        <v>0</v>
      </c>
      <c r="AE43" s="144">
        <f t="shared" si="63"/>
        <v>6214.044534412957</v>
      </c>
      <c r="AF43" s="121"/>
      <c r="AG43" s="152">
        <f t="shared" si="64"/>
        <v>920.599190283401</v>
      </c>
      <c r="AH43" s="121"/>
      <c r="AI43" s="121">
        <f t="shared" si="65"/>
        <v>7134.643724696358</v>
      </c>
      <c r="AJ43" s="121"/>
      <c r="AK43" s="152">
        <f t="shared" si="66"/>
        <v>2190.335623481782</v>
      </c>
      <c r="AL43" s="121"/>
      <c r="AM43" s="152">
        <f t="shared" si="67"/>
        <v>9324.97934817814</v>
      </c>
      <c r="AN43" s="150"/>
      <c r="AO43" s="150"/>
      <c r="AP43" s="115"/>
      <c r="AQ43" s="156"/>
      <c r="AR43" s="156"/>
      <c r="AS43" s="115"/>
      <c r="AT43" s="150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>
        <f t="shared" si="26"/>
        <v>0</v>
      </c>
      <c r="BO43" s="115"/>
      <c r="BP43" s="115">
        <f t="shared" si="27"/>
        <v>0</v>
      </c>
      <c r="BQ43" s="115"/>
      <c r="BR43" s="115"/>
      <c r="BS43" s="115"/>
      <c r="BT43" s="115"/>
      <c r="BU43" s="115"/>
      <c r="BV43" s="115"/>
      <c r="BW43" s="115"/>
      <c r="BX43" s="115">
        <f t="shared" si="68"/>
        <v>9324.97934817814</v>
      </c>
      <c r="BY43" s="153">
        <f t="shared" si="69"/>
        <v>7.770816123481783</v>
      </c>
      <c r="BZ43" s="186">
        <f t="shared" si="70"/>
        <v>0.015975708502024292</v>
      </c>
      <c r="CA43" s="153"/>
      <c r="CB43" s="151"/>
    </row>
    <row r="44" spans="1:80" ht="11.25">
      <c r="A44" s="20">
        <v>5</v>
      </c>
      <c r="B44" s="28" t="s">
        <v>79</v>
      </c>
      <c r="C44" s="30"/>
      <c r="D44" s="418" t="s">
        <v>143</v>
      </c>
      <c r="E44" s="419"/>
      <c r="F44" s="29" t="s">
        <v>172</v>
      </c>
      <c r="G44" s="181">
        <f>G41*2</f>
        <v>1920</v>
      </c>
      <c r="H44" s="147" t="s">
        <v>504</v>
      </c>
      <c r="I44" s="147" t="s">
        <v>504</v>
      </c>
      <c r="J44" s="122">
        <f t="shared" si="52"/>
        <v>32</v>
      </c>
      <c r="K44" s="150">
        <v>60</v>
      </c>
      <c r="L44" s="148">
        <f t="shared" si="53"/>
        <v>32</v>
      </c>
      <c r="M44" s="149"/>
      <c r="N44" s="149">
        <v>1</v>
      </c>
      <c r="O44" s="121">
        <f t="shared" si="54"/>
        <v>0</v>
      </c>
      <c r="P44" s="121">
        <f t="shared" si="55"/>
        <v>255.61133603238866</v>
      </c>
      <c r="Q44" s="149"/>
      <c r="R44" s="148"/>
      <c r="S44" s="149">
        <v>3</v>
      </c>
      <c r="T44" s="122">
        <f>IF(AND(N44&gt;0,P44&gt;0),SUMIF('Исх.данные'!$C$14:$J$15,S44,'Исх.данные'!$C$34:J56),IF(N44=0,0,IF(S44=0,"РОТ")))</f>
        <v>113.60344652812975</v>
      </c>
      <c r="U44" s="144">
        <f>O44*R44*'Исх.данные'!$C$43%</f>
        <v>0</v>
      </c>
      <c r="V44" s="144">
        <f>P44*T44*'Исх.данные'!$C$44%</f>
        <v>0</v>
      </c>
      <c r="W44" s="144">
        <f t="shared" si="56"/>
        <v>0</v>
      </c>
      <c r="X44" s="145">
        <f t="shared" si="57"/>
        <v>0</v>
      </c>
      <c r="Y44" s="144">
        <f t="shared" si="58"/>
        <v>0</v>
      </c>
      <c r="Z44" s="145">
        <f t="shared" si="59"/>
        <v>1451.9164372469636</v>
      </c>
      <c r="AA44" s="144">
        <f t="shared" si="60"/>
        <v>0</v>
      </c>
      <c r="AB44" s="145">
        <f t="shared" si="61"/>
        <v>0</v>
      </c>
      <c r="AC44" s="143">
        <v>2.5</v>
      </c>
      <c r="AD44" s="144">
        <f t="shared" si="62"/>
        <v>0</v>
      </c>
      <c r="AE44" s="144">
        <f t="shared" si="63"/>
        <v>76225.61295546559</v>
      </c>
      <c r="AF44" s="121"/>
      <c r="AG44" s="152">
        <f t="shared" si="64"/>
        <v>11292.683400809718</v>
      </c>
      <c r="AH44" s="121"/>
      <c r="AI44" s="121">
        <f t="shared" si="65"/>
        <v>87518.29635627531</v>
      </c>
      <c r="AJ44" s="121"/>
      <c r="AK44" s="152">
        <f t="shared" si="66"/>
        <v>26868.116981376523</v>
      </c>
      <c r="AL44" s="121"/>
      <c r="AM44" s="152">
        <f t="shared" si="67"/>
        <v>114386.41333765184</v>
      </c>
      <c r="AN44" s="150"/>
      <c r="AO44" s="150"/>
      <c r="AP44" s="115"/>
      <c r="AQ44" s="156"/>
      <c r="AR44" s="156"/>
      <c r="AS44" s="115"/>
      <c r="AT44" s="150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>
        <f t="shared" si="26"/>
        <v>0</v>
      </c>
      <c r="BO44" s="115"/>
      <c r="BP44" s="115">
        <f t="shared" si="27"/>
        <v>0</v>
      </c>
      <c r="BQ44" s="115"/>
      <c r="BR44" s="115"/>
      <c r="BS44" s="115"/>
      <c r="BT44" s="115"/>
      <c r="BU44" s="115"/>
      <c r="BV44" s="115"/>
      <c r="BW44" s="115"/>
      <c r="BX44" s="115">
        <f t="shared" si="68"/>
        <v>114386.41333765184</v>
      </c>
      <c r="BY44" s="153">
        <f t="shared" si="69"/>
        <v>95.32201111470987</v>
      </c>
      <c r="BZ44" s="186">
        <f t="shared" si="70"/>
        <v>0.2130094466936572</v>
      </c>
      <c r="CA44" s="153"/>
      <c r="CB44" s="151"/>
    </row>
    <row r="45" spans="1:80" ht="11.25">
      <c r="A45" s="20">
        <v>6</v>
      </c>
      <c r="B45" s="28" t="s">
        <v>80</v>
      </c>
      <c r="C45" s="30"/>
      <c r="D45" s="31"/>
      <c r="E45" s="32"/>
      <c r="F45" s="29" t="s">
        <v>173</v>
      </c>
      <c r="G45" s="181">
        <f>Нормы!C22*'О-РС'!D6</f>
        <v>636</v>
      </c>
      <c r="H45" s="147" t="s">
        <v>504</v>
      </c>
      <c r="I45" s="147" t="s">
        <v>504</v>
      </c>
      <c r="J45" s="122">
        <f t="shared" si="52"/>
        <v>90.85714285714286</v>
      </c>
      <c r="K45" s="150">
        <v>7</v>
      </c>
      <c r="L45" s="148">
        <f t="shared" si="53"/>
        <v>90.85714285714286</v>
      </c>
      <c r="M45" s="149"/>
      <c r="N45" s="149">
        <v>1</v>
      </c>
      <c r="O45" s="121">
        <f t="shared" si="54"/>
        <v>0</v>
      </c>
      <c r="P45" s="121">
        <f t="shared" si="55"/>
        <v>725.7536148062464</v>
      </c>
      <c r="Q45" s="149"/>
      <c r="R45" s="148"/>
      <c r="S45" s="149">
        <v>4</v>
      </c>
      <c r="T45" s="122">
        <f>IF(AND(N45&gt;0,P45&gt;0),SUMIF('Исх.данные'!$C$14:$J$15,S45,'Исх.данные'!$C$34:J56),IF(N45=0,0,IF(S45=0,"РОТ")))</f>
        <v>123.48200709579322</v>
      </c>
      <c r="U45" s="144">
        <f>O45*R45*'Исх.данные'!$C$43%</f>
        <v>0</v>
      </c>
      <c r="V45" s="144">
        <f>P45*T45*'Исх.данные'!$C$44%</f>
        <v>0</v>
      </c>
      <c r="W45" s="144">
        <f t="shared" si="56"/>
        <v>0</v>
      </c>
      <c r="X45" s="145">
        <f t="shared" si="57"/>
        <v>0</v>
      </c>
      <c r="Y45" s="144">
        <f t="shared" si="58"/>
        <v>0</v>
      </c>
      <c r="Z45" s="145">
        <f t="shared" si="59"/>
        <v>4480.875650665125</v>
      </c>
      <c r="AA45" s="144">
        <f t="shared" si="60"/>
        <v>0</v>
      </c>
      <c r="AB45" s="145">
        <f t="shared" si="61"/>
        <v>0</v>
      </c>
      <c r="AC45" s="143">
        <v>2.5</v>
      </c>
      <c r="AD45" s="144">
        <f t="shared" si="62"/>
        <v>0</v>
      </c>
      <c r="AE45" s="144">
        <f t="shared" si="63"/>
        <v>235245.97165991907</v>
      </c>
      <c r="AF45" s="121"/>
      <c r="AG45" s="152">
        <f t="shared" si="64"/>
        <v>34851.25506072875</v>
      </c>
      <c r="AH45" s="121"/>
      <c r="AI45" s="121">
        <f t="shared" si="65"/>
        <v>270097.2267206478</v>
      </c>
      <c r="AJ45" s="121"/>
      <c r="AK45" s="152">
        <f t="shared" si="66"/>
        <v>82919.84860323888</v>
      </c>
      <c r="AL45" s="121"/>
      <c r="AM45" s="152">
        <f t="shared" si="67"/>
        <v>353017.0753238867</v>
      </c>
      <c r="AN45" s="150"/>
      <c r="AO45" s="150"/>
      <c r="AP45" s="115"/>
      <c r="AQ45" s="156"/>
      <c r="AR45" s="156"/>
      <c r="AS45" s="115"/>
      <c r="AT45" s="150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>
        <f t="shared" si="26"/>
        <v>0</v>
      </c>
      <c r="BO45" s="115"/>
      <c r="BP45" s="115">
        <f t="shared" si="27"/>
        <v>0</v>
      </c>
      <c r="BQ45" s="115"/>
      <c r="BR45" s="115"/>
      <c r="BS45" s="115"/>
      <c r="BT45" s="115"/>
      <c r="BU45" s="115"/>
      <c r="BV45" s="115"/>
      <c r="BW45" s="115"/>
      <c r="BX45" s="115">
        <f t="shared" si="68"/>
        <v>353017.0753238867</v>
      </c>
      <c r="BY45" s="153">
        <f t="shared" si="69"/>
        <v>294.1808961032389</v>
      </c>
      <c r="BZ45" s="186">
        <f t="shared" si="70"/>
        <v>0.6047946790052053</v>
      </c>
      <c r="CA45" s="153"/>
      <c r="CB45" s="151"/>
    </row>
    <row r="46" spans="1:80" ht="22.5">
      <c r="A46" s="20">
        <v>7</v>
      </c>
      <c r="B46" s="28" t="s">
        <v>81</v>
      </c>
      <c r="C46" s="30"/>
      <c r="D46" s="28" t="s">
        <v>169</v>
      </c>
      <c r="E46" s="31" t="s">
        <v>170</v>
      </c>
      <c r="F46" s="29" t="s">
        <v>173</v>
      </c>
      <c r="G46" s="181">
        <f>G45</f>
        <v>636</v>
      </c>
      <c r="H46" s="147" t="s">
        <v>504</v>
      </c>
      <c r="I46" s="147" t="s">
        <v>504</v>
      </c>
      <c r="J46" s="122"/>
      <c r="K46" s="150">
        <v>7</v>
      </c>
      <c r="L46" s="148">
        <f t="shared" si="53"/>
        <v>0</v>
      </c>
      <c r="M46" s="149"/>
      <c r="N46" s="149"/>
      <c r="O46" s="121">
        <f t="shared" si="54"/>
        <v>0</v>
      </c>
      <c r="P46" s="121">
        <f t="shared" si="55"/>
        <v>0</v>
      </c>
      <c r="Q46" s="149">
        <v>4</v>
      </c>
      <c r="R46" s="122">
        <f>IF(AND(O46&gt;0,Q46&gt;0),SUMIF('Исх.данные'!$C$14:$H$14,Q46,'Исх.данные'!$C$18:$H$18),IF(O46=0,0,IF(Q46=0,"РОТ")))</f>
        <v>0</v>
      </c>
      <c r="S46" s="149"/>
      <c r="T46" s="148"/>
      <c r="U46" s="144">
        <f>O46*R46*'Исх.данные'!$C$43%</f>
        <v>0</v>
      </c>
      <c r="V46" s="144">
        <f>P46*T46*'Исх.данные'!$C$44%</f>
        <v>0</v>
      </c>
      <c r="W46" s="144">
        <f t="shared" si="56"/>
        <v>0</v>
      </c>
      <c r="X46" s="145">
        <f t="shared" si="57"/>
        <v>0</v>
      </c>
      <c r="Y46" s="144">
        <f t="shared" si="58"/>
        <v>0</v>
      </c>
      <c r="Z46" s="145">
        <f t="shared" si="59"/>
        <v>0</v>
      </c>
      <c r="AA46" s="144">
        <f t="shared" si="60"/>
        <v>0</v>
      </c>
      <c r="AB46" s="145">
        <f t="shared" si="61"/>
        <v>0</v>
      </c>
      <c r="AC46" s="143">
        <v>2.5</v>
      </c>
      <c r="AD46" s="144">
        <f t="shared" si="62"/>
        <v>0</v>
      </c>
      <c r="AE46" s="144">
        <f t="shared" si="63"/>
        <v>0</v>
      </c>
      <c r="AF46" s="121">
        <f>AD46*$AF$11</f>
        <v>0</v>
      </c>
      <c r="AG46" s="152"/>
      <c r="AH46" s="121">
        <f>AD46+AF46</f>
        <v>0</v>
      </c>
      <c r="AI46" s="121"/>
      <c r="AJ46" s="121">
        <f>AH46*$AJ$11</f>
        <v>0</v>
      </c>
      <c r="AK46" s="152"/>
      <c r="AL46" s="121">
        <f>AH46+AJ46</f>
        <v>0</v>
      </c>
      <c r="AM46" s="152"/>
      <c r="AN46" s="150">
        <v>11.9</v>
      </c>
      <c r="AO46" s="148">
        <f>AO16</f>
        <v>0.84</v>
      </c>
      <c r="AP46" s="123">
        <f>(G46*AN46)*AO46/100</f>
        <v>63.57456</v>
      </c>
      <c r="AQ46" s="163" t="s">
        <v>187</v>
      </c>
      <c r="AR46" s="122">
        <f>'Исх.данные'!$G$85</f>
        <v>9559.371428571429</v>
      </c>
      <c r="AS46" s="115">
        <f>AP46*AR46</f>
        <v>607732.832448</v>
      </c>
      <c r="AT46" s="150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53">
        <v>2.2</v>
      </c>
      <c r="BG46" s="115">
        <f>BF46*G46</f>
        <v>1399.2</v>
      </c>
      <c r="BH46" s="123">
        <v>7.8004</v>
      </c>
      <c r="BI46" s="115">
        <f>BG46*BH46</f>
        <v>10914.31968</v>
      </c>
      <c r="BJ46" s="115"/>
      <c r="BK46" s="115"/>
      <c r="BL46" s="115"/>
      <c r="BM46" s="115"/>
      <c r="BN46" s="115">
        <f t="shared" si="26"/>
        <v>0</v>
      </c>
      <c r="BO46" s="115"/>
      <c r="BP46" s="115">
        <f t="shared" si="27"/>
        <v>0</v>
      </c>
      <c r="BQ46" s="115"/>
      <c r="BR46" s="115"/>
      <c r="BS46" s="115"/>
      <c r="BT46" s="115"/>
      <c r="BU46" s="115"/>
      <c r="BV46" s="115"/>
      <c r="BW46" s="115"/>
      <c r="BX46" s="115">
        <f t="shared" si="68"/>
        <v>618647.1521279999</v>
      </c>
      <c r="BY46" s="153">
        <f t="shared" si="69"/>
        <v>515.5392934399999</v>
      </c>
      <c r="BZ46" s="186">
        <f t="shared" si="70"/>
        <v>0</v>
      </c>
      <c r="CA46" s="153"/>
      <c r="CB46" s="151"/>
    </row>
    <row r="47" spans="1:80" s="65" customFormat="1" ht="11.25">
      <c r="A47" s="62"/>
      <c r="B47" s="55" t="s">
        <v>22</v>
      </c>
      <c r="C47" s="55"/>
      <c r="D47" s="55"/>
      <c r="E47" s="55"/>
      <c r="F47" s="63"/>
      <c r="G47" s="170"/>
      <c r="H47" s="170"/>
      <c r="I47" s="170"/>
      <c r="J47" s="171">
        <f>SUM(J40:J46)</f>
        <v>200.8857142857143</v>
      </c>
      <c r="K47" s="171"/>
      <c r="L47" s="171">
        <f aca="true" t="shared" si="71" ref="L47:BT47">SUM(L40:L46)</f>
        <v>200.8857142857143</v>
      </c>
      <c r="M47" s="171">
        <f t="shared" si="71"/>
        <v>0</v>
      </c>
      <c r="N47" s="171">
        <f t="shared" si="71"/>
        <v>6</v>
      </c>
      <c r="O47" s="171">
        <f t="shared" si="71"/>
        <v>0</v>
      </c>
      <c r="P47" s="171">
        <f t="shared" si="71"/>
        <v>1604.6458068247543</v>
      </c>
      <c r="Q47" s="171"/>
      <c r="R47" s="171"/>
      <c r="S47" s="171"/>
      <c r="T47" s="171"/>
      <c r="U47" s="171">
        <f t="shared" si="71"/>
        <v>0</v>
      </c>
      <c r="V47" s="171">
        <f t="shared" si="71"/>
        <v>0</v>
      </c>
      <c r="W47" s="171">
        <f t="shared" si="71"/>
        <v>0</v>
      </c>
      <c r="X47" s="171">
        <f t="shared" si="71"/>
        <v>0</v>
      </c>
      <c r="Y47" s="171">
        <f t="shared" si="71"/>
        <v>0</v>
      </c>
      <c r="Z47" s="171">
        <f t="shared" si="71"/>
        <v>9649.258534181608</v>
      </c>
      <c r="AA47" s="171">
        <f t="shared" si="71"/>
        <v>0</v>
      </c>
      <c r="AB47" s="171">
        <f t="shared" si="71"/>
        <v>0</v>
      </c>
      <c r="AC47" s="171"/>
      <c r="AD47" s="171">
        <f t="shared" si="71"/>
        <v>0</v>
      </c>
      <c r="AE47" s="171">
        <f t="shared" si="71"/>
        <v>506586.0730445345</v>
      </c>
      <c r="AF47" s="171">
        <f t="shared" si="71"/>
        <v>0</v>
      </c>
      <c r="AG47" s="171">
        <f t="shared" si="71"/>
        <v>75049.78859919029</v>
      </c>
      <c r="AH47" s="171">
        <f t="shared" si="71"/>
        <v>0</v>
      </c>
      <c r="AI47" s="171">
        <f t="shared" si="71"/>
        <v>581635.8616437248</v>
      </c>
      <c r="AJ47" s="171">
        <f t="shared" si="71"/>
        <v>0</v>
      </c>
      <c r="AK47" s="171">
        <f t="shared" si="71"/>
        <v>178562.2095246235</v>
      </c>
      <c r="AL47" s="171">
        <f t="shared" si="71"/>
        <v>0</v>
      </c>
      <c r="AM47" s="171">
        <f t="shared" si="71"/>
        <v>760198.0711683483</v>
      </c>
      <c r="AN47" s="171"/>
      <c r="AO47" s="171"/>
      <c r="AP47" s="171">
        <f t="shared" si="71"/>
        <v>63.57456</v>
      </c>
      <c r="AQ47" s="171"/>
      <c r="AR47" s="171"/>
      <c r="AS47" s="171">
        <f t="shared" si="71"/>
        <v>607732.832448</v>
      </c>
      <c r="AT47" s="171"/>
      <c r="AU47" s="171">
        <f t="shared" si="71"/>
        <v>5.3999999999999995</v>
      </c>
      <c r="AV47" s="171"/>
      <c r="AW47" s="171">
        <f t="shared" si="71"/>
        <v>26999.999999999996</v>
      </c>
      <c r="AX47" s="171"/>
      <c r="AY47" s="171">
        <f t="shared" si="71"/>
        <v>0</v>
      </c>
      <c r="AZ47" s="171"/>
      <c r="BA47" s="171">
        <f t="shared" si="71"/>
        <v>0</v>
      </c>
      <c r="BB47" s="171"/>
      <c r="BC47" s="171">
        <f t="shared" si="71"/>
        <v>1.2</v>
      </c>
      <c r="BD47" s="171"/>
      <c r="BE47" s="171">
        <f t="shared" si="71"/>
        <v>356400</v>
      </c>
      <c r="BF47" s="171"/>
      <c r="BG47" s="171">
        <f t="shared" si="71"/>
        <v>1399.2</v>
      </c>
      <c r="BH47" s="171"/>
      <c r="BI47" s="171">
        <f t="shared" si="71"/>
        <v>10914.31968</v>
      </c>
      <c r="BJ47" s="171">
        <f>SUM(BJ40:BJ46)</f>
        <v>0</v>
      </c>
      <c r="BK47" s="171"/>
      <c r="BL47" s="171">
        <f>SUM(BL40:BL46)</f>
        <v>0</v>
      </c>
      <c r="BM47" s="171"/>
      <c r="BN47" s="171">
        <f t="shared" si="71"/>
        <v>0</v>
      </c>
      <c r="BO47" s="171"/>
      <c r="BP47" s="171">
        <f t="shared" si="71"/>
        <v>64453.87823567014</v>
      </c>
      <c r="BQ47" s="171"/>
      <c r="BR47" s="171">
        <f t="shared" si="71"/>
        <v>0</v>
      </c>
      <c r="BS47" s="171"/>
      <c r="BT47" s="171">
        <f t="shared" si="71"/>
        <v>0</v>
      </c>
      <c r="BU47" s="171"/>
      <c r="BV47" s="171">
        <f aca="true" t="shared" si="72" ref="BV47:CB47">SUM(BV40:BV46)</f>
        <v>0</v>
      </c>
      <c r="BW47" s="171">
        <f t="shared" si="72"/>
        <v>58008.49041210314</v>
      </c>
      <c r="BX47" s="171">
        <f t="shared" si="72"/>
        <v>1884707.5919441213</v>
      </c>
      <c r="BY47" s="171"/>
      <c r="BZ47" s="171"/>
      <c r="CA47" s="171"/>
      <c r="CB47" s="171">
        <f t="shared" si="72"/>
        <v>0</v>
      </c>
    </row>
    <row r="48" spans="1:80" s="53" customFormat="1" ht="11.25">
      <c r="A48" s="50"/>
      <c r="B48" s="60" t="s">
        <v>25</v>
      </c>
      <c r="C48" s="60"/>
      <c r="D48" s="60"/>
      <c r="E48" s="60"/>
      <c r="F48" s="51"/>
      <c r="G48" s="161"/>
      <c r="H48" s="161"/>
      <c r="I48" s="161"/>
      <c r="J48" s="173">
        <f>J26+J38+J47</f>
        <v>299.4764827499866</v>
      </c>
      <c r="K48" s="173"/>
      <c r="L48" s="173">
        <f aca="true" t="shared" si="73" ref="L48:BT48">L26+L38+L47</f>
        <v>312.8947715200401</v>
      </c>
      <c r="M48" s="173">
        <f t="shared" si="73"/>
        <v>5</v>
      </c>
      <c r="N48" s="173">
        <f t="shared" si="73"/>
        <v>34</v>
      </c>
      <c r="O48" s="173">
        <f t="shared" si="73"/>
        <v>40.521914741605144</v>
      </c>
      <c r="P48" s="173">
        <f t="shared" si="73"/>
        <v>2497.760259955624</v>
      </c>
      <c r="Q48" s="173"/>
      <c r="R48" s="173"/>
      <c r="S48" s="173"/>
      <c r="T48" s="173"/>
      <c r="U48" s="173">
        <f t="shared" si="73"/>
        <v>0</v>
      </c>
      <c r="V48" s="173">
        <f t="shared" si="73"/>
        <v>0</v>
      </c>
      <c r="W48" s="173">
        <f t="shared" si="73"/>
        <v>0</v>
      </c>
      <c r="X48" s="173">
        <f t="shared" si="73"/>
        <v>0</v>
      </c>
      <c r="Y48" s="173">
        <f t="shared" si="73"/>
        <v>564.3034763705646</v>
      </c>
      <c r="Z48" s="173">
        <f t="shared" si="73"/>
        <v>14521.766616102228</v>
      </c>
      <c r="AA48" s="173">
        <f t="shared" si="73"/>
        <v>0</v>
      </c>
      <c r="AB48" s="173">
        <f t="shared" si="73"/>
        <v>0</v>
      </c>
      <c r="AC48" s="173"/>
      <c r="AD48" s="173">
        <f t="shared" si="73"/>
        <v>15518.345600190523</v>
      </c>
      <c r="AE48" s="173">
        <f t="shared" si="73"/>
        <v>762392.7473453671</v>
      </c>
      <c r="AF48" s="173">
        <f t="shared" si="73"/>
        <v>2299.0141629911886</v>
      </c>
      <c r="AG48" s="173">
        <f t="shared" si="73"/>
        <v>112947.0736807951</v>
      </c>
      <c r="AH48" s="173">
        <f t="shared" si="73"/>
        <v>17817.359763181714</v>
      </c>
      <c r="AI48" s="173">
        <f t="shared" si="73"/>
        <v>875339.8210261622</v>
      </c>
      <c r="AJ48" s="173">
        <f t="shared" si="73"/>
        <v>5469.929447296786</v>
      </c>
      <c r="AK48" s="173">
        <f t="shared" si="73"/>
        <v>268729.32505503175</v>
      </c>
      <c r="AL48" s="173">
        <f t="shared" si="73"/>
        <v>23287.2892104785</v>
      </c>
      <c r="AM48" s="173">
        <f t="shared" si="73"/>
        <v>1144069.1460811938</v>
      </c>
      <c r="AN48" s="173"/>
      <c r="AO48" s="173"/>
      <c r="AP48" s="173">
        <f t="shared" si="73"/>
        <v>65.65104</v>
      </c>
      <c r="AQ48" s="173"/>
      <c r="AR48" s="173"/>
      <c r="AS48" s="173">
        <f t="shared" si="73"/>
        <v>622097.0173439999</v>
      </c>
      <c r="AT48" s="173"/>
      <c r="AU48" s="173">
        <f t="shared" si="73"/>
        <v>5.3999999999999995</v>
      </c>
      <c r="AV48" s="173"/>
      <c r="AW48" s="173">
        <f t="shared" si="73"/>
        <v>26999.999999999996</v>
      </c>
      <c r="AX48" s="173"/>
      <c r="AY48" s="173">
        <f t="shared" si="73"/>
        <v>60.6</v>
      </c>
      <c r="AZ48" s="173"/>
      <c r="BA48" s="173">
        <f t="shared" si="73"/>
        <v>105208.224</v>
      </c>
      <c r="BB48" s="173"/>
      <c r="BC48" s="173">
        <f t="shared" si="73"/>
        <v>1.2</v>
      </c>
      <c r="BD48" s="173"/>
      <c r="BE48" s="173">
        <f t="shared" si="73"/>
        <v>356400</v>
      </c>
      <c r="BF48" s="173"/>
      <c r="BG48" s="173">
        <f t="shared" si="73"/>
        <v>1399.2</v>
      </c>
      <c r="BH48" s="173"/>
      <c r="BI48" s="173">
        <f t="shared" si="73"/>
        <v>10914.31968</v>
      </c>
      <c r="BJ48" s="173">
        <f>BJ26+BJ38+BJ47</f>
        <v>1560</v>
      </c>
      <c r="BK48" s="173"/>
      <c r="BL48" s="173">
        <f>BL26+BL38+BL47</f>
        <v>78000</v>
      </c>
      <c r="BM48" s="173"/>
      <c r="BN48" s="173">
        <f t="shared" si="73"/>
        <v>8805.964342103165</v>
      </c>
      <c r="BO48" s="173"/>
      <c r="BP48" s="173">
        <f t="shared" si="73"/>
        <v>66351.63662232578</v>
      </c>
      <c r="BQ48" s="173"/>
      <c r="BR48" s="173">
        <f t="shared" si="73"/>
        <v>2717.1558565440305</v>
      </c>
      <c r="BS48" s="173"/>
      <c r="BT48" s="173">
        <f t="shared" si="73"/>
        <v>428.98719473168825</v>
      </c>
      <c r="BU48" s="173"/>
      <c r="BV48" s="173">
        <f aca="true" t="shared" si="74" ref="BV48:CB48">BV26+BV38+BV47</f>
        <v>169.0357468646246</v>
      </c>
      <c r="BW48" s="173">
        <f t="shared" si="74"/>
        <v>65457.185695441054</v>
      </c>
      <c r="BX48" s="173">
        <f t="shared" si="74"/>
        <v>2510905.9617736824</v>
      </c>
      <c r="BY48" s="173"/>
      <c r="BZ48" s="173"/>
      <c r="CA48" s="173"/>
      <c r="CB48" s="173">
        <f t="shared" si="74"/>
        <v>27.342</v>
      </c>
    </row>
  </sheetData>
  <sheetProtection/>
  <mergeCells count="139">
    <mergeCell ref="D36:E36"/>
    <mergeCell ref="D37:E37"/>
    <mergeCell ref="D40:E40"/>
    <mergeCell ref="D42:E42"/>
    <mergeCell ref="D43:E43"/>
    <mergeCell ref="D44:E44"/>
    <mergeCell ref="D29:E29"/>
    <mergeCell ref="D30:E30"/>
    <mergeCell ref="D31:E31"/>
    <mergeCell ref="D32:E32"/>
    <mergeCell ref="D33:E33"/>
    <mergeCell ref="D34:E34"/>
    <mergeCell ref="BD11:BD13"/>
    <mergeCell ref="BE11:BE13"/>
    <mergeCell ref="BO12:BO13"/>
    <mergeCell ref="BP12:BP13"/>
    <mergeCell ref="BQ12:BQ13"/>
    <mergeCell ref="BO11:BP11"/>
    <mergeCell ref="AX11:AX13"/>
    <mergeCell ref="AY11:AY13"/>
    <mergeCell ref="AZ11:AZ13"/>
    <mergeCell ref="BA11:BA13"/>
    <mergeCell ref="BB11:BB13"/>
    <mergeCell ref="BC11:BC13"/>
    <mergeCell ref="AN9:AS10"/>
    <mergeCell ref="AT9:AW10"/>
    <mergeCell ref="BF9:BI10"/>
    <mergeCell ref="AX9:BA10"/>
    <mergeCell ref="BB9:BE10"/>
    <mergeCell ref="Q12:Q13"/>
    <mergeCell ref="R12:R13"/>
    <mergeCell ref="S12:S13"/>
    <mergeCell ref="T12:T13"/>
    <mergeCell ref="BF11:BF13"/>
    <mergeCell ref="AL9:AM10"/>
    <mergeCell ref="U9:V10"/>
    <mergeCell ref="W9:X10"/>
    <mergeCell ref="Y9:Z10"/>
    <mergeCell ref="AF9:AG10"/>
    <mergeCell ref="AJ9:AK10"/>
    <mergeCell ref="AH9:AI10"/>
    <mergeCell ref="AA9:AB10"/>
    <mergeCell ref="AC9:AE10"/>
    <mergeCell ref="A9:A13"/>
    <mergeCell ref="B9:E10"/>
    <mergeCell ref="F9:F13"/>
    <mergeCell ref="G9:G13"/>
    <mergeCell ref="B11:B13"/>
    <mergeCell ref="C11:E11"/>
    <mergeCell ref="C12:C13"/>
    <mergeCell ref="H11:H13"/>
    <mergeCell ref="M9:N10"/>
    <mergeCell ref="H9:I10"/>
    <mergeCell ref="J9:J13"/>
    <mergeCell ref="K9:K13"/>
    <mergeCell ref="U11:U13"/>
    <mergeCell ref="Q11:R11"/>
    <mergeCell ref="S11:T11"/>
    <mergeCell ref="O9:P10"/>
    <mergeCell ref="Q9:T10"/>
    <mergeCell ref="L9:L13"/>
    <mergeCell ref="I11:I13"/>
    <mergeCell ref="BU11:BV11"/>
    <mergeCell ref="BR12:BR13"/>
    <mergeCell ref="BU12:BU13"/>
    <mergeCell ref="BV12:BV13"/>
    <mergeCell ref="BQ11:BR11"/>
    <mergeCell ref="BS12:BS13"/>
    <mergeCell ref="BT12:BT13"/>
    <mergeCell ref="Y12:Y13"/>
    <mergeCell ref="BX11:BX13"/>
    <mergeCell ref="BY11:BY13"/>
    <mergeCell ref="BZ9:BZ13"/>
    <mergeCell ref="BG11:BG13"/>
    <mergeCell ref="BH11:BH13"/>
    <mergeCell ref="BI11:BI13"/>
    <mergeCell ref="BM11:BN11"/>
    <mergeCell ref="BN12:BN13"/>
    <mergeCell ref="BM12:BM13"/>
    <mergeCell ref="BS11:BT11"/>
    <mergeCell ref="Z12:Z13"/>
    <mergeCell ref="V11:V13"/>
    <mergeCell ref="CA9:CB10"/>
    <mergeCell ref="CA11:CA13"/>
    <mergeCell ref="CB11:CB13"/>
    <mergeCell ref="BM9:BP10"/>
    <mergeCell ref="BQ9:BW10"/>
    <mergeCell ref="BX9:BY10"/>
    <mergeCell ref="BW11:BW13"/>
    <mergeCell ref="AI11:AI13"/>
    <mergeCell ref="AE11:AE13"/>
    <mergeCell ref="M11:M13"/>
    <mergeCell ref="AD11:AD13"/>
    <mergeCell ref="O12:O13"/>
    <mergeCell ref="P12:P13"/>
    <mergeCell ref="N11:N13"/>
    <mergeCell ref="O11:P11"/>
    <mergeCell ref="W11:X11"/>
    <mergeCell ref="AA11:AB11"/>
    <mergeCell ref="AC11:AC13"/>
    <mergeCell ref="D22:E22"/>
    <mergeCell ref="D24:E24"/>
    <mergeCell ref="D25:E25"/>
    <mergeCell ref="B39:E39"/>
    <mergeCell ref="D28:E28"/>
    <mergeCell ref="AH11:AH13"/>
    <mergeCell ref="AA12:AA13"/>
    <mergeCell ref="AB12:AB13"/>
    <mergeCell ref="W12:W13"/>
    <mergeCell ref="X12:X13"/>
    <mergeCell ref="AU11:AU13"/>
    <mergeCell ref="AV11:AV13"/>
    <mergeCell ref="AW11:AW13"/>
    <mergeCell ref="B14:E14"/>
    <mergeCell ref="B15:E15"/>
    <mergeCell ref="B27:E27"/>
    <mergeCell ref="E12:E13"/>
    <mergeCell ref="D12:D13"/>
    <mergeCell ref="D21:E21"/>
    <mergeCell ref="D19:E19"/>
    <mergeCell ref="AS11:AS13"/>
    <mergeCell ref="AN11:AN13"/>
    <mergeCell ref="AO11:AO13"/>
    <mergeCell ref="AP11:AP13"/>
    <mergeCell ref="AQ11:AQ13"/>
    <mergeCell ref="BJ9:BL10"/>
    <mergeCell ref="BJ11:BJ13"/>
    <mergeCell ref="BK11:BK13"/>
    <mergeCell ref="BL11:BL13"/>
    <mergeCell ref="AT11:AT13"/>
    <mergeCell ref="AL11:AL13"/>
    <mergeCell ref="AM11:AM13"/>
    <mergeCell ref="AR11:AR13"/>
    <mergeCell ref="AF11:AG11"/>
    <mergeCell ref="AJ11:AK11"/>
    <mergeCell ref="AF12:AF13"/>
    <mergeCell ref="AG12:AG13"/>
    <mergeCell ref="AJ12:AJ13"/>
    <mergeCell ref="AK12:AK13"/>
  </mergeCells>
  <conditionalFormatting sqref="AS46 AP16:AQ16 AP46 AP17:AP24 AR39:AS45 AS16:AS18 AR19:AS19 AS20 AR21:AS22 AS23:AS24 AO39:AP45 AR25:AS25 AQ17:AQ25 AO25:AP25 AQ39:AQ46 AN39:AN46 U28:AM37 U16:AM25 J47:CB48 U40:AM46 M39:N46 J15:J46 G47:G48 G15 G26:G27 G38:G39 K27:L27 K15:L15 K39:L39 O27:P27 O39:P39 M27:N37 R39:R45 R15 R21 S15:T16 S17:S25 R25 Q15:Q25 Q27:S37 Q39:Q46 T46 S39:S46 O15:P15 T27:AM27 T39:AM39 U15:AS15 M15:N25 K26:CB26 K38:CB38 H15:I48 AN27:CB37 AT39:CB46 AT15:CB25">
    <cfRule type="cellIs" priority="1" dxfId="0" operator="greaterThan" stopIfTrue="1">
      <formula>0</formula>
    </cfRule>
  </conditionalFormatting>
  <conditionalFormatting sqref="AN16:AN25 K16:K25 K28:K37 K40:K46">
    <cfRule type="cellIs" priority="2" dxfId="10" operator="greaterThan" stopIfTrue="1">
      <formula>0</formula>
    </cfRule>
  </conditionalFormatting>
  <conditionalFormatting sqref="E26 D35 E16:E18 E41 E45 E20 E23">
    <cfRule type="cellIs" priority="3" dxfId="33" operator="equal" stopIfTrue="1">
      <formula>0</formula>
    </cfRule>
  </conditionalFormatting>
  <conditionalFormatting sqref="O28:P37 O16:P25 O40:P46">
    <cfRule type="cellIs" priority="4" dxfId="35" operator="greaterThan" stopIfTrue="1">
      <formula>0</formula>
    </cfRule>
  </conditionalFormatting>
  <dataValidations count="1">
    <dataValidation type="list" allowBlank="1" showInputMessage="1" showErrorMessage="1" sqref="AR25 AR39:AR45 AQ16:AQ25 AR21:AR22 AR19 AQ39:AQ46">
      <formula1>#REF!</formula1>
    </dataValidation>
  </dataValidations>
  <printOptions/>
  <pageMargins left="0.31496062992125984" right="0.15748031496062992" top="0.2362204724409449" bottom="0.31496062992125984" header="0.5118110236220472" footer="0.3937007874015748"/>
  <pageSetup fitToWidth="3" horizontalDpi="600" verticalDpi="600" orientation="landscape" paperSize="9" scale="64" r:id="rId3"/>
  <headerFooter alignWithMargins="0">
    <oddFooter>&amp;LОтдел СЭР села ЯНИИСХ</oddFooter>
  </headerFooter>
  <colBreaks count="2" manualBreakCount="2">
    <brk id="31" max="65535" man="1"/>
    <brk id="57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Z39"/>
  <sheetViews>
    <sheetView view="pageBreakPreview" zoomScale="90" zoomScaleSheetLayoutView="90" workbookViewId="0" topLeftCell="A1">
      <selection activeCell="A2" sqref="A2"/>
    </sheetView>
  </sheetViews>
  <sheetFormatPr defaultColWidth="9.00390625" defaultRowHeight="12.75"/>
  <cols>
    <col min="1" max="1" width="50.375" style="99" bestFit="1" customWidth="1"/>
    <col min="2" max="3" width="12.125" style="99" customWidth="1"/>
    <col min="4" max="4" width="10.875" style="99" bestFit="1" customWidth="1"/>
    <col min="5" max="5" width="9.25390625" style="99" bestFit="1" customWidth="1"/>
    <col min="6" max="16384" width="9.125" style="99" customWidth="1"/>
  </cols>
  <sheetData>
    <row r="1" spans="1:78" s="1" customFormat="1" ht="30.75" customHeight="1">
      <c r="A1" s="420" t="s">
        <v>653</v>
      </c>
      <c r="B1" s="420"/>
      <c r="C1" s="420"/>
      <c r="D1" s="420"/>
      <c r="F1" s="2"/>
      <c r="H1" s="100"/>
      <c r="S1" s="3"/>
      <c r="AT1" s="4"/>
      <c r="AU1" s="101"/>
      <c r="AV1" s="101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ht="12.75">
      <c r="A2" s="48"/>
      <c r="B2" s="48"/>
      <c r="C2" s="48"/>
      <c r="F2" s="2"/>
      <c r="H2" s="100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ht="12.75">
      <c r="A3" s="100"/>
      <c r="B3" s="100"/>
      <c r="C3" s="100"/>
      <c r="F3" s="2"/>
      <c r="H3" s="100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>
      <c r="A4" s="48" t="s">
        <v>84</v>
      </c>
      <c r="B4" s="48"/>
      <c r="C4" s="48"/>
      <c r="F4" s="2"/>
      <c r="H4" s="48"/>
      <c r="N4" s="48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>
      <c r="A5" s="48" t="s">
        <v>422</v>
      </c>
      <c r="B5" s="48"/>
      <c r="C5" s="48"/>
      <c r="F5" s="2"/>
      <c r="H5" s="48"/>
      <c r="N5" s="48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7" s="1" customFormat="1" ht="12.75" customHeight="1">
      <c r="A6" s="48" t="s">
        <v>414</v>
      </c>
      <c r="B6" s="3">
        <f>'О-РС'!D6</f>
        <v>1200</v>
      </c>
      <c r="F6" s="4"/>
      <c r="M6" s="48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7" s="1" customFormat="1" ht="12.75" customHeight="1">
      <c r="A7" s="1" t="s">
        <v>415</v>
      </c>
      <c r="B7" s="3">
        <f>'О-РС'!J6</f>
        <v>250</v>
      </c>
      <c r="D7" s="2"/>
      <c r="M7" s="48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7" s="1" customFormat="1" ht="12.75" customHeight="1">
      <c r="A8" s="47" t="s">
        <v>411</v>
      </c>
      <c r="B8" s="119">
        <f>B6*B7</f>
        <v>300000</v>
      </c>
      <c r="D8" s="2"/>
      <c r="M8" s="48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5" customFormat="1" ht="12.75" customHeight="1">
      <c r="A9" s="102"/>
      <c r="B9" s="102"/>
      <c r="C9" s="102"/>
      <c r="F9" s="104"/>
      <c r="G9" s="1"/>
      <c r="H9" s="103"/>
      <c r="M9" s="1"/>
      <c r="N9" s="1"/>
      <c r="P9" s="1"/>
      <c r="S9" s="106"/>
      <c r="AT9" s="107"/>
      <c r="AU9" s="107"/>
      <c r="AV9" s="107"/>
      <c r="AW9" s="107"/>
      <c r="AX9" s="107"/>
      <c r="AY9" s="107"/>
      <c r="AZ9" s="107"/>
      <c r="BA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8"/>
    </row>
    <row r="10" spans="1:4" s="91" customFormat="1" ht="33.75" customHeight="1">
      <c r="A10" s="109"/>
      <c r="B10" s="89" t="s">
        <v>25</v>
      </c>
      <c r="C10" s="90" t="s">
        <v>420</v>
      </c>
      <c r="D10" s="90" t="s">
        <v>382</v>
      </c>
    </row>
    <row r="11" spans="1:4" s="95" customFormat="1" ht="12.75">
      <c r="A11" s="92" t="s">
        <v>397</v>
      </c>
      <c r="B11" s="93">
        <f>'О-РС'!AL48+'О-РС'!AM48</f>
        <v>1167356.4352916724</v>
      </c>
      <c r="C11" s="94">
        <f aca="true" t="shared" si="0" ref="C11:C28">B11/$B$6</f>
        <v>972.797029409727</v>
      </c>
      <c r="D11" s="113">
        <f aca="true" t="shared" si="1" ref="D11:D27">B11/$B$28%</f>
        <v>42.468231227224905</v>
      </c>
    </row>
    <row r="12" spans="1:4" s="95" customFormat="1" ht="12.75">
      <c r="A12" s="96" t="s">
        <v>393</v>
      </c>
      <c r="B12" s="94">
        <f>'О-РС'!AW48</f>
        <v>26999.999999999996</v>
      </c>
      <c r="C12" s="94">
        <f t="shared" si="0"/>
        <v>22.499999999999996</v>
      </c>
      <c r="D12" s="113">
        <f t="shared" si="1"/>
        <v>0.9822554692548343</v>
      </c>
    </row>
    <row r="13" spans="1:4" s="95" customFormat="1" ht="12.75">
      <c r="A13" s="96" t="s">
        <v>394</v>
      </c>
      <c r="B13" s="94">
        <f>'О-РС'!BA48</f>
        <v>105208.224</v>
      </c>
      <c r="C13" s="94">
        <f t="shared" si="0"/>
        <v>87.67352</v>
      </c>
      <c r="D13" s="113">
        <f t="shared" si="1"/>
        <v>3.8274575346143607</v>
      </c>
    </row>
    <row r="14" spans="1:4" s="95" customFormat="1" ht="12.75">
      <c r="A14" s="96" t="s">
        <v>405</v>
      </c>
      <c r="B14" s="94">
        <f>'О-РС'!BE48</f>
        <v>356400</v>
      </c>
      <c r="C14" s="94">
        <f t="shared" si="0"/>
        <v>297</v>
      </c>
      <c r="D14" s="113">
        <f t="shared" si="1"/>
        <v>12.965772194163813</v>
      </c>
    </row>
    <row r="15" spans="1:4" s="95" customFormat="1" ht="12.75">
      <c r="A15" s="96" t="s">
        <v>395</v>
      </c>
      <c r="B15" s="94">
        <f>B16+B19+B22+B23</f>
        <v>776941.3024820102</v>
      </c>
      <c r="C15" s="94">
        <f t="shared" si="0"/>
        <v>647.4510854016752</v>
      </c>
      <c r="D15" s="113">
        <f t="shared" si="1"/>
        <v>28.264994209367746</v>
      </c>
    </row>
    <row r="16" spans="1:4" ht="12.75">
      <c r="A16" s="97" t="s">
        <v>376</v>
      </c>
      <c r="B16" s="98">
        <f>SUM(B17:B18)</f>
        <v>75157.60096442894</v>
      </c>
      <c r="C16" s="98">
        <f>B16/$B$6</f>
        <v>62.63133413702412</v>
      </c>
      <c r="D16" s="114">
        <f t="shared" si="1"/>
        <v>2.734220911236398</v>
      </c>
    </row>
    <row r="17" spans="1:4" ht="12.75">
      <c r="A17" s="110" t="s">
        <v>383</v>
      </c>
      <c r="B17" s="98">
        <f>'О-РС'!BN48</f>
        <v>8805.964342103165</v>
      </c>
      <c r="C17" s="98">
        <f t="shared" si="0"/>
        <v>7.338303618419304</v>
      </c>
      <c r="D17" s="114">
        <f t="shared" si="1"/>
        <v>0.32035950507755123</v>
      </c>
    </row>
    <row r="18" spans="1:4" ht="12.75">
      <c r="A18" s="110" t="s">
        <v>384</v>
      </c>
      <c r="B18" s="98">
        <f>'О-РС'!BP48</f>
        <v>66351.63662232578</v>
      </c>
      <c r="C18" s="98">
        <f t="shared" si="0"/>
        <v>55.293030518604816</v>
      </c>
      <c r="D18" s="114">
        <f t="shared" si="1"/>
        <v>2.413861406158847</v>
      </c>
    </row>
    <row r="19" spans="1:4" ht="12.75">
      <c r="A19" s="97" t="s">
        <v>377</v>
      </c>
      <c r="B19" s="98">
        <f>SUM(B20:B21)</f>
        <v>68772.3644935814</v>
      </c>
      <c r="C19" s="98">
        <f t="shared" si="0"/>
        <v>57.31030374465116</v>
      </c>
      <c r="D19" s="114">
        <f t="shared" si="1"/>
        <v>2.5019270799039743</v>
      </c>
    </row>
    <row r="20" spans="1:4" ht="12.75">
      <c r="A20" s="110" t="s">
        <v>383</v>
      </c>
      <c r="B20" s="98">
        <f>'О-РС'!BR48+'О-РС'!BT48+'О-РС'!BV48</f>
        <v>3315.1787981403436</v>
      </c>
      <c r="C20" s="98">
        <f t="shared" si="0"/>
        <v>2.7626489984502864</v>
      </c>
      <c r="D20" s="114">
        <f t="shared" si="1"/>
        <v>0.1206056483715193</v>
      </c>
    </row>
    <row r="21" spans="1:4" ht="12.75">
      <c r="A21" s="110" t="s">
        <v>384</v>
      </c>
      <c r="B21" s="98">
        <f>'О-РС'!BW48</f>
        <v>65457.185695441054</v>
      </c>
      <c r="C21" s="98">
        <f t="shared" si="0"/>
        <v>54.54765474620088</v>
      </c>
      <c r="D21" s="114">
        <f t="shared" si="1"/>
        <v>2.381321431532455</v>
      </c>
    </row>
    <row r="22" spans="1:4" ht="12.75">
      <c r="A22" s="97" t="s">
        <v>368</v>
      </c>
      <c r="B22" s="116">
        <f>'О-РС'!AS48</f>
        <v>622097.0173439999</v>
      </c>
      <c r="C22" s="98">
        <f t="shared" si="0"/>
        <v>518.41418112</v>
      </c>
      <c r="D22" s="114">
        <f t="shared" si="1"/>
        <v>22.631785099750502</v>
      </c>
    </row>
    <row r="23" spans="1:4" ht="12" customHeight="1">
      <c r="A23" s="97" t="s">
        <v>396</v>
      </c>
      <c r="B23" s="116">
        <f>'О-РС'!BI48</f>
        <v>10914.31968</v>
      </c>
      <c r="C23" s="98">
        <f t="shared" si="0"/>
        <v>9.0952664</v>
      </c>
      <c r="D23" s="114">
        <f t="shared" si="1"/>
        <v>0.3970611184768768</v>
      </c>
    </row>
    <row r="24" spans="1:4" s="95" customFormat="1" ht="12.75">
      <c r="A24" s="96" t="s">
        <v>385</v>
      </c>
      <c r="B24" s="94">
        <f>SUM(B25:B25)</f>
        <v>78000</v>
      </c>
      <c r="C24" s="94">
        <f t="shared" si="0"/>
        <v>65</v>
      </c>
      <c r="D24" s="113">
        <f t="shared" si="1"/>
        <v>2.8376269111806325</v>
      </c>
    </row>
    <row r="25" spans="1:4" ht="12.75">
      <c r="A25" s="110" t="s">
        <v>425</v>
      </c>
      <c r="B25" s="98">
        <f>'О-РС'!BL48</f>
        <v>78000</v>
      </c>
      <c r="C25" s="98">
        <f t="shared" si="0"/>
        <v>65</v>
      </c>
      <c r="D25" s="114">
        <f t="shared" si="1"/>
        <v>2.8376269111806325</v>
      </c>
    </row>
    <row r="26" spans="1:4" s="95" customFormat="1" ht="12.75">
      <c r="A26" s="96" t="s">
        <v>386</v>
      </c>
      <c r="B26" s="94">
        <f>B11+B12+B13+B15+B24+B14</f>
        <v>2510905.9617736824</v>
      </c>
      <c r="C26" s="94">
        <f t="shared" si="0"/>
        <v>2092.421634811402</v>
      </c>
      <c r="D26" s="113">
        <f t="shared" si="1"/>
        <v>91.34633754580628</v>
      </c>
    </row>
    <row r="27" spans="1:6" s="95" customFormat="1" ht="12.75">
      <c r="A27" s="96" t="s">
        <v>387</v>
      </c>
      <c r="B27" s="94">
        <f>(B26-B12-B13)*10%</f>
        <v>237869.77377736825</v>
      </c>
      <c r="C27" s="94">
        <f t="shared" si="0"/>
        <v>198.2248114811402</v>
      </c>
      <c r="D27" s="113">
        <f t="shared" si="1"/>
        <v>8.653662454193709</v>
      </c>
      <c r="E27" s="94">
        <f>B27/(B26-B12-B13)*100</f>
        <v>10</v>
      </c>
      <c r="F27" s="95">
        <v>483892.42704914074</v>
      </c>
    </row>
    <row r="28" spans="1:4" s="95" customFormat="1" ht="12.75">
      <c r="A28" s="96" t="s">
        <v>388</v>
      </c>
      <c r="B28" s="94">
        <f>B26+B27</f>
        <v>2748775.735551051</v>
      </c>
      <c r="C28" s="94">
        <f t="shared" si="0"/>
        <v>2290.6464462925424</v>
      </c>
      <c r="D28" s="113">
        <f>D26+D27</f>
        <v>99.99999999999999</v>
      </c>
    </row>
    <row r="29" spans="1:4" ht="12.75">
      <c r="A29" s="97" t="s">
        <v>418</v>
      </c>
      <c r="B29" s="98">
        <f>B28/B6</f>
        <v>2290.6464462925424</v>
      </c>
      <c r="C29" s="98"/>
      <c r="D29" s="98"/>
    </row>
    <row r="30" spans="1:4" ht="12.75">
      <c r="A30" s="97" t="s">
        <v>419</v>
      </c>
      <c r="B30" s="191">
        <f>B28/(B8/1000)</f>
        <v>9162.58578517017</v>
      </c>
      <c r="C30" s="98"/>
      <c r="D30" s="98"/>
    </row>
    <row r="31" spans="1:4" ht="12.75">
      <c r="A31" s="97" t="s">
        <v>391</v>
      </c>
      <c r="B31" s="98">
        <f>'О-РС'!O48+'О-РС'!P48</f>
        <v>2538.282174697229</v>
      </c>
      <c r="C31" s="98"/>
      <c r="D31" s="98"/>
    </row>
    <row r="32" spans="1:4" ht="12.75">
      <c r="A32" s="110" t="s">
        <v>420</v>
      </c>
      <c r="B32" s="98">
        <f>B31/B6</f>
        <v>2.1152351455810243</v>
      </c>
      <c r="C32" s="98"/>
      <c r="D32" s="98"/>
    </row>
    <row r="33" spans="1:4" ht="12.75">
      <c r="A33" s="110" t="s">
        <v>421</v>
      </c>
      <c r="B33" s="98">
        <f>B31/(B8/1000)</f>
        <v>8.460940582324097</v>
      </c>
      <c r="C33" s="98"/>
      <c r="D33" s="98"/>
    </row>
    <row r="34" spans="1:4" ht="12.75">
      <c r="A34" s="97" t="s">
        <v>399</v>
      </c>
      <c r="B34" s="98">
        <f>('О-РС'!AH48+'О-РС'!AI48)/B31</f>
        <v>351.87466141185877</v>
      </c>
      <c r="C34" s="98"/>
      <c r="D34" s="98"/>
    </row>
    <row r="35" spans="1:4" ht="12.75">
      <c r="A35" s="111" t="s">
        <v>380</v>
      </c>
      <c r="B35" s="98">
        <f>'О-РС'!AH48/'О-РС'!O48</f>
        <v>439.6968869017451</v>
      </c>
      <c r="C35" s="98"/>
      <c r="D35" s="98"/>
    </row>
    <row r="36" spans="1:4" ht="12.75">
      <c r="A36" s="112" t="s">
        <v>381</v>
      </c>
      <c r="B36" s="98">
        <f>'О-РС'!AI48/'О-РС'!P48</f>
        <v>350.44989507588446</v>
      </c>
      <c r="C36" s="98"/>
      <c r="D36" s="98"/>
    </row>
    <row r="37" spans="1:4" ht="12.75">
      <c r="A37" s="97" t="s">
        <v>392</v>
      </c>
      <c r="B37" s="98">
        <f>B34*'Исх.данные'!B6</f>
        <v>57854.058913799774</v>
      </c>
      <c r="C37" s="98"/>
      <c r="D37" s="98"/>
    </row>
    <row r="38" spans="1:4" ht="12.75">
      <c r="A38" s="111" t="s">
        <v>380</v>
      </c>
      <c r="B38" s="116">
        <f>B35*'Исх.данные'!B6</f>
        <v>72293.49648809525</v>
      </c>
      <c r="C38" s="97"/>
      <c r="D38" s="97"/>
    </row>
    <row r="39" spans="1:4" ht="12.75" customHeight="1">
      <c r="A39" s="112" t="s">
        <v>381</v>
      </c>
      <c r="B39" s="116">
        <f>B36*'Исх.данные'!B6</f>
        <v>57619.80358206</v>
      </c>
      <c r="C39" s="97"/>
      <c r="D39" s="9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&amp;LОтдел СЭР села ЯНИИСХ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econ03</dc:creator>
  <cp:keywords/>
  <dc:description/>
  <cp:lastModifiedBy>Любовь</cp:lastModifiedBy>
  <cp:lastPrinted>2022-01-11T02:33:32Z</cp:lastPrinted>
  <dcterms:created xsi:type="dcterms:W3CDTF">2010-11-22T02:43:08Z</dcterms:created>
  <dcterms:modified xsi:type="dcterms:W3CDTF">2022-12-05T01:55:43Z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