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420" yWindow="150" windowWidth="9540" windowHeight="12255" tabRatio="881" activeTab="6"/>
  </bookViews>
  <sheets>
    <sheet name="Содержание" sheetId="89" r:id="rId1"/>
    <sheet name="Нормы" sheetId="90" r:id="rId2"/>
    <sheet name="Исходные данные" sheetId="27" r:id="rId3"/>
    <sheet name="аморт" sheetId="35" r:id="rId4"/>
    <sheet name="Лист2" sheetId="100" state="hidden" r:id="rId5"/>
    <sheet name="зерно" sheetId="104" r:id="rId6"/>
    <sheet name="зерно себ" sheetId="105" r:id="rId7"/>
    <sheet name="сенаж бп омич" sheetId="87" state="hidden" r:id="rId8"/>
    <sheet name="сенаж бп-себ омич" sheetId="88" state="hidden" r:id="rId9"/>
    <sheet name="силос сп рапс" sheetId="31" state="hidden" r:id="rId10"/>
    <sheet name="силос сп-себ рапс" sheetId="56" state="hidden" r:id="rId11"/>
    <sheet name="силос сп кукур" sheetId="83" state="hidden" r:id="rId12"/>
    <sheet name="силос сп-себ кукур" sheetId="84" state="hidden" r:id="rId13"/>
    <sheet name="сеноАЗ СВЗ" sheetId="32" state="hidden" r:id="rId14"/>
    <sheet name="сеноЮЗ" sheetId="68" state="hidden" r:id="rId15"/>
    <sheet name="Урожайность" sheetId="81" state="hidden" r:id="rId16"/>
    <sheet name="Лист1" sheetId="108" state="hidden" r:id="rId17"/>
  </sheets>
  <definedNames>
    <definedName name="_xlnm.Print_Titles" localSheetId="3">аморт!$4:$6</definedName>
    <definedName name="_xlnm.Print_Titles" localSheetId="5">зерно!$A:$E</definedName>
    <definedName name="_xlnm.Print_Titles" localSheetId="7">'сенаж бп омич'!$A:$A</definedName>
    <definedName name="_xlnm.Print_Titles" localSheetId="13">'сеноАЗ СВЗ'!$B:$E</definedName>
    <definedName name="_xlnm.Print_Titles" localSheetId="14">сеноЮЗ!$B:$E</definedName>
    <definedName name="_xlnm.Print_Titles" localSheetId="11">'силос сп кукур'!$A:$A</definedName>
    <definedName name="_xlnm.Print_Titles" localSheetId="9">'силос сп рапс'!$A:$A</definedName>
    <definedName name="_xlnm.Print_Area" localSheetId="3">аморт!$A$1:$G$98</definedName>
    <definedName name="_xlnm.Print_Area" localSheetId="5">зерно!$A$1:$BY$41</definedName>
    <definedName name="_xlnm.Print_Area" localSheetId="6">'зерно себ'!$A$1:$D$45</definedName>
    <definedName name="_xlnm.Print_Area" localSheetId="2">'Исходные данные'!$A$1:$J$138</definedName>
  </definedNames>
  <calcPr calcId="144525"/>
</workbook>
</file>

<file path=xl/calcChain.xml><?xml version="1.0" encoding="utf-8"?>
<calcChain xmlns="http://schemas.openxmlformats.org/spreadsheetml/2006/main">
  <c r="B40" i="105" l="1"/>
  <c r="B39" i="105"/>
  <c r="B36" i="105"/>
  <c r="E12" i="104"/>
  <c r="B35" i="105"/>
  <c r="Y19" i="104" l="1"/>
  <c r="B28" i="105" l="1"/>
  <c r="G30" i="104" l="1"/>
  <c r="E10" i="104" l="1"/>
  <c r="E11" i="104"/>
  <c r="E13" i="104" s="1"/>
  <c r="B12" i="105" s="1"/>
  <c r="B9" i="105"/>
  <c r="BX29" i="104" l="1"/>
  <c r="I22" i="108"/>
  <c r="H22" i="108"/>
  <c r="G22" i="108"/>
  <c r="F22" i="108"/>
  <c r="E22" i="108"/>
  <c r="D22" i="108"/>
  <c r="C22" i="108"/>
  <c r="B22" i="108"/>
  <c r="D13" i="108"/>
  <c r="C13" i="108"/>
  <c r="B9" i="108"/>
  <c r="B8" i="108"/>
  <c r="D65" i="27"/>
  <c r="C65" i="27"/>
  <c r="BX36" i="104"/>
  <c r="BX30" i="104"/>
  <c r="BX26" i="104"/>
  <c r="BX23" i="104"/>
  <c r="BX21" i="104"/>
  <c r="M84" i="27"/>
  <c r="N84" i="27"/>
  <c r="O84" i="27"/>
  <c r="P84" i="27"/>
  <c r="Q84" i="27"/>
  <c r="R84" i="27"/>
  <c r="S84" i="27"/>
  <c r="V86" i="27"/>
  <c r="W86" i="27"/>
  <c r="X86" i="27"/>
  <c r="Y86" i="27"/>
  <c r="AH86" i="27" s="1"/>
  <c r="Z86" i="27"/>
  <c r="AA86" i="27"/>
  <c r="AJ86" i="27" s="1"/>
  <c r="AB86" i="27"/>
  <c r="AF86" i="27"/>
  <c r="V87" i="27"/>
  <c r="AE87" i="27" s="1"/>
  <c r="AN87" i="27" s="1"/>
  <c r="B87" i="27" s="1"/>
  <c r="W87" i="27"/>
  <c r="X87" i="27"/>
  <c r="AG87" i="27" s="1"/>
  <c r="AP87" i="27" s="1"/>
  <c r="D87" i="27" s="1"/>
  <c r="Y87" i="27"/>
  <c r="Z87" i="27"/>
  <c r="AI87" i="27" s="1"/>
  <c r="AR87" i="27" s="1"/>
  <c r="F87" i="27" s="1"/>
  <c r="AA87" i="27"/>
  <c r="AB87" i="27"/>
  <c r="AK87" i="27" s="1"/>
  <c r="AT87" i="27" s="1"/>
  <c r="H87" i="27" s="1"/>
  <c r="V88" i="27"/>
  <c r="AE88" i="27" s="1"/>
  <c r="AN88" i="27" s="1"/>
  <c r="B88" i="27" s="1"/>
  <c r="W88" i="27"/>
  <c r="X88" i="27"/>
  <c r="AG88" i="27" s="1"/>
  <c r="AP88" i="27" s="1"/>
  <c r="D88" i="27" s="1"/>
  <c r="Y88" i="27"/>
  <c r="AH88" i="27" s="1"/>
  <c r="AQ88" i="27" s="1"/>
  <c r="E88" i="27" s="1"/>
  <c r="Z88" i="27"/>
  <c r="AI88" i="27" s="1"/>
  <c r="AR88" i="27" s="1"/>
  <c r="F88" i="27" s="1"/>
  <c r="AA88" i="27"/>
  <c r="AJ88" i="27" s="1"/>
  <c r="AS88" i="27" s="1"/>
  <c r="G88" i="27" s="1"/>
  <c r="AB88" i="27"/>
  <c r="AK88" i="27" s="1"/>
  <c r="AT88" i="27" s="1"/>
  <c r="H88" i="27" s="1"/>
  <c r="AF88" i="27"/>
  <c r="AO88" i="27" s="1"/>
  <c r="C88" i="27" s="1"/>
  <c r="M89" i="27"/>
  <c r="M95" i="27" s="1"/>
  <c r="N89" i="27"/>
  <c r="O89" i="27"/>
  <c r="P89" i="27"/>
  <c r="Q89" i="27"/>
  <c r="R89" i="27"/>
  <c r="S89" i="27"/>
  <c r="V91" i="27"/>
  <c r="AE91" i="27" s="1"/>
  <c r="W91" i="27"/>
  <c r="X91" i="27"/>
  <c r="AG91" i="27" s="1"/>
  <c r="Y91" i="27"/>
  <c r="Z91" i="27"/>
  <c r="AI91" i="27" s="1"/>
  <c r="AA91" i="27"/>
  <c r="AB91" i="27"/>
  <c r="AK91" i="27" s="1"/>
  <c r="V92" i="27"/>
  <c r="W92" i="27"/>
  <c r="X92" i="27"/>
  <c r="Y92" i="27"/>
  <c r="AH92" i="27" s="1"/>
  <c r="AQ92" i="27" s="1"/>
  <c r="E92" i="27" s="1"/>
  <c r="Z92" i="27"/>
  <c r="AA92" i="27"/>
  <c r="AJ92" i="27" s="1"/>
  <c r="AS92" i="27" s="1"/>
  <c r="G92" i="27" s="1"/>
  <c r="AB92" i="27"/>
  <c r="AF92" i="27"/>
  <c r="AO92" i="27" s="1"/>
  <c r="C92" i="27" s="1"/>
  <c r="V93" i="27"/>
  <c r="AE93" i="27" s="1"/>
  <c r="AN93" i="27" s="1"/>
  <c r="B93" i="27" s="1"/>
  <c r="W93" i="27"/>
  <c r="AF93" i="27" s="1"/>
  <c r="X93" i="27"/>
  <c r="AG93" i="27" s="1"/>
  <c r="AP93" i="27" s="1"/>
  <c r="D93" i="27" s="1"/>
  <c r="Y93" i="27"/>
  <c r="AH93" i="27" s="1"/>
  <c r="AQ93" i="27" s="1"/>
  <c r="E93" i="27" s="1"/>
  <c r="Z93" i="27"/>
  <c r="AI93" i="27" s="1"/>
  <c r="AR93" i="27" s="1"/>
  <c r="F93" i="27" s="1"/>
  <c r="AA93" i="27"/>
  <c r="AJ93" i="27" s="1"/>
  <c r="AS93" i="27" s="1"/>
  <c r="G93" i="27" s="1"/>
  <c r="AB93" i="27"/>
  <c r="AK93" i="27" s="1"/>
  <c r="AT93" i="27" s="1"/>
  <c r="H93" i="27" s="1"/>
  <c r="AO93" i="27"/>
  <c r="C93" i="27" s="1"/>
  <c r="V94" i="27"/>
  <c r="AE94" i="27" s="1"/>
  <c r="W94" i="27"/>
  <c r="AF94" i="27" s="1"/>
  <c r="AO94" i="27" s="1"/>
  <c r="C94" i="27" s="1"/>
  <c r="X94" i="27"/>
  <c r="AG94" i="27" s="1"/>
  <c r="AP94" i="27" s="1"/>
  <c r="D94" i="27" s="1"/>
  <c r="Y94" i="27"/>
  <c r="AH94" i="27" s="1"/>
  <c r="AQ94" i="27" s="1"/>
  <c r="E94" i="27" s="1"/>
  <c r="BR30" i="104" s="1"/>
  <c r="Z94" i="27"/>
  <c r="AI94" i="27" s="1"/>
  <c r="AR94" i="27" s="1"/>
  <c r="F94" i="27" s="1"/>
  <c r="AA94" i="27"/>
  <c r="AB94" i="27"/>
  <c r="AK94" i="27" s="1"/>
  <c r="AT94" i="27" s="1"/>
  <c r="H94" i="27" s="1"/>
  <c r="AJ94" i="27"/>
  <c r="AS94" i="27" s="1"/>
  <c r="G94" i="27" s="1"/>
  <c r="AN94" i="27"/>
  <c r="B94" i="27" s="1"/>
  <c r="BR36" i="104" s="1"/>
  <c r="N95" i="27"/>
  <c r="O95" i="27"/>
  <c r="P95" i="27"/>
  <c r="Q95" i="27"/>
  <c r="R95" i="27"/>
  <c r="S95" i="27"/>
  <c r="B74" i="27"/>
  <c r="C74" i="27"/>
  <c r="D74" i="27"/>
  <c r="E74" i="27"/>
  <c r="F74" i="27"/>
  <c r="G74" i="27"/>
  <c r="H74" i="27"/>
  <c r="I74" i="27"/>
  <c r="B60" i="27"/>
  <c r="C75" i="27" s="1"/>
  <c r="B61" i="27"/>
  <c r="C76" i="27" s="1"/>
  <c r="B23" i="108" l="1"/>
  <c r="B25" i="108" s="1"/>
  <c r="D23" i="108"/>
  <c r="D25" i="108" s="1"/>
  <c r="F23" i="108"/>
  <c r="F25" i="108" s="1"/>
  <c r="H23" i="108"/>
  <c r="H25" i="108" s="1"/>
  <c r="B24" i="108"/>
  <c r="D24" i="108"/>
  <c r="F24" i="108"/>
  <c r="H24" i="108"/>
  <c r="BR29" i="104"/>
  <c r="C23" i="108"/>
  <c r="C25" i="108" s="1"/>
  <c r="E23" i="108"/>
  <c r="E25" i="108" s="1"/>
  <c r="G23" i="108"/>
  <c r="G25" i="108" s="1"/>
  <c r="I23" i="108"/>
  <c r="I25" i="108" s="1"/>
  <c r="C24" i="108"/>
  <c r="E24" i="108"/>
  <c r="G24" i="108"/>
  <c r="I24" i="108"/>
  <c r="BR23" i="104"/>
  <c r="BR21" i="104"/>
  <c r="BR26" i="104"/>
  <c r="B76" i="27"/>
  <c r="F76" i="27"/>
  <c r="AB84" i="27"/>
  <c r="Z84" i="27"/>
  <c r="X84" i="27"/>
  <c r="V84" i="27"/>
  <c r="AA84" i="27"/>
  <c r="Y84" i="27"/>
  <c r="W84" i="27"/>
  <c r="AN91" i="27"/>
  <c r="AA89" i="27"/>
  <c r="AA95" i="27" s="1"/>
  <c r="AJ91" i="27"/>
  <c r="W89" i="27"/>
  <c r="AB89" i="27"/>
  <c r="AK92" i="27"/>
  <c r="AT92" i="27" s="1"/>
  <c r="H92" i="27" s="1"/>
  <c r="Z89" i="27"/>
  <c r="Z95" i="27" s="1"/>
  <c r="AI92" i="27"/>
  <c r="AR92" i="27" s="1"/>
  <c r="F92" i="27" s="1"/>
  <c r="X89" i="27"/>
  <c r="AG92" i="27"/>
  <c r="AP92" i="27" s="1"/>
  <c r="D92" i="27" s="1"/>
  <c r="V89" i="27"/>
  <c r="V95" i="27" s="1"/>
  <c r="AE92" i="27"/>
  <c r="AN92" i="27" s="1"/>
  <c r="B92" i="27" s="1"/>
  <c r="AT91" i="27"/>
  <c r="AP91" i="27"/>
  <c r="AP89" i="27" s="1"/>
  <c r="AR91" i="27"/>
  <c r="Y89" i="27"/>
  <c r="AH91" i="27"/>
  <c r="AF91" i="27"/>
  <c r="AJ87" i="27"/>
  <c r="AS87" i="27" s="1"/>
  <c r="G87" i="27" s="1"/>
  <c r="AH87" i="27"/>
  <c r="AQ87" i="27" s="1"/>
  <c r="AF87" i="27"/>
  <c r="AO87" i="27" s="1"/>
  <c r="C87" i="27" s="1"/>
  <c r="AS86" i="27"/>
  <c r="AQ86" i="27"/>
  <c r="AO86" i="27"/>
  <c r="AK86" i="27"/>
  <c r="AI86" i="27"/>
  <c r="AG86" i="27"/>
  <c r="AE86" i="27"/>
  <c r="H76" i="27"/>
  <c r="D76" i="27"/>
  <c r="C77" i="27"/>
  <c r="C80" i="27" s="1"/>
  <c r="E87" i="27"/>
  <c r="C79" i="27"/>
  <c r="H75" i="27"/>
  <c r="F75" i="27"/>
  <c r="F77" i="27" s="1"/>
  <c r="D75" i="27"/>
  <c r="B75" i="27"/>
  <c r="I76" i="27"/>
  <c r="G76" i="27"/>
  <c r="E76" i="27"/>
  <c r="I75" i="27"/>
  <c r="G75" i="27"/>
  <c r="E75" i="27"/>
  <c r="G27" i="108" l="1"/>
  <c r="G28" i="108"/>
  <c r="C27" i="108"/>
  <c r="C28" i="108"/>
  <c r="H27" i="108"/>
  <c r="H28" i="108"/>
  <c r="D27" i="108"/>
  <c r="D28" i="108"/>
  <c r="I27" i="108"/>
  <c r="I28" i="108"/>
  <c r="E27" i="108"/>
  <c r="E28" i="108"/>
  <c r="F27" i="108"/>
  <c r="F28" i="108"/>
  <c r="B27" i="108"/>
  <c r="B28" i="108"/>
  <c r="Y95" i="27"/>
  <c r="W95" i="27"/>
  <c r="B77" i="27"/>
  <c r="B79" i="27" s="1"/>
  <c r="AQ84" i="27"/>
  <c r="AI89" i="27"/>
  <c r="AT89" i="27"/>
  <c r="X95" i="27"/>
  <c r="AB95" i="27"/>
  <c r="H77" i="27"/>
  <c r="H80" i="27" s="1"/>
  <c r="AG84" i="27"/>
  <c r="AP86" i="27"/>
  <c r="AP84" i="27" s="1"/>
  <c r="AP95" i="27" s="1"/>
  <c r="AK84" i="27"/>
  <c r="AT86" i="27"/>
  <c r="AT84" i="27" s="1"/>
  <c r="AF84" i="27"/>
  <c r="AE89" i="27"/>
  <c r="AE84" i="27"/>
  <c r="AN86" i="27"/>
  <c r="AI84" i="27"/>
  <c r="AR86" i="27"/>
  <c r="AR84" i="27" s="1"/>
  <c r="AO84" i="27"/>
  <c r="AS84" i="27"/>
  <c r="AF89" i="27"/>
  <c r="AO91" i="27"/>
  <c r="AO89" i="27" s="1"/>
  <c r="AJ84" i="27"/>
  <c r="AH89" i="27"/>
  <c r="AQ91" i="27"/>
  <c r="AQ89" i="27" s="1"/>
  <c r="AQ95" i="27" s="1"/>
  <c r="AR89" i="27"/>
  <c r="AH84" i="27"/>
  <c r="AG89" i="27"/>
  <c r="AK89" i="27"/>
  <c r="AJ89" i="27"/>
  <c r="AS91" i="27"/>
  <c r="AS89" i="27" s="1"/>
  <c r="AN89" i="27"/>
  <c r="G77" i="27"/>
  <c r="G79" i="27" s="1"/>
  <c r="D77" i="27"/>
  <c r="D80" i="27" s="1"/>
  <c r="C86" i="27"/>
  <c r="C84" i="27" s="1"/>
  <c r="G86" i="27"/>
  <c r="G84" i="27" s="1"/>
  <c r="E86" i="27"/>
  <c r="E84" i="27" s="1"/>
  <c r="D91" i="27"/>
  <c r="D89" i="27" s="1"/>
  <c r="H91" i="27"/>
  <c r="H89" i="27" s="1"/>
  <c r="B91" i="27"/>
  <c r="B89" i="27" s="1"/>
  <c r="BP29" i="104" s="1"/>
  <c r="F91" i="27"/>
  <c r="F89" i="27" s="1"/>
  <c r="D79" i="27"/>
  <c r="E77" i="27"/>
  <c r="I77" i="27"/>
  <c r="F79" i="27"/>
  <c r="F80" i="27"/>
  <c r="AN84" i="27" l="1"/>
  <c r="B86" i="27"/>
  <c r="B80" i="27"/>
  <c r="BP36" i="104"/>
  <c r="BP26" i="104"/>
  <c r="BP21" i="104"/>
  <c r="BN23" i="104"/>
  <c r="BN30" i="104"/>
  <c r="H79" i="27"/>
  <c r="AH95" i="27"/>
  <c r="AI95" i="27"/>
  <c r="AJ95" i="27"/>
  <c r="AO95" i="27"/>
  <c r="AE95" i="27"/>
  <c r="G80" i="27"/>
  <c r="AT95" i="27"/>
  <c r="AF95" i="27"/>
  <c r="AS95" i="27"/>
  <c r="AR95" i="27"/>
  <c r="AN95" i="27"/>
  <c r="AK95" i="27"/>
  <c r="AG95" i="27"/>
  <c r="G91" i="27"/>
  <c r="G89" i="27" s="1"/>
  <c r="G95" i="27" s="1"/>
  <c r="E91" i="27"/>
  <c r="E89" i="27" s="1"/>
  <c r="C91" i="27"/>
  <c r="C89" i="27" s="1"/>
  <c r="C95" i="27" s="1"/>
  <c r="H86" i="27"/>
  <c r="H84" i="27" s="1"/>
  <c r="H95" i="27" s="1"/>
  <c r="D86" i="27"/>
  <c r="D84" i="27" s="1"/>
  <c r="D95" i="27" s="1"/>
  <c r="F86" i="27"/>
  <c r="F84" i="27" s="1"/>
  <c r="F95" i="27" s="1"/>
  <c r="B84" i="27"/>
  <c r="BN29" i="104" s="1"/>
  <c r="I79" i="27"/>
  <c r="I80" i="27"/>
  <c r="E79" i="27"/>
  <c r="E80" i="27"/>
  <c r="AR26" i="104" l="1"/>
  <c r="AR21" i="104"/>
  <c r="AR36" i="104"/>
  <c r="AR29" i="104"/>
  <c r="AR30" i="104"/>
  <c r="AR23" i="104"/>
  <c r="E95" i="27"/>
  <c r="BP30" i="104"/>
  <c r="BP23" i="104"/>
  <c r="B95" i="27"/>
  <c r="BN36" i="104"/>
  <c r="BN26" i="104"/>
  <c r="BN21" i="104"/>
  <c r="E9" i="104" l="1"/>
  <c r="G36" i="104" l="1"/>
  <c r="L21" i="104"/>
  <c r="J21" i="104" l="1"/>
  <c r="M21" i="104" l="1"/>
  <c r="N39" i="104" l="1"/>
  <c r="M29" i="104"/>
  <c r="L39" i="104"/>
  <c r="L36" i="104"/>
  <c r="L29" i="104"/>
  <c r="L26" i="104"/>
  <c r="M36" i="104" l="1"/>
  <c r="N26" i="104"/>
  <c r="M26" i="104"/>
  <c r="C91" i="35"/>
  <c r="C88" i="35"/>
  <c r="C73" i="35"/>
  <c r="C34" i="35"/>
  <c r="C26" i="35"/>
  <c r="C22" i="35"/>
  <c r="C15" i="35"/>
  <c r="F91" i="35"/>
  <c r="F74" i="35"/>
  <c r="F26" i="35"/>
  <c r="E8" i="35"/>
  <c r="G8" i="35" s="1"/>
  <c r="E9" i="35"/>
  <c r="G9" i="35" s="1"/>
  <c r="E10" i="35"/>
  <c r="G10" i="35" s="1"/>
  <c r="E11" i="35"/>
  <c r="G11" i="35" s="1"/>
  <c r="E12" i="35"/>
  <c r="G12" i="35" s="1"/>
  <c r="E13" i="35"/>
  <c r="G13" i="35" s="1"/>
  <c r="E14" i="35"/>
  <c r="G14" i="35" s="1"/>
  <c r="E15" i="35"/>
  <c r="G15" i="35" s="1"/>
  <c r="E16" i="35"/>
  <c r="G16" i="35" s="1"/>
  <c r="E17" i="35"/>
  <c r="G17" i="35" s="1"/>
  <c r="E18" i="35"/>
  <c r="G18" i="35" s="1"/>
  <c r="E19" i="35"/>
  <c r="G19" i="35" s="1"/>
  <c r="E20" i="35"/>
  <c r="G20" i="35" s="1"/>
  <c r="E21" i="35"/>
  <c r="G21" i="35" s="1"/>
  <c r="E22" i="35"/>
  <c r="G22" i="35" s="1"/>
  <c r="E23" i="35"/>
  <c r="G23" i="35" s="1"/>
  <c r="E24" i="35"/>
  <c r="G24" i="35" s="1"/>
  <c r="E25" i="35"/>
  <c r="G25" i="35" s="1"/>
  <c r="E26" i="35"/>
  <c r="G26" i="35" s="1"/>
  <c r="E27" i="35"/>
  <c r="G27" i="35" s="1"/>
  <c r="E28" i="35"/>
  <c r="G28" i="35" s="1"/>
  <c r="E29" i="35"/>
  <c r="G29" i="35" s="1"/>
  <c r="E30" i="35"/>
  <c r="G30" i="35" s="1"/>
  <c r="E31" i="35"/>
  <c r="G31" i="35" s="1"/>
  <c r="E32" i="35"/>
  <c r="G32" i="35" s="1"/>
  <c r="E33" i="35"/>
  <c r="G33" i="35" s="1"/>
  <c r="E34" i="35"/>
  <c r="G34" i="35" s="1"/>
  <c r="E35" i="35"/>
  <c r="G35" i="35" s="1"/>
  <c r="E36" i="35"/>
  <c r="G36" i="35" s="1"/>
  <c r="E37" i="35"/>
  <c r="G37" i="35" s="1"/>
  <c r="E38" i="35"/>
  <c r="G38" i="35" s="1"/>
  <c r="E39" i="35"/>
  <c r="G39" i="35" s="1"/>
  <c r="E40" i="35"/>
  <c r="G40" i="35" s="1"/>
  <c r="E41" i="35"/>
  <c r="G41" i="35" s="1"/>
  <c r="E42" i="35"/>
  <c r="G42" i="35" s="1"/>
  <c r="E43" i="35"/>
  <c r="G43" i="35" s="1"/>
  <c r="E44" i="35"/>
  <c r="G44" i="35" s="1"/>
  <c r="E45" i="35"/>
  <c r="G45" i="35" s="1"/>
  <c r="E46" i="35"/>
  <c r="G46" i="35" s="1"/>
  <c r="E47" i="35"/>
  <c r="G47" i="35" s="1"/>
  <c r="E48" i="35"/>
  <c r="G48" i="35" s="1"/>
  <c r="E49" i="35"/>
  <c r="G49" i="35" s="1"/>
  <c r="E50" i="35"/>
  <c r="G50" i="35" s="1"/>
  <c r="E51" i="35"/>
  <c r="G51" i="35" s="1"/>
  <c r="E52" i="35"/>
  <c r="G52" i="35" s="1"/>
  <c r="E53" i="35"/>
  <c r="G53" i="35" s="1"/>
  <c r="E54" i="35"/>
  <c r="G54" i="35" s="1"/>
  <c r="E55" i="35"/>
  <c r="G55" i="35" s="1"/>
  <c r="E56" i="35"/>
  <c r="G56" i="35" s="1"/>
  <c r="E57" i="35"/>
  <c r="G57" i="35" s="1"/>
  <c r="E58" i="35"/>
  <c r="G58" i="35" s="1"/>
  <c r="E59" i="35"/>
  <c r="G59" i="35" s="1"/>
  <c r="E60" i="35"/>
  <c r="G60" i="35" s="1"/>
  <c r="E61" i="35"/>
  <c r="G61" i="35" s="1"/>
  <c r="E62" i="35"/>
  <c r="G62" i="35" s="1"/>
  <c r="E63" i="35"/>
  <c r="G63" i="35" s="1"/>
  <c r="E64" i="35"/>
  <c r="G64" i="35" s="1"/>
  <c r="E65" i="35"/>
  <c r="G65" i="35" s="1"/>
  <c r="E66" i="35"/>
  <c r="G66" i="35" s="1"/>
  <c r="E67" i="35"/>
  <c r="G67" i="35" s="1"/>
  <c r="E68" i="35"/>
  <c r="G68" i="35" s="1"/>
  <c r="E69" i="35"/>
  <c r="G69" i="35" s="1"/>
  <c r="E70" i="35"/>
  <c r="G70" i="35" s="1"/>
  <c r="E71" i="35"/>
  <c r="G71" i="35" s="1"/>
  <c r="E72" i="35"/>
  <c r="G72" i="35" s="1"/>
  <c r="E73" i="35"/>
  <c r="G73" i="35" s="1"/>
  <c r="E74" i="35"/>
  <c r="G74" i="35" s="1"/>
  <c r="E75" i="35"/>
  <c r="G75" i="35" s="1"/>
  <c r="E76" i="35"/>
  <c r="G76" i="35" s="1"/>
  <c r="E77" i="35"/>
  <c r="G77" i="35" s="1"/>
  <c r="E78" i="35"/>
  <c r="G78" i="35" s="1"/>
  <c r="E79" i="35"/>
  <c r="G79" i="35" s="1"/>
  <c r="E80" i="35"/>
  <c r="G80" i="35" s="1"/>
  <c r="E81" i="35"/>
  <c r="G81" i="35" s="1"/>
  <c r="E82" i="35"/>
  <c r="G82" i="35" s="1"/>
  <c r="E83" i="35"/>
  <c r="G83" i="35" s="1"/>
  <c r="E84" i="35"/>
  <c r="G84" i="35" s="1"/>
  <c r="E85" i="35"/>
  <c r="G85" i="35" s="1"/>
  <c r="E86" i="35"/>
  <c r="G86" i="35" s="1"/>
  <c r="E87" i="35"/>
  <c r="G87" i="35" s="1"/>
  <c r="E88" i="35"/>
  <c r="G88" i="35" s="1"/>
  <c r="E89" i="35"/>
  <c r="G89" i="35" s="1"/>
  <c r="E90" i="35"/>
  <c r="G90" i="35" s="1"/>
  <c r="E91" i="35"/>
  <c r="G91" i="35" s="1"/>
  <c r="E92" i="35"/>
  <c r="G92" i="35" s="1"/>
  <c r="E93" i="35"/>
  <c r="G93" i="35" s="1"/>
  <c r="E94" i="35"/>
  <c r="G94" i="35" s="1"/>
  <c r="E95" i="35"/>
  <c r="G95" i="35" s="1"/>
  <c r="E96" i="35"/>
  <c r="G96" i="35" s="1"/>
  <c r="E97" i="35"/>
  <c r="G97" i="35" s="1"/>
  <c r="E98" i="35"/>
  <c r="G98" i="35" s="1"/>
  <c r="E7" i="35"/>
  <c r="G7" i="35" s="1"/>
  <c r="P21" i="104" l="1"/>
  <c r="BD25" i="104" l="1"/>
  <c r="BB25" i="104"/>
  <c r="AZ26" i="104"/>
  <c r="AX26" i="104"/>
  <c r="I6" i="104" l="1"/>
  <c r="BH32" i="104"/>
  <c r="B7" i="105"/>
  <c r="B6" i="105"/>
  <c r="B29" i="105" s="1"/>
  <c r="L30" i="104" l="1"/>
  <c r="B8" i="105"/>
  <c r="C29" i="105"/>
  <c r="N30" i="104" l="1"/>
  <c r="M30" i="104"/>
  <c r="C28" i="105" l="1"/>
  <c r="AV26" i="104" l="1"/>
  <c r="AT26" i="104"/>
  <c r="AO36" i="104"/>
  <c r="AO30" i="104"/>
  <c r="AO29" i="104"/>
  <c r="AP29" i="104" s="1"/>
  <c r="AO26" i="104"/>
  <c r="AO23" i="104"/>
  <c r="AO21" i="104"/>
  <c r="AP21" i="104" s="1"/>
  <c r="G21" i="104"/>
  <c r="V41" i="104"/>
  <c r="U41" i="104"/>
  <c r="BY40" i="104"/>
  <c r="BT40" i="104"/>
  <c r="BS40" i="104"/>
  <c r="BQ40" i="104"/>
  <c r="BO40" i="104"/>
  <c r="BM40" i="104"/>
  <c r="BL40" i="104"/>
  <c r="BK40" i="104"/>
  <c r="BJ40" i="104"/>
  <c r="BI40" i="104"/>
  <c r="BH40" i="104"/>
  <c r="BG40" i="104"/>
  <c r="BF40" i="104"/>
  <c r="BE40" i="104"/>
  <c r="BD40" i="104"/>
  <c r="BC40" i="104"/>
  <c r="BB40" i="104"/>
  <c r="BA40" i="104"/>
  <c r="AZ40" i="104"/>
  <c r="AY40" i="104"/>
  <c r="AX40" i="104"/>
  <c r="AW40" i="104"/>
  <c r="AV40" i="104"/>
  <c r="AU40" i="104"/>
  <c r="AT40" i="104"/>
  <c r="AS40" i="104"/>
  <c r="AP40" i="104"/>
  <c r="AL40" i="104"/>
  <c r="AJ40" i="104"/>
  <c r="AH40" i="104"/>
  <c r="M40" i="104"/>
  <c r="J40" i="104"/>
  <c r="O39" i="104"/>
  <c r="J39" i="104"/>
  <c r="G39" i="104"/>
  <c r="BI37" i="104"/>
  <c r="BH37" i="104"/>
  <c r="BG37" i="104"/>
  <c r="BF37" i="104"/>
  <c r="BE37" i="104"/>
  <c r="BD37" i="104"/>
  <c r="BC37" i="104"/>
  <c r="BB37" i="104"/>
  <c r="BA37" i="104"/>
  <c r="AZ37" i="104"/>
  <c r="AY37" i="104"/>
  <c r="AX37" i="104"/>
  <c r="AW37" i="104"/>
  <c r="AV37" i="104"/>
  <c r="AU37" i="104"/>
  <c r="AT37" i="104"/>
  <c r="AM37" i="104"/>
  <c r="AK37" i="104"/>
  <c r="AI37" i="104"/>
  <c r="AG37" i="104"/>
  <c r="N37" i="104"/>
  <c r="M37" i="104"/>
  <c r="P36" i="104"/>
  <c r="X36" i="104" s="1"/>
  <c r="X37" i="104" s="1"/>
  <c r="J36" i="104"/>
  <c r="J37" i="104" s="1"/>
  <c r="C36" i="104"/>
  <c r="BW35" i="104"/>
  <c r="BU35" i="104"/>
  <c r="BV35" i="104" s="1"/>
  <c r="BF34" i="104"/>
  <c r="BE34" i="104"/>
  <c r="BD34" i="104"/>
  <c r="BC34" i="104"/>
  <c r="BB34" i="104"/>
  <c r="BA34" i="104"/>
  <c r="AZ34" i="104"/>
  <c r="AY34" i="104"/>
  <c r="AX34" i="104"/>
  <c r="AW34" i="104"/>
  <c r="AV34" i="104"/>
  <c r="AU34" i="104"/>
  <c r="AT34" i="104"/>
  <c r="O33" i="104"/>
  <c r="J33" i="104"/>
  <c r="BH34" i="104"/>
  <c r="P32" i="104"/>
  <c r="J32" i="104"/>
  <c r="O31" i="104"/>
  <c r="J31" i="104"/>
  <c r="J30" i="104"/>
  <c r="C30" i="104"/>
  <c r="A30" i="104"/>
  <c r="A31" i="104" s="1"/>
  <c r="A32" i="104" s="1"/>
  <c r="A33" i="104" s="1"/>
  <c r="P29" i="104"/>
  <c r="J29" i="104"/>
  <c r="J34" i="104" s="1"/>
  <c r="G29" i="104"/>
  <c r="C29" i="104"/>
  <c r="BW28" i="104"/>
  <c r="BV28" i="104"/>
  <c r="BU28" i="104"/>
  <c r="BI27" i="104"/>
  <c r="BH27" i="104"/>
  <c r="BG27" i="104"/>
  <c r="BF27" i="104"/>
  <c r="BF41" i="104" s="1"/>
  <c r="J26" i="104"/>
  <c r="G26" i="104"/>
  <c r="C26" i="104"/>
  <c r="O25" i="104"/>
  <c r="J25" i="104"/>
  <c r="J24" i="104"/>
  <c r="J23" i="104"/>
  <c r="J22" i="104"/>
  <c r="AK21" i="104"/>
  <c r="H19" i="104"/>
  <c r="I19" i="104" s="1"/>
  <c r="J19" i="104" s="1"/>
  <c r="K19" i="104" s="1"/>
  <c r="L19" i="104" s="1"/>
  <c r="M19" i="104" s="1"/>
  <c r="N19" i="104" s="1"/>
  <c r="O19" i="104" s="1"/>
  <c r="P19" i="104" s="1"/>
  <c r="Q19" i="104" s="1"/>
  <c r="R19" i="104" s="1"/>
  <c r="S19" i="104" s="1"/>
  <c r="T19" i="104" s="1"/>
  <c r="G19" i="104"/>
  <c r="B19" i="104"/>
  <c r="A19" i="104"/>
  <c r="Z19" i="104" l="1"/>
  <c r="AU45" i="104"/>
  <c r="AU26" i="104"/>
  <c r="G22" i="104" s="1"/>
  <c r="L22" i="104" s="1"/>
  <c r="N22" i="104" s="1"/>
  <c r="O40" i="104"/>
  <c r="W31" i="104"/>
  <c r="Y31" i="104" s="1"/>
  <c r="W33" i="104"/>
  <c r="Y33" i="104" s="1"/>
  <c r="AP36" i="104"/>
  <c r="AP37" i="104" s="1"/>
  <c r="AP26" i="104"/>
  <c r="AA33" i="104"/>
  <c r="W39" i="104"/>
  <c r="W40" i="104" s="1"/>
  <c r="AA31" i="104"/>
  <c r="AA39" i="104"/>
  <c r="AA40" i="104" s="1"/>
  <c r="BO29" i="104"/>
  <c r="AB36" i="104"/>
  <c r="AB37" i="104" s="1"/>
  <c r="P37" i="104"/>
  <c r="B10" i="105"/>
  <c r="G31" i="104"/>
  <c r="L31" i="104" s="1"/>
  <c r="N31" i="104" s="1"/>
  <c r="AP30" i="104"/>
  <c r="AP34" i="104" s="1"/>
  <c r="Y38" i="104"/>
  <c r="AD38" i="104" s="1"/>
  <c r="Y35" i="104"/>
  <c r="AD35" i="104" s="1"/>
  <c r="Y28" i="104"/>
  <c r="BD27" i="104"/>
  <c r="BD41" i="104" s="1"/>
  <c r="AV27" i="104"/>
  <c r="AV41" i="104" s="1"/>
  <c r="AZ27" i="104"/>
  <c r="AZ41" i="104" s="1"/>
  <c r="BY29" i="104"/>
  <c r="Z38" i="104"/>
  <c r="AE38" i="104" s="1"/>
  <c r="Z28" i="104"/>
  <c r="Z35" i="104"/>
  <c r="AE35" i="104" s="1"/>
  <c r="J27" i="104"/>
  <c r="J41" i="104" s="1"/>
  <c r="X21" i="104"/>
  <c r="Z21" i="104" s="1"/>
  <c r="AB21" i="104"/>
  <c r="AA25" i="104"/>
  <c r="BB27" i="104"/>
  <c r="BB41" i="104" s="1"/>
  <c r="BC25" i="104"/>
  <c r="BC27" i="104" s="1"/>
  <c r="BC41" i="104" s="1"/>
  <c r="AT27" i="104"/>
  <c r="AT41" i="104" s="1"/>
  <c r="AX27" i="104"/>
  <c r="AX41" i="104" s="1"/>
  <c r="AY26" i="104"/>
  <c r="AY27" i="104" s="1"/>
  <c r="AY41" i="104" s="1"/>
  <c r="BH41" i="104"/>
  <c r="X29" i="104"/>
  <c r="Z29" i="104" s="1"/>
  <c r="AB29" i="104"/>
  <c r="X32" i="104"/>
  <c r="AB32" i="104"/>
  <c r="Z36" i="104"/>
  <c r="Z37" i="104" s="1"/>
  <c r="L40" i="104"/>
  <c r="BL32" i="104"/>
  <c r="BJ29" i="104"/>
  <c r="AC19" i="104" l="1"/>
  <c r="AD19" i="104" s="1"/>
  <c r="AE19" i="104" s="1"/>
  <c r="AF19" i="104" s="1"/>
  <c r="AG19" i="104" s="1"/>
  <c r="AH19" i="104" s="1"/>
  <c r="AI19" i="104" s="1"/>
  <c r="AJ19" i="104" s="1"/>
  <c r="AK19" i="104" s="1"/>
  <c r="AL19" i="104" s="1"/>
  <c r="AM19" i="104" s="1"/>
  <c r="AN19" i="104" s="1"/>
  <c r="AO19" i="104" s="1"/>
  <c r="AP19" i="104" s="1"/>
  <c r="AQ19" i="104" s="1"/>
  <c r="AR19" i="104" s="1"/>
  <c r="AS19" i="104" s="1"/>
  <c r="AT19" i="104" s="1"/>
  <c r="AU19" i="104" s="1"/>
  <c r="AV19" i="104" s="1"/>
  <c r="AW19" i="104" s="1"/>
  <c r="AX19" i="104" s="1"/>
  <c r="AY19" i="104" s="1"/>
  <c r="AZ19" i="104" s="1"/>
  <c r="BA19" i="104" s="1"/>
  <c r="BB19" i="104" s="1"/>
  <c r="BC19" i="104" s="1"/>
  <c r="BD19" i="104" s="1"/>
  <c r="BE19" i="104" s="1"/>
  <c r="BF19" i="104" s="1"/>
  <c r="BG19" i="104" s="1"/>
  <c r="BH19" i="104" s="1"/>
  <c r="BI19" i="104" s="1"/>
  <c r="BJ19" i="104" s="1"/>
  <c r="BK19" i="104" s="1"/>
  <c r="BL19" i="104" s="1"/>
  <c r="BM19" i="104" s="1"/>
  <c r="BN19" i="104" s="1"/>
  <c r="BO19" i="104" s="1"/>
  <c r="BP19" i="104" s="1"/>
  <c r="BQ19" i="104" s="1"/>
  <c r="BR19" i="104" s="1"/>
  <c r="BS19" i="104" s="1"/>
  <c r="BT19" i="104" s="1"/>
  <c r="BU19" i="104" s="1"/>
  <c r="BV19" i="104" s="1"/>
  <c r="BW19" i="104" s="1"/>
  <c r="BX19" i="104" s="1"/>
  <c r="BY19" i="104" s="1"/>
  <c r="BJ30" i="104"/>
  <c r="BJ23" i="104"/>
  <c r="BL30" i="104"/>
  <c r="BL34" i="104" s="1"/>
  <c r="BL23" i="104"/>
  <c r="BJ26" i="104"/>
  <c r="BJ36" i="104"/>
  <c r="BJ21" i="104"/>
  <c r="BL26" i="104"/>
  <c r="BM26" i="104" s="1"/>
  <c r="Y39" i="104"/>
  <c r="Y40" i="104" s="1"/>
  <c r="AD33" i="104"/>
  <c r="B11" i="105"/>
  <c r="AD31" i="104"/>
  <c r="AE29" i="104"/>
  <c r="AE36" i="104"/>
  <c r="AE37" i="104" s="1"/>
  <c r="Z32" i="104"/>
  <c r="AE32" i="104" s="1"/>
  <c r="AU27" i="104"/>
  <c r="AU41" i="104" s="1"/>
  <c r="W25" i="104"/>
  <c r="Y25" i="104" s="1"/>
  <c r="AD25" i="104" s="1"/>
  <c r="AE21" i="104"/>
  <c r="BS29" i="104"/>
  <c r="BQ29" i="104"/>
  <c r="BA26" i="104"/>
  <c r="BA27" i="104" s="1"/>
  <c r="BA41" i="104" s="1"/>
  <c r="B17" i="105" s="1"/>
  <c r="C17" i="105" s="1"/>
  <c r="AW26" i="104"/>
  <c r="AW27" i="104" s="1"/>
  <c r="AW41" i="104" s="1"/>
  <c r="B16" i="105" s="1"/>
  <c r="C16" i="105" s="1"/>
  <c r="BE25" i="104"/>
  <c r="BE27" i="104" s="1"/>
  <c r="BE41" i="104" s="1"/>
  <c r="B18" i="105" s="1"/>
  <c r="C18" i="105" s="1"/>
  <c r="BY30" i="104"/>
  <c r="G32" i="104"/>
  <c r="L32" i="104" s="1"/>
  <c r="L37" i="104"/>
  <c r="BY36" i="104"/>
  <c r="BY26" i="104"/>
  <c r="A112" i="100"/>
  <c r="A113" i="100" s="1"/>
  <c r="A114" i="100" s="1"/>
  <c r="A115" i="100" s="1"/>
  <c r="A95" i="100"/>
  <c r="A96" i="100" s="1"/>
  <c r="A97" i="100" s="1"/>
  <c r="A98" i="100" s="1"/>
  <c r="A99" i="100" s="1"/>
  <c r="A90" i="100"/>
  <c r="A91" i="100" s="1"/>
  <c r="A92" i="100" s="1"/>
  <c r="A93" i="100" s="1"/>
  <c r="A94" i="100" s="1"/>
  <c r="A85" i="100"/>
  <c r="A86" i="100" s="1"/>
  <c r="E84" i="100"/>
  <c r="E83" i="100"/>
  <c r="A81" i="100"/>
  <c r="A77" i="100"/>
  <c r="E76" i="100"/>
  <c r="E74" i="100"/>
  <c r="E73" i="100"/>
  <c r="E72" i="100"/>
  <c r="E71" i="100"/>
  <c r="E67" i="100"/>
  <c r="E66" i="100"/>
  <c r="E65" i="100"/>
  <c r="A65" i="100"/>
  <c r="A66" i="100" s="1"/>
  <c r="A67" i="100" s="1"/>
  <c r="A68" i="100" s="1"/>
  <c r="A69" i="100" s="1"/>
  <c r="A70" i="100" s="1"/>
  <c r="A71" i="100" s="1"/>
  <c r="A72" i="100" s="1"/>
  <c r="A73" i="100" s="1"/>
  <c r="A74" i="100" s="1"/>
  <c r="E64" i="100"/>
  <c r="A59" i="100"/>
  <c r="A60" i="100" s="1"/>
  <c r="A61" i="100" s="1"/>
  <c r="A62" i="100" s="1"/>
  <c r="A45" i="100"/>
  <c r="A46" i="100" s="1"/>
  <c r="A47" i="100" s="1"/>
  <c r="A48" i="100" s="1"/>
  <c r="A49" i="100" s="1"/>
  <c r="A50" i="100" s="1"/>
  <c r="A51" i="100" s="1"/>
  <c r="A52" i="100" s="1"/>
  <c r="A38" i="100"/>
  <c r="A39" i="100" s="1"/>
  <c r="A40" i="100" s="1"/>
  <c r="A41" i="100" s="1"/>
  <c r="A42" i="100" s="1"/>
  <c r="A35" i="100"/>
  <c r="A23" i="100"/>
  <c r="A24" i="100" s="1"/>
  <c r="A25" i="100" s="1"/>
  <c r="A26" i="100" s="1"/>
  <c r="A27" i="100" s="1"/>
  <c r="A28" i="100" s="1"/>
  <c r="A29" i="100" s="1"/>
  <c r="A30" i="100" s="1"/>
  <c r="A31" i="100" s="1"/>
  <c r="A32" i="100" s="1"/>
  <c r="A16" i="100"/>
  <c r="A17" i="100" s="1"/>
  <c r="A18" i="100" s="1"/>
  <c r="A19" i="100" s="1"/>
  <c r="A20" i="100" s="1"/>
  <c r="A4" i="100"/>
  <c r="A5" i="100" s="1"/>
  <c r="A6" i="100" s="1"/>
  <c r="A7" i="100" s="1"/>
  <c r="A8" i="100" s="1"/>
  <c r="A9" i="100" s="1"/>
  <c r="A10" i="100" s="1"/>
  <c r="A11" i="100" s="1"/>
  <c r="A12" i="100" s="1"/>
  <c r="A13" i="100" s="1"/>
  <c r="B3" i="27"/>
  <c r="D32" i="27" s="1"/>
  <c r="B8" i="27"/>
  <c r="B6" i="27"/>
  <c r="M32" i="104" l="1"/>
  <c r="M34" i="104" s="1"/>
  <c r="BJ37" i="104"/>
  <c r="BJ34" i="104"/>
  <c r="BM30" i="104"/>
  <c r="BJ27" i="104"/>
  <c r="BL36" i="104"/>
  <c r="BL21" i="104"/>
  <c r="AD39" i="104"/>
  <c r="AD40" i="104" s="1"/>
  <c r="G24" i="27"/>
  <c r="G26" i="27" s="1"/>
  <c r="C20" i="27"/>
  <c r="C21" i="27" s="1"/>
  <c r="E28" i="27"/>
  <c r="E30" i="27" s="1"/>
  <c r="BQ26" i="104"/>
  <c r="BO26" i="104"/>
  <c r="BY37" i="104"/>
  <c r="BO36" i="104"/>
  <c r="BO37" i="104" s="1"/>
  <c r="BQ36" i="104"/>
  <c r="BQ37" i="104" s="1"/>
  <c r="BS36" i="104"/>
  <c r="BS37" i="104" s="1"/>
  <c r="G33" i="104"/>
  <c r="L33" i="104" s="1"/>
  <c r="N33" i="104" s="1"/>
  <c r="N34" i="104" s="1"/>
  <c r="BO30" i="104"/>
  <c r="BO34" i="104" s="1"/>
  <c r="BQ30" i="104"/>
  <c r="BQ34" i="104" s="1"/>
  <c r="BS30" i="104"/>
  <c r="BS34" i="104" s="1"/>
  <c r="BS26" i="104"/>
  <c r="BJ41" i="104"/>
  <c r="BY34" i="104"/>
  <c r="G23" i="104"/>
  <c r="H16" i="27"/>
  <c r="H17" i="27" s="1"/>
  <c r="E20" i="27"/>
  <c r="E22" i="27" s="1"/>
  <c r="C28" i="27"/>
  <c r="C30" i="27" s="1"/>
  <c r="G32" i="27"/>
  <c r="G34" i="27" s="1"/>
  <c r="B10" i="27"/>
  <c r="C16" i="27"/>
  <c r="C18" i="27" s="1"/>
  <c r="F16" i="27"/>
  <c r="F17" i="27" s="1"/>
  <c r="G20" i="27"/>
  <c r="G22" i="27" s="1"/>
  <c r="C24" i="27"/>
  <c r="C26" i="27" s="1"/>
  <c r="E24" i="27"/>
  <c r="E26" i="27" s="1"/>
  <c r="G28" i="27"/>
  <c r="G30" i="27" s="1"/>
  <c r="C32" i="27"/>
  <c r="C34" i="27" s="1"/>
  <c r="E32" i="27"/>
  <c r="E34" i="27" s="1"/>
  <c r="E77" i="100"/>
  <c r="E78" i="100"/>
  <c r="E88" i="100"/>
  <c r="E85" i="100"/>
  <c r="E87" i="100"/>
  <c r="D34" i="27"/>
  <c r="D33" i="27"/>
  <c r="D16" i="27"/>
  <c r="G16" i="27"/>
  <c r="E16" i="27"/>
  <c r="H20" i="27"/>
  <c r="F20" i="27"/>
  <c r="D20" i="27"/>
  <c r="H24" i="27"/>
  <c r="F24" i="27"/>
  <c r="D24" i="27"/>
  <c r="H28" i="27"/>
  <c r="F28" i="27"/>
  <c r="D28" i="27"/>
  <c r="H32" i="27"/>
  <c r="F32" i="27"/>
  <c r="C32" i="104" l="1"/>
  <c r="C22" i="27"/>
  <c r="L23" i="104"/>
  <c r="G24" i="104"/>
  <c r="BL37" i="104"/>
  <c r="BM36" i="104"/>
  <c r="BM37" i="104" s="1"/>
  <c r="BL27" i="104"/>
  <c r="E29" i="27"/>
  <c r="F18" i="27"/>
  <c r="G25" i="27"/>
  <c r="O16" i="104"/>
  <c r="L34" i="104"/>
  <c r="BM32" i="104"/>
  <c r="BM34" i="104" s="1"/>
  <c r="BG32" i="104"/>
  <c r="AP23" i="104"/>
  <c r="E33" i="27"/>
  <c r="C29" i="27"/>
  <c r="C25" i="27"/>
  <c r="H18" i="27"/>
  <c r="G33" i="27"/>
  <c r="G29" i="27"/>
  <c r="E21" i="27"/>
  <c r="C33" i="27"/>
  <c r="E25" i="27"/>
  <c r="G21" i="27"/>
  <c r="C17" i="27"/>
  <c r="E79" i="100"/>
  <c r="H34" i="27"/>
  <c r="H33" i="27"/>
  <c r="F30" i="27"/>
  <c r="F29" i="27"/>
  <c r="D26" i="27"/>
  <c r="D25" i="27"/>
  <c r="H26" i="27"/>
  <c r="H25" i="27"/>
  <c r="F22" i="27"/>
  <c r="F21" i="27"/>
  <c r="E18" i="27"/>
  <c r="E17" i="27"/>
  <c r="D18" i="27"/>
  <c r="D17" i="27"/>
  <c r="F34" i="27"/>
  <c r="F33" i="27"/>
  <c r="D30" i="27"/>
  <c r="D29" i="27"/>
  <c r="H30" i="27"/>
  <c r="H29" i="27"/>
  <c r="F26" i="27"/>
  <c r="F25" i="27"/>
  <c r="D22" i="27"/>
  <c r="D21" i="27"/>
  <c r="H22" i="27"/>
  <c r="H21" i="27"/>
  <c r="G18" i="27"/>
  <c r="G17" i="27"/>
  <c r="BT36" i="104" l="1"/>
  <c r="BT37" i="104" s="1"/>
  <c r="BT23" i="104"/>
  <c r="BT29" i="104"/>
  <c r="BT26" i="104"/>
  <c r="BT21" i="104"/>
  <c r="BT30" i="104"/>
  <c r="BT32" i="104"/>
  <c r="P30" i="104"/>
  <c r="BK29" i="104"/>
  <c r="BK26" i="104"/>
  <c r="BK36" i="104"/>
  <c r="BK37" i="104" s="1"/>
  <c r="BK30" i="104"/>
  <c r="BK34" i="104" s="1"/>
  <c r="L24" i="104"/>
  <c r="N24" i="104" s="1"/>
  <c r="G25" i="104"/>
  <c r="L25" i="104" s="1"/>
  <c r="N25" i="104" s="1"/>
  <c r="N23" i="104"/>
  <c r="N27" i="104" s="1"/>
  <c r="N41" i="104" s="1"/>
  <c r="M23" i="104"/>
  <c r="C23" i="104" s="1"/>
  <c r="BK23" i="104"/>
  <c r="P33" i="104"/>
  <c r="BW33" i="104" s="1"/>
  <c r="BL41" i="104"/>
  <c r="O32" i="104"/>
  <c r="O22" i="104"/>
  <c r="P22" i="104"/>
  <c r="T22" i="104" s="1"/>
  <c r="AB22" i="104" s="1"/>
  <c r="AS30" i="104"/>
  <c r="AS26" i="104"/>
  <c r="AS21" i="104"/>
  <c r="AS36" i="104"/>
  <c r="AS37" i="104" s="1"/>
  <c r="AS29" i="104"/>
  <c r="AS23" i="104"/>
  <c r="P39" i="104"/>
  <c r="BW39" i="104" s="1"/>
  <c r="O29" i="104"/>
  <c r="O30" i="104"/>
  <c r="O36" i="104"/>
  <c r="BW36" i="104" s="1"/>
  <c r="O26" i="104"/>
  <c r="P26" i="104"/>
  <c r="P31" i="104"/>
  <c r="BW31" i="104" s="1"/>
  <c r="O23" i="104"/>
  <c r="BY23" i="104"/>
  <c r="P23" i="104"/>
  <c r="T23" i="104" s="1"/>
  <c r="BM23" i="104"/>
  <c r="AP27" i="104"/>
  <c r="AP41" i="104" s="1"/>
  <c r="BG34" i="104"/>
  <c r="BG41" i="104" s="1"/>
  <c r="BI32" i="104"/>
  <c r="BI34" i="104" s="1"/>
  <c r="BI41" i="104" s="1"/>
  <c r="B27" i="105" s="1"/>
  <c r="E68" i="100"/>
  <c r="E80" i="100"/>
  <c r="A3" i="89"/>
  <c r="A4" i="89" s="1"/>
  <c r="A5" i="89" s="1"/>
  <c r="A6" i="89" s="1"/>
  <c r="BT34" i="104" l="1"/>
  <c r="X30" i="104"/>
  <c r="AB30" i="104"/>
  <c r="Z30" i="104"/>
  <c r="BW26" i="104"/>
  <c r="R29" i="104"/>
  <c r="AA29" i="104" s="1"/>
  <c r="BW29" i="104"/>
  <c r="T33" i="104"/>
  <c r="AB33" i="104" s="1"/>
  <c r="R30" i="104"/>
  <c r="AA30" i="104" s="1"/>
  <c r="BW30" i="104"/>
  <c r="R32" i="104"/>
  <c r="AA32" i="104" s="1"/>
  <c r="BW32" i="104"/>
  <c r="R23" i="104"/>
  <c r="W23" i="104" s="1"/>
  <c r="Y23" i="104" s="1"/>
  <c r="BW23" i="104"/>
  <c r="R22" i="104"/>
  <c r="AA22" i="104" s="1"/>
  <c r="BW22" i="104"/>
  <c r="P25" i="104"/>
  <c r="X22" i="104"/>
  <c r="Z22" i="104" s="1"/>
  <c r="AS27" i="104"/>
  <c r="O34" i="104"/>
  <c r="T31" i="104"/>
  <c r="AB31" i="104" s="1"/>
  <c r="P34" i="104"/>
  <c r="T26" i="104"/>
  <c r="X26" i="104" s="1"/>
  <c r="Z26" i="104" s="1"/>
  <c r="R36" i="104"/>
  <c r="AA36" i="104" s="1"/>
  <c r="AA37" i="104" s="1"/>
  <c r="O37" i="104"/>
  <c r="BW37" i="104"/>
  <c r="R26" i="104"/>
  <c r="AA26" i="104" s="1"/>
  <c r="BW40" i="104"/>
  <c r="P40" i="104"/>
  <c r="T39" i="104"/>
  <c r="X39" i="104" s="1"/>
  <c r="X40" i="104" s="1"/>
  <c r="AS34" i="104"/>
  <c r="C27" i="105"/>
  <c r="P24" i="104"/>
  <c r="T24" i="104" s="1"/>
  <c r="O24" i="104"/>
  <c r="AB23" i="104"/>
  <c r="X23" i="104"/>
  <c r="BQ23" i="104"/>
  <c r="BO23" i="104"/>
  <c r="BS23" i="104"/>
  <c r="E69" i="100"/>
  <c r="E81" i="100"/>
  <c r="AE30" i="104" l="1"/>
  <c r="AB34" i="104"/>
  <c r="X33" i="104"/>
  <c r="Z33" i="104" s="1"/>
  <c r="AE33" i="104" s="1"/>
  <c r="W32" i="104"/>
  <c r="Y32" i="104" s="1"/>
  <c r="AA23" i="104"/>
  <c r="AD23" i="104" s="1"/>
  <c r="W22" i="104"/>
  <c r="Y22" i="104" s="1"/>
  <c r="AD22" i="104" s="1"/>
  <c r="T25" i="104"/>
  <c r="AB25" i="104" s="1"/>
  <c r="BW25" i="104"/>
  <c r="R24" i="104"/>
  <c r="AA24" i="104" s="1"/>
  <c r="BW24" i="104"/>
  <c r="X31" i="104"/>
  <c r="X34" i="104" s="1"/>
  <c r="AE22" i="104"/>
  <c r="W26" i="104"/>
  <c r="Y26" i="104" s="1"/>
  <c r="W36" i="104"/>
  <c r="W37" i="104" s="1"/>
  <c r="W30" i="104"/>
  <c r="Y30" i="104" s="1"/>
  <c r="AD30" i="104" s="1"/>
  <c r="AS41" i="104"/>
  <c r="B26" i="105" s="1"/>
  <c r="C26" i="105" s="1"/>
  <c r="Z39" i="104"/>
  <c r="Z40" i="104" s="1"/>
  <c r="AB26" i="104"/>
  <c r="AE26" i="104" s="1"/>
  <c r="AB39" i="104"/>
  <c r="AB40" i="104" s="1"/>
  <c r="W29" i="104"/>
  <c r="Y29" i="104" s="1"/>
  <c r="AD29" i="104" s="1"/>
  <c r="AA34" i="104"/>
  <c r="BW34" i="104"/>
  <c r="Z23" i="104"/>
  <c r="AB24" i="104"/>
  <c r="X24" i="104"/>
  <c r="P27" i="104"/>
  <c r="P41" i="104" s="1"/>
  <c r="E70" i="100"/>
  <c r="X25" i="104" l="1"/>
  <c r="Z25" i="104" s="1"/>
  <c r="W24" i="104"/>
  <c r="Y24" i="104" s="1"/>
  <c r="Y36" i="104"/>
  <c r="Y37" i="104" s="1"/>
  <c r="AD32" i="104"/>
  <c r="AD34" i="104" s="1"/>
  <c r="AD26" i="104"/>
  <c r="Z31" i="104"/>
  <c r="AE31" i="104" s="1"/>
  <c r="AE34" i="104" s="1"/>
  <c r="AB27" i="104"/>
  <c r="AB41" i="104" s="1"/>
  <c r="Y34" i="104"/>
  <c r="AE39" i="104"/>
  <c r="AE40" i="104" s="1"/>
  <c r="W34" i="104"/>
  <c r="Z24" i="104"/>
  <c r="AE24" i="104" s="1"/>
  <c r="AE23" i="104"/>
  <c r="AE25" i="104" l="1"/>
  <c r="X27" i="104"/>
  <c r="X41" i="104" s="1"/>
  <c r="AD36" i="104"/>
  <c r="AD37" i="104" s="1"/>
  <c r="Z34" i="104"/>
  <c r="Z27" i="104"/>
  <c r="AD24" i="104"/>
  <c r="AE27" i="104"/>
  <c r="AE41" i="104" s="1"/>
  <c r="B27" i="88"/>
  <c r="B7" i="88"/>
  <c r="B6" i="88"/>
  <c r="B25" i="88" s="1"/>
  <c r="C25" i="88" s="1"/>
  <c r="BA36" i="87"/>
  <c r="AY36" i="87"/>
  <c r="AW36" i="87"/>
  <c r="AU36" i="87"/>
  <c r="N36" i="87"/>
  <c r="M36" i="87"/>
  <c r="BN35" i="87"/>
  <c r="AO35" i="87"/>
  <c r="P35" i="87"/>
  <c r="J35" i="87"/>
  <c r="BN34" i="87"/>
  <c r="AO34" i="87"/>
  <c r="P34" i="87"/>
  <c r="T34" i="87" s="1"/>
  <c r="J34" i="87"/>
  <c r="BN33" i="87"/>
  <c r="AO33" i="87"/>
  <c r="T33" i="87"/>
  <c r="P33" i="87"/>
  <c r="J33" i="87"/>
  <c r="BN32" i="87"/>
  <c r="AO32" i="87"/>
  <c r="P32" i="87"/>
  <c r="T32" i="87" s="1"/>
  <c r="X32" i="87" s="1"/>
  <c r="J32" i="87"/>
  <c r="BN31" i="87"/>
  <c r="AO31" i="87"/>
  <c r="P31" i="87"/>
  <c r="J31" i="87"/>
  <c r="A31" i="87"/>
  <c r="A32" i="87" s="1"/>
  <c r="A33" i="87" s="1"/>
  <c r="A34" i="87" s="1"/>
  <c r="A35" i="87" s="1"/>
  <c r="BN30" i="87"/>
  <c r="AO30" i="87"/>
  <c r="P30" i="87"/>
  <c r="J30" i="87"/>
  <c r="J36" i="87"/>
  <c r="G30" i="87"/>
  <c r="AP30" i="87" s="1"/>
  <c r="BE28" i="87"/>
  <c r="BC28" i="87"/>
  <c r="N28" i="87"/>
  <c r="N37" i="87" s="1"/>
  <c r="M28" i="87"/>
  <c r="M37" i="87"/>
  <c r="BN27" i="87"/>
  <c r="AZ27" i="87"/>
  <c r="AO27" i="87"/>
  <c r="P27" i="87"/>
  <c r="T27" i="87" s="1"/>
  <c r="V27" i="87" s="1"/>
  <c r="I27" i="87"/>
  <c r="H27" i="87"/>
  <c r="J27" i="87" s="1"/>
  <c r="G27" i="87"/>
  <c r="AY27" i="87" s="1"/>
  <c r="AO26" i="87"/>
  <c r="O26" i="87"/>
  <c r="J26" i="87"/>
  <c r="BN25" i="87"/>
  <c r="AO25" i="87"/>
  <c r="J25" i="87"/>
  <c r="O24" i="87"/>
  <c r="J24" i="87"/>
  <c r="O23" i="87"/>
  <c r="J23" i="87"/>
  <c r="BN22" i="87"/>
  <c r="AO22" i="87"/>
  <c r="J22" i="87"/>
  <c r="AO21" i="87"/>
  <c r="O21" i="87"/>
  <c r="J21" i="87"/>
  <c r="BN20" i="87"/>
  <c r="AO20" i="87"/>
  <c r="P20" i="87"/>
  <c r="J20" i="87"/>
  <c r="G20" i="87"/>
  <c r="AP20" i="87"/>
  <c r="BN19" i="87"/>
  <c r="AO19" i="87"/>
  <c r="P19" i="87"/>
  <c r="T19" i="87" s="1"/>
  <c r="X19" i="87" s="1"/>
  <c r="J19" i="87"/>
  <c r="G19" i="87"/>
  <c r="A19" i="87"/>
  <c r="A20" i="87" s="1"/>
  <c r="A21" i="87" s="1"/>
  <c r="A22" i="87" s="1"/>
  <c r="A23" i="87" s="1"/>
  <c r="A24" i="87" s="1"/>
  <c r="A25" i="87" s="1"/>
  <c r="A26" i="87" s="1"/>
  <c r="A27" i="87" s="1"/>
  <c r="BN18" i="87"/>
  <c r="AO18" i="87"/>
  <c r="T18" i="87"/>
  <c r="P18" i="87"/>
  <c r="J18" i="87"/>
  <c r="G18" i="87"/>
  <c r="A18" i="87"/>
  <c r="BN17" i="87"/>
  <c r="AR17" i="87"/>
  <c r="AR22" i="87" s="1"/>
  <c r="AO17" i="87"/>
  <c r="AP17" i="87" s="1"/>
  <c r="P17" i="87"/>
  <c r="O17" i="87"/>
  <c r="L17" i="87"/>
  <c r="BU17" i="87" s="1"/>
  <c r="J17" i="87"/>
  <c r="BQ15" i="87"/>
  <c r="BR15" i="87" s="1"/>
  <c r="BS15" i="87" s="1"/>
  <c r="BT15" i="87" s="1"/>
  <c r="BU15" i="87" s="1"/>
  <c r="H15" i="87"/>
  <c r="I15" i="87" s="1"/>
  <c r="J15" i="87" s="1"/>
  <c r="K15" i="87" s="1"/>
  <c r="L15" i="87" s="1"/>
  <c r="M15" i="87" s="1"/>
  <c r="N15" i="87" s="1"/>
  <c r="O15" i="87" s="1"/>
  <c r="P15" i="87" s="1"/>
  <c r="Q15" i="87" s="1"/>
  <c r="R15" i="87" s="1"/>
  <c r="S15" i="87" s="1"/>
  <c r="T15" i="87" s="1"/>
  <c r="U15" i="87" s="1"/>
  <c r="V15" i="87" s="1"/>
  <c r="W15" i="87" s="1"/>
  <c r="X15" i="87" s="1"/>
  <c r="Y15" i="87" s="1"/>
  <c r="Z15" i="87" s="1"/>
  <c r="AA15" i="87" s="1"/>
  <c r="AB15" i="87" s="1"/>
  <c r="AC15" i="87" s="1"/>
  <c r="AD15" i="87" s="1"/>
  <c r="AE15" i="87" s="1"/>
  <c r="AF15" i="87" s="1"/>
  <c r="AG15" i="87" s="1"/>
  <c r="AH15" i="87" s="1"/>
  <c r="AI15" i="87" s="1"/>
  <c r="AJ15" i="87" s="1"/>
  <c r="AK15" i="87" s="1"/>
  <c r="AL15" i="87" s="1"/>
  <c r="AM15" i="87" s="1"/>
  <c r="AN15" i="87" s="1"/>
  <c r="AO15" i="87" s="1"/>
  <c r="AP15" i="87" s="1"/>
  <c r="AQ15" i="87" s="1"/>
  <c r="AR15" i="87" s="1"/>
  <c r="AS15" i="87" s="1"/>
  <c r="AT15" i="87" s="1"/>
  <c r="AU15" i="87" s="1"/>
  <c r="AV15" i="87" s="1"/>
  <c r="AW15" i="87" s="1"/>
  <c r="AX15" i="87" s="1"/>
  <c r="AY15" i="87" s="1"/>
  <c r="AZ15" i="87" s="1"/>
  <c r="BA15" i="87" s="1"/>
  <c r="BB15" i="87" s="1"/>
  <c r="BC15" i="87" s="1"/>
  <c r="BD15" i="87" s="1"/>
  <c r="BE15" i="87" s="1"/>
  <c r="BF15" i="87" s="1"/>
  <c r="BG15" i="87" s="1"/>
  <c r="BH15" i="87" s="1"/>
  <c r="BI15" i="87" s="1"/>
  <c r="BJ15" i="87" s="1"/>
  <c r="BK15" i="87" s="1"/>
  <c r="BL15" i="87" s="1"/>
  <c r="BM15" i="87" s="1"/>
  <c r="BN15" i="87" s="1"/>
  <c r="BO15" i="87" s="1"/>
  <c r="BP15" i="87" s="1"/>
  <c r="G15" i="87"/>
  <c r="B15" i="87"/>
  <c r="A15" i="87"/>
  <c r="D7" i="87"/>
  <c r="G33" i="87" s="1"/>
  <c r="L33" i="87" s="1"/>
  <c r="C27" i="88"/>
  <c r="D8" i="87"/>
  <c r="R23" i="87"/>
  <c r="W23" i="87" s="1"/>
  <c r="T31" i="87"/>
  <c r="X31" i="87" s="1"/>
  <c r="L27" i="87"/>
  <c r="O27" i="87" s="1"/>
  <c r="BS27" i="87" s="1"/>
  <c r="G31" i="87"/>
  <c r="L20" i="87"/>
  <c r="R24" i="87"/>
  <c r="R26" i="87"/>
  <c r="W26" i="87" s="1"/>
  <c r="L30" i="87"/>
  <c r="T30" i="87"/>
  <c r="X30" i="87" s="1"/>
  <c r="BP30" i="87"/>
  <c r="H32" i="83"/>
  <c r="B29" i="84"/>
  <c r="C29" i="84" s="1"/>
  <c r="B26" i="84"/>
  <c r="C26" i="84" s="1"/>
  <c r="B7" i="84"/>
  <c r="B8" i="84" s="1"/>
  <c r="B9" i="84"/>
  <c r="A4" i="84"/>
  <c r="BA50" i="83"/>
  <c r="AY50" i="83"/>
  <c r="AW50" i="83"/>
  <c r="AU50" i="83"/>
  <c r="N50" i="83"/>
  <c r="M50" i="83"/>
  <c r="O49" i="83"/>
  <c r="O48" i="83"/>
  <c r="U48" i="83" s="1"/>
  <c r="G48" i="83"/>
  <c r="BF48" i="83" s="1"/>
  <c r="O47" i="83"/>
  <c r="W47" i="83" s="1"/>
  <c r="BM46" i="83"/>
  <c r="BM50" i="83" s="1"/>
  <c r="BM51" i="83" s="1"/>
  <c r="B20" i="84" s="1"/>
  <c r="AR46" i="83"/>
  <c r="AO46" i="83"/>
  <c r="P46" i="83"/>
  <c r="A46" i="83"/>
  <c r="A47" i="83" s="1"/>
  <c r="BR45" i="83"/>
  <c r="AR45" i="83"/>
  <c r="AO45" i="83"/>
  <c r="P45" i="83"/>
  <c r="X45" i="83" s="1"/>
  <c r="I45" i="83"/>
  <c r="BR44" i="83"/>
  <c r="AR44" i="83"/>
  <c r="AO44" i="83"/>
  <c r="AP44" i="83" s="1"/>
  <c r="AN44" i="83"/>
  <c r="P44" i="83"/>
  <c r="X44" i="83" s="1"/>
  <c r="K44" i="83"/>
  <c r="L44" i="83" s="1"/>
  <c r="J44" i="83"/>
  <c r="BE42" i="83"/>
  <c r="BC42" i="83"/>
  <c r="BA42" i="83"/>
  <c r="AZ42" i="83"/>
  <c r="AY42" i="83"/>
  <c r="AW42" i="83"/>
  <c r="AU42" i="83"/>
  <c r="N42" i="83"/>
  <c r="M42" i="83"/>
  <c r="AR41" i="83"/>
  <c r="AO41" i="83"/>
  <c r="P41" i="83"/>
  <c r="I41" i="83"/>
  <c r="J41" i="83" s="1"/>
  <c r="A41" i="83"/>
  <c r="AR40" i="83"/>
  <c r="AO40" i="83"/>
  <c r="O40" i="83"/>
  <c r="J40" i="83"/>
  <c r="AR39" i="83"/>
  <c r="AO39" i="83"/>
  <c r="AP39" i="83" s="1"/>
  <c r="P39" i="83"/>
  <c r="J39" i="83"/>
  <c r="G39" i="83"/>
  <c r="G40" i="83" s="1"/>
  <c r="AR38" i="83"/>
  <c r="AO38" i="83"/>
  <c r="AN38" i="83"/>
  <c r="O38" i="83"/>
  <c r="J38" i="83"/>
  <c r="G38" i="83"/>
  <c r="AR37" i="83"/>
  <c r="AO37" i="83"/>
  <c r="AN37" i="83"/>
  <c r="P37" i="83"/>
  <c r="I37" i="83"/>
  <c r="H37" i="83"/>
  <c r="A37" i="83"/>
  <c r="AR36" i="83"/>
  <c r="AO36" i="83"/>
  <c r="AN36" i="83"/>
  <c r="O36" i="83"/>
  <c r="J36" i="83"/>
  <c r="K36" i="83"/>
  <c r="L36" i="83" s="1"/>
  <c r="BE34" i="83"/>
  <c r="BC34" i="83"/>
  <c r="N34" i="83"/>
  <c r="N51" i="83" s="1"/>
  <c r="M34" i="83"/>
  <c r="M51" i="83" s="1"/>
  <c r="BR32" i="83"/>
  <c r="AZ32" i="83"/>
  <c r="BA32" i="83" s="1"/>
  <c r="BA34" i="83" s="1"/>
  <c r="BA51" i="83" s="1"/>
  <c r="B14" i="84" s="1"/>
  <c r="C14" i="84" s="1"/>
  <c r="AR32" i="83"/>
  <c r="AO32" i="83"/>
  <c r="K32" i="83"/>
  <c r="J32" i="83"/>
  <c r="G32" i="83"/>
  <c r="AY32" i="83" s="1"/>
  <c r="AY34" i="83" s="1"/>
  <c r="AY51" i="83" s="1"/>
  <c r="O31" i="83"/>
  <c r="K31" i="83"/>
  <c r="J31" i="83"/>
  <c r="BR30" i="83"/>
  <c r="AR30" i="83"/>
  <c r="AO30" i="83"/>
  <c r="AP30" i="83" s="1"/>
  <c r="K30" i="83"/>
  <c r="J30" i="83"/>
  <c r="O29" i="83"/>
  <c r="R29" i="83" s="1"/>
  <c r="W29" i="83" s="1"/>
  <c r="K29" i="83"/>
  <c r="J29" i="83"/>
  <c r="O28" i="83"/>
  <c r="J28" i="83"/>
  <c r="BR27" i="83"/>
  <c r="AR27" i="83"/>
  <c r="AO27" i="83"/>
  <c r="J27" i="83"/>
  <c r="J26" i="83"/>
  <c r="BR25" i="83"/>
  <c r="AR25" i="83"/>
  <c r="AO25" i="83"/>
  <c r="P25" i="83"/>
  <c r="K25" i="83"/>
  <c r="J25" i="83"/>
  <c r="G25" i="83"/>
  <c r="AP25" i="83" s="1"/>
  <c r="BR24" i="83"/>
  <c r="AR24" i="83"/>
  <c r="AO24" i="83"/>
  <c r="P24" i="83"/>
  <c r="K24" i="83"/>
  <c r="L24" i="83" s="1"/>
  <c r="J24" i="83"/>
  <c r="G24" i="83"/>
  <c r="BR23" i="83"/>
  <c r="AR23" i="83"/>
  <c r="AO23" i="83"/>
  <c r="AP23" i="83" s="1"/>
  <c r="P23" i="83"/>
  <c r="K23" i="83"/>
  <c r="J23" i="83"/>
  <c r="A23" i="83"/>
  <c r="A24" i="83" s="1"/>
  <c r="A25" i="83" s="1"/>
  <c r="A26" i="83" s="1"/>
  <c r="A27" i="83" s="1"/>
  <c r="A28" i="83" s="1"/>
  <c r="A29" i="83" s="1"/>
  <c r="A30" i="83" s="1"/>
  <c r="A31" i="83" s="1"/>
  <c r="A32" i="83" s="1"/>
  <c r="BR22" i="83"/>
  <c r="AR22" i="83"/>
  <c r="AO22" i="83"/>
  <c r="AP22" i="83" s="1"/>
  <c r="V22" i="83"/>
  <c r="AB22" i="83" s="1"/>
  <c r="P22" i="83"/>
  <c r="X22" i="83" s="1"/>
  <c r="K22" i="83"/>
  <c r="J22" i="83"/>
  <c r="G22" i="83"/>
  <c r="G23" i="83" s="1"/>
  <c r="K20" i="83"/>
  <c r="L20" i="83" s="1"/>
  <c r="M20" i="83" s="1"/>
  <c r="N20" i="83" s="1"/>
  <c r="O20" i="83" s="1"/>
  <c r="P20" i="83" s="1"/>
  <c r="Q20" i="83" s="1"/>
  <c r="R20" i="83" s="1"/>
  <c r="S20" i="83" s="1"/>
  <c r="T20" i="83" s="1"/>
  <c r="U20" i="83" s="1"/>
  <c r="V20" i="83" s="1"/>
  <c r="W20" i="83" s="1"/>
  <c r="X20" i="83" s="1"/>
  <c r="Y20" i="83" s="1"/>
  <c r="Z20" i="83" s="1"/>
  <c r="AA20" i="83" s="1"/>
  <c r="AB20" i="83" s="1"/>
  <c r="AC20" i="83" s="1"/>
  <c r="AD20" i="83" s="1"/>
  <c r="AE20" i="83" s="1"/>
  <c r="AF20" i="83" s="1"/>
  <c r="AG20" i="83" s="1"/>
  <c r="AH20" i="83" s="1"/>
  <c r="AI20" i="83" s="1"/>
  <c r="AJ20" i="83" s="1"/>
  <c r="AK20" i="83" s="1"/>
  <c r="AL20" i="83" s="1"/>
  <c r="AM20" i="83" s="1"/>
  <c r="AN20" i="83" s="1"/>
  <c r="AO20" i="83" s="1"/>
  <c r="AP20" i="83" s="1"/>
  <c r="AQ20" i="83" s="1"/>
  <c r="AR20" i="83" s="1"/>
  <c r="AS20" i="83" s="1"/>
  <c r="AT20" i="83" s="1"/>
  <c r="AU20" i="83" s="1"/>
  <c r="AV20" i="83" s="1"/>
  <c r="AW20" i="83" s="1"/>
  <c r="AX20" i="83" s="1"/>
  <c r="AY20" i="83" s="1"/>
  <c r="AZ20" i="83" s="1"/>
  <c r="BA20" i="83" s="1"/>
  <c r="BB20" i="83" s="1"/>
  <c r="BC20" i="83" s="1"/>
  <c r="BD20" i="83" s="1"/>
  <c r="BE20" i="83" s="1"/>
  <c r="BF20" i="83" s="1"/>
  <c r="BG20" i="83" s="1"/>
  <c r="BH20" i="83" s="1"/>
  <c r="BI20" i="83" s="1"/>
  <c r="BJ20" i="83" s="1"/>
  <c r="BK20" i="83" s="1"/>
  <c r="BL20" i="83" s="1"/>
  <c r="BM20" i="83" s="1"/>
  <c r="BN20" i="83" s="1"/>
  <c r="BO20" i="83" s="1"/>
  <c r="BP20" i="83" s="1"/>
  <c r="BQ20" i="83" s="1"/>
  <c r="BR20" i="83" s="1"/>
  <c r="BS20" i="83" s="1"/>
  <c r="BT20" i="83" s="1"/>
  <c r="BU20" i="83" s="1"/>
  <c r="BV20" i="83" s="1"/>
  <c r="BW20" i="83" s="1"/>
  <c r="BX20" i="83" s="1"/>
  <c r="BY20" i="83" s="1"/>
  <c r="G20" i="83"/>
  <c r="H20" i="83" s="1"/>
  <c r="I20" i="83" s="1"/>
  <c r="J20" i="83" s="1"/>
  <c r="B20" i="83"/>
  <c r="A20" i="83"/>
  <c r="D12" i="83"/>
  <c r="BC47" i="83" s="1"/>
  <c r="D11" i="83"/>
  <c r="G48" i="31"/>
  <c r="G49" i="31" s="1"/>
  <c r="J22" i="31"/>
  <c r="B7" i="56"/>
  <c r="A4" i="56"/>
  <c r="BE42" i="31"/>
  <c r="BC42" i="31"/>
  <c r="BA42" i="31"/>
  <c r="AZ42" i="31"/>
  <c r="AY42" i="31"/>
  <c r="AW42" i="31"/>
  <c r="AU42" i="31"/>
  <c r="AR22" i="31"/>
  <c r="AR23" i="31"/>
  <c r="AR24" i="31"/>
  <c r="AR25" i="31"/>
  <c r="AR27" i="31"/>
  <c r="AR30" i="31"/>
  <c r="AR32" i="31"/>
  <c r="AR36" i="31"/>
  <c r="AR38" i="31"/>
  <c r="AR40" i="31"/>
  <c r="AR37" i="31"/>
  <c r="AR39" i="31"/>
  <c r="AR41" i="31"/>
  <c r="AR46" i="31"/>
  <c r="AR44" i="31"/>
  <c r="AR45" i="31"/>
  <c r="AN44" i="31"/>
  <c r="AO38" i="31"/>
  <c r="AO39" i="31"/>
  <c r="AO40" i="31"/>
  <c r="AO41" i="31"/>
  <c r="AN37" i="31"/>
  <c r="AN36" i="31"/>
  <c r="J31" i="31"/>
  <c r="J30" i="31"/>
  <c r="J29" i="31"/>
  <c r="J28" i="31"/>
  <c r="J27" i="31"/>
  <c r="J26" i="31"/>
  <c r="J25" i="31"/>
  <c r="J24" i="31"/>
  <c r="J23" i="31"/>
  <c r="K31" i="31"/>
  <c r="K30" i="31"/>
  <c r="K29" i="31"/>
  <c r="K25" i="31"/>
  <c r="K24" i="31"/>
  <c r="K23" i="31"/>
  <c r="J44" i="31"/>
  <c r="K44" i="31"/>
  <c r="I45" i="31"/>
  <c r="I46" i="31" s="1"/>
  <c r="J46" i="31" s="1"/>
  <c r="P41" i="31"/>
  <c r="T41" i="31" s="1"/>
  <c r="V41" i="31" s="1"/>
  <c r="AB41" i="31" s="1"/>
  <c r="O40" i="31"/>
  <c r="P39" i="31"/>
  <c r="O38" i="31"/>
  <c r="M42" i="31"/>
  <c r="N42" i="31"/>
  <c r="K22" i="31"/>
  <c r="AT32" i="31"/>
  <c r="K32" i="31"/>
  <c r="H32" i="31"/>
  <c r="J32" i="31" s="1"/>
  <c r="J36" i="31"/>
  <c r="I37" i="31"/>
  <c r="J37" i="31" s="1"/>
  <c r="H37" i="31"/>
  <c r="I41" i="31"/>
  <c r="J41" i="31" s="1"/>
  <c r="A41" i="31"/>
  <c r="J40" i="31"/>
  <c r="J39" i="31"/>
  <c r="J38" i="31"/>
  <c r="G38" i="31"/>
  <c r="AN38" i="31" s="1"/>
  <c r="L20" i="32"/>
  <c r="O20" i="32"/>
  <c r="AO50" i="32"/>
  <c r="AP50" i="32" s="1"/>
  <c r="AO49" i="32"/>
  <c r="AP49" i="32" s="1"/>
  <c r="AO48" i="32"/>
  <c r="AP48" i="32" s="1"/>
  <c r="AO40" i="32"/>
  <c r="AP40" i="32" s="1"/>
  <c r="AO39" i="32"/>
  <c r="AP39" i="32" s="1"/>
  <c r="AO38" i="32"/>
  <c r="AP38" i="32" s="1"/>
  <c r="AP46" i="32" s="1"/>
  <c r="AO35" i="32"/>
  <c r="AO34" i="32"/>
  <c r="AP34" i="32" s="1"/>
  <c r="AO33" i="32"/>
  <c r="AP33" i="32" s="1"/>
  <c r="AO32" i="32"/>
  <c r="AP32" i="32" s="1"/>
  <c r="AO31" i="32"/>
  <c r="AO30" i="32"/>
  <c r="AP30" i="32" s="1"/>
  <c r="AO29" i="32"/>
  <c r="AP29" i="32" s="1"/>
  <c r="AO28" i="32"/>
  <c r="AO21" i="32"/>
  <c r="AO22" i="32"/>
  <c r="AP22" i="32" s="1"/>
  <c r="AO23" i="32"/>
  <c r="AP23" i="32" s="1"/>
  <c r="AO24" i="32"/>
  <c r="AO25" i="32"/>
  <c r="AP25" i="32" s="1"/>
  <c r="AO20" i="32"/>
  <c r="AP20" i="32" s="1"/>
  <c r="AP26" i="32" s="1"/>
  <c r="AR50" i="68"/>
  <c r="AR49" i="68"/>
  <c r="AR48" i="68"/>
  <c r="AO50" i="68"/>
  <c r="AO49" i="68"/>
  <c r="AP49" i="68" s="1"/>
  <c r="AO48" i="68"/>
  <c r="AR50" i="32"/>
  <c r="AR49" i="32"/>
  <c r="AS49" i="32" s="1"/>
  <c r="AR48" i="32"/>
  <c r="R17" i="87"/>
  <c r="L58" i="32"/>
  <c r="AT31" i="32"/>
  <c r="AU31" i="32" s="1"/>
  <c r="L53" i="32"/>
  <c r="J53" i="32" s="1"/>
  <c r="J20" i="32"/>
  <c r="AV31" i="68"/>
  <c r="AT31" i="68"/>
  <c r="G60" i="68"/>
  <c r="G61" i="68" s="1"/>
  <c r="L61" i="68" s="1"/>
  <c r="J61" i="68" s="1"/>
  <c r="L59" i="68"/>
  <c r="G58" i="68"/>
  <c r="L58" i="68" s="1"/>
  <c r="J58" i="68" s="1"/>
  <c r="G52" i="68"/>
  <c r="L52" i="68"/>
  <c r="L51" i="68"/>
  <c r="J51" i="68" s="1"/>
  <c r="G51" i="68"/>
  <c r="G50" i="68"/>
  <c r="L50" i="68"/>
  <c r="G48" i="68"/>
  <c r="AP48" i="68" s="1"/>
  <c r="L44" i="68"/>
  <c r="J44" i="68"/>
  <c r="G41" i="68"/>
  <c r="L41" i="68" s="1"/>
  <c r="G40" i="68"/>
  <c r="L40" i="68" s="1"/>
  <c r="J40" i="68" s="1"/>
  <c r="G38" i="68"/>
  <c r="G39" i="68" s="1"/>
  <c r="G30" i="68"/>
  <c r="G28" i="68"/>
  <c r="L28" i="68"/>
  <c r="J28" i="68" s="1"/>
  <c r="G22" i="68"/>
  <c r="G20" i="68"/>
  <c r="L20" i="68" s="1"/>
  <c r="AV31" i="32"/>
  <c r="L64" i="32"/>
  <c r="J64" i="32" s="1"/>
  <c r="L63" i="32"/>
  <c r="J63" i="32"/>
  <c r="L62" i="32"/>
  <c r="L61" i="32"/>
  <c r="J61" i="32"/>
  <c r="L60" i="32"/>
  <c r="J60" i="32" s="1"/>
  <c r="L59" i="32"/>
  <c r="J59" i="32"/>
  <c r="L55" i="32"/>
  <c r="J55" i="32" s="1"/>
  <c r="L54" i="32"/>
  <c r="J54" i="32" s="1"/>
  <c r="L52" i="32"/>
  <c r="L51" i="32"/>
  <c r="J51" i="32" s="1"/>
  <c r="L50" i="32"/>
  <c r="J50" i="32" s="1"/>
  <c r="L49" i="32"/>
  <c r="J49" i="32" s="1"/>
  <c r="L48" i="32"/>
  <c r="L45" i="32"/>
  <c r="P45" i="32" s="1"/>
  <c r="L44" i="32"/>
  <c r="J44" i="32" s="1"/>
  <c r="L43" i="32"/>
  <c r="L42" i="32"/>
  <c r="J42" i="32" s="1"/>
  <c r="L41" i="32"/>
  <c r="J41" i="32"/>
  <c r="L40" i="32"/>
  <c r="L39" i="32"/>
  <c r="L38" i="32"/>
  <c r="O38" i="32" s="1"/>
  <c r="L35" i="32"/>
  <c r="J35" i="32" s="1"/>
  <c r="L34" i="32"/>
  <c r="J34" i="32" s="1"/>
  <c r="L33" i="32"/>
  <c r="J33" i="32" s="1"/>
  <c r="L32" i="32"/>
  <c r="J32" i="32"/>
  <c r="L31" i="32"/>
  <c r="J31" i="32" s="1"/>
  <c r="L30" i="32"/>
  <c r="J30" i="32"/>
  <c r="L29" i="32"/>
  <c r="J29" i="32" s="1"/>
  <c r="L28" i="32"/>
  <c r="L25" i="32"/>
  <c r="J25" i="32" s="1"/>
  <c r="L24" i="32"/>
  <c r="J24" i="32" s="1"/>
  <c r="L23" i="32"/>
  <c r="L22" i="32"/>
  <c r="J22" i="32" s="1"/>
  <c r="L21" i="32"/>
  <c r="J21" i="32" s="1"/>
  <c r="J20" i="68"/>
  <c r="L60" i="68"/>
  <c r="G32" i="68"/>
  <c r="L32" i="68" s="1"/>
  <c r="J32" i="68" s="1"/>
  <c r="G21" i="68"/>
  <c r="L21" i="68" s="1"/>
  <c r="G25" i="68"/>
  <c r="G29" i="68"/>
  <c r="L29" i="68" s="1"/>
  <c r="L49" i="68"/>
  <c r="J49" i="68"/>
  <c r="AR20" i="68"/>
  <c r="AR40" i="68" s="1"/>
  <c r="AR40" i="32"/>
  <c r="AR39" i="32"/>
  <c r="AR38" i="32"/>
  <c r="AR35" i="32"/>
  <c r="AR34" i="32"/>
  <c r="AR33" i="32"/>
  <c r="AR32" i="32"/>
  <c r="AR31" i="32"/>
  <c r="AR30" i="32"/>
  <c r="AR29" i="32"/>
  <c r="AR28" i="32"/>
  <c r="AR25" i="32"/>
  <c r="AR21" i="32"/>
  <c r="AR22" i="32"/>
  <c r="AR23" i="32"/>
  <c r="AR20" i="32"/>
  <c r="BM65" i="68"/>
  <c r="BH65" i="68"/>
  <c r="BG65" i="68"/>
  <c r="BE65" i="68"/>
  <c r="BC65" i="68"/>
  <c r="BA65" i="68"/>
  <c r="AY65" i="68"/>
  <c r="AS65" i="68"/>
  <c r="AP65" i="68"/>
  <c r="N65" i="68"/>
  <c r="M65" i="68"/>
  <c r="O64" i="68"/>
  <c r="O63" i="68"/>
  <c r="O62" i="68"/>
  <c r="P61" i="68"/>
  <c r="O61" i="68"/>
  <c r="O60" i="68"/>
  <c r="O59" i="68"/>
  <c r="U59" i="68"/>
  <c r="AA59" i="68" s="1"/>
  <c r="O58" i="68"/>
  <c r="U58" i="68" s="1"/>
  <c r="AA58" i="68" s="1"/>
  <c r="BM56" i="68"/>
  <c r="BG56" i="68"/>
  <c r="BE56" i="68"/>
  <c r="BC56" i="68"/>
  <c r="AY56" i="68"/>
  <c r="N56" i="68"/>
  <c r="M56" i="68"/>
  <c r="O55" i="68"/>
  <c r="W55" i="68" s="1"/>
  <c r="O54" i="68"/>
  <c r="W54" i="68"/>
  <c r="O53" i="68"/>
  <c r="O52" i="68"/>
  <c r="U52" i="68" s="1"/>
  <c r="AA52" i="68" s="1"/>
  <c r="O51" i="68"/>
  <c r="P51" i="68"/>
  <c r="O50" i="68"/>
  <c r="W50" i="68" s="1"/>
  <c r="O49" i="68"/>
  <c r="W49" i="68"/>
  <c r="A49" i="68"/>
  <c r="A50" i="68" s="1"/>
  <c r="A51" i="68" s="1"/>
  <c r="A52" i="68" s="1"/>
  <c r="O48" i="68"/>
  <c r="N46" i="68"/>
  <c r="M46" i="68"/>
  <c r="O45" i="68"/>
  <c r="O44" i="68"/>
  <c r="U44" i="68"/>
  <c r="Y44" i="68" s="1"/>
  <c r="O43" i="68"/>
  <c r="O42" i="68"/>
  <c r="U42" i="68"/>
  <c r="AA42" i="68" s="1"/>
  <c r="O41" i="68"/>
  <c r="U41" i="68" s="1"/>
  <c r="AA41" i="68" s="1"/>
  <c r="BF40" i="68"/>
  <c r="AO40" i="68"/>
  <c r="AP40" i="68" s="1"/>
  <c r="AS40" i="68" s="1"/>
  <c r="P40" i="68"/>
  <c r="BM40" i="68"/>
  <c r="BE40" i="68" s="1"/>
  <c r="BF39" i="68"/>
  <c r="AO39" i="68"/>
  <c r="P39" i="68"/>
  <c r="V39" i="68" s="1"/>
  <c r="AB39" i="68" s="1"/>
  <c r="BF38" i="68"/>
  <c r="AO38" i="68"/>
  <c r="AP38" i="68" s="1"/>
  <c r="P38" i="68"/>
  <c r="X38" i="68" s="1"/>
  <c r="N36" i="68"/>
  <c r="M36" i="68"/>
  <c r="BF35" i="68"/>
  <c r="AO35" i="68"/>
  <c r="AP35" i="68" s="1"/>
  <c r="BF34" i="68"/>
  <c r="AO34" i="68"/>
  <c r="AP34" i="68" s="1"/>
  <c r="BF33" i="68"/>
  <c r="AO33" i="68"/>
  <c r="AP33" i="68" s="1"/>
  <c r="P33" i="68"/>
  <c r="V33" i="68" s="1"/>
  <c r="BF32" i="68"/>
  <c r="AO32" i="68"/>
  <c r="AP32" i="68" s="1"/>
  <c r="P32" i="68"/>
  <c r="V32" i="68" s="1"/>
  <c r="AB32" i="68" s="1"/>
  <c r="BF31" i="68"/>
  <c r="AO31" i="68"/>
  <c r="P31" i="68"/>
  <c r="BF30" i="68"/>
  <c r="AO30" i="68"/>
  <c r="P30" i="68"/>
  <c r="BH29" i="68"/>
  <c r="BF29" i="68"/>
  <c r="AO29" i="68"/>
  <c r="AP29" i="68" s="1"/>
  <c r="P29" i="68"/>
  <c r="BF28" i="68"/>
  <c r="AO28" i="68"/>
  <c r="AP28" i="68" s="1"/>
  <c r="P28" i="68"/>
  <c r="A28" i="68"/>
  <c r="A29" i="68" s="1"/>
  <c r="A30" i="68" s="1"/>
  <c r="A31" i="68" s="1"/>
  <c r="A32" i="68" s="1"/>
  <c r="N26" i="68"/>
  <c r="M26" i="68"/>
  <c r="BF25" i="68"/>
  <c r="AO25" i="68"/>
  <c r="P25" i="68"/>
  <c r="X25" i="68"/>
  <c r="AO24" i="68"/>
  <c r="BF23" i="68"/>
  <c r="AO23" i="68"/>
  <c r="BF22" i="68"/>
  <c r="AO22" i="68"/>
  <c r="AP22" i="68" s="1"/>
  <c r="P22" i="68"/>
  <c r="X22" i="68"/>
  <c r="BF21" i="68"/>
  <c r="AO21" i="68"/>
  <c r="AP21" i="68" s="1"/>
  <c r="P21" i="68"/>
  <c r="V21" i="68" s="1"/>
  <c r="AB21" i="68" s="1"/>
  <c r="A21" i="68"/>
  <c r="A22" i="68" s="1"/>
  <c r="A23" i="68" s="1"/>
  <c r="A24" i="68" s="1"/>
  <c r="A25" i="68" s="1"/>
  <c r="BF20" i="68"/>
  <c r="AO20" i="68"/>
  <c r="AP20" i="68" s="1"/>
  <c r="P20" i="68"/>
  <c r="BH20" i="68"/>
  <c r="G18" i="68"/>
  <c r="H18" i="68" s="1"/>
  <c r="I18" i="68" s="1"/>
  <c r="J18" i="68" s="1"/>
  <c r="K18" i="68" s="1"/>
  <c r="L18" i="68" s="1"/>
  <c r="M18" i="68" s="1"/>
  <c r="N18" i="68" s="1"/>
  <c r="O18" i="68" s="1"/>
  <c r="P18" i="68" s="1"/>
  <c r="Q18" i="68" s="1"/>
  <c r="R18" i="68" s="1"/>
  <c r="S18" i="68" s="1"/>
  <c r="T18" i="68" s="1"/>
  <c r="U18" i="68" s="1"/>
  <c r="V18" i="68" s="1"/>
  <c r="W18" i="68" s="1"/>
  <c r="X18" i="68" s="1"/>
  <c r="Y18" i="68" s="1"/>
  <c r="Z18" i="68" s="1"/>
  <c r="AA18" i="68" s="1"/>
  <c r="AB18" i="68" s="1"/>
  <c r="AC18" i="68" s="1"/>
  <c r="AD18" i="68" s="1"/>
  <c r="AE18" i="68" s="1"/>
  <c r="AF18" i="68" s="1"/>
  <c r="AG18" i="68" s="1"/>
  <c r="AH18" i="68" s="1"/>
  <c r="AI18" i="68" s="1"/>
  <c r="AJ18" i="68" s="1"/>
  <c r="AK18" i="68" s="1"/>
  <c r="AL18" i="68" s="1"/>
  <c r="AM18" i="68" s="1"/>
  <c r="AN18" i="68" s="1"/>
  <c r="AO18" i="68" s="1"/>
  <c r="AP18" i="68" s="1"/>
  <c r="AQ18" i="68" s="1"/>
  <c r="AR18" i="68" s="1"/>
  <c r="AS18" i="68" s="1"/>
  <c r="AT18" i="68" s="1"/>
  <c r="AU18" i="68" s="1"/>
  <c r="AV18" i="68" s="1"/>
  <c r="AW18" i="68" s="1"/>
  <c r="AX18" i="68" s="1"/>
  <c r="AY18" i="68" s="1"/>
  <c r="AZ18" i="68" s="1"/>
  <c r="BA18" i="68" s="1"/>
  <c r="BB18" i="68" s="1"/>
  <c r="BC18" i="68" s="1"/>
  <c r="BD18" i="68" s="1"/>
  <c r="BE18" i="68" s="1"/>
  <c r="BF18" i="68" s="1"/>
  <c r="BG18" i="68" s="1"/>
  <c r="BH18" i="68" s="1"/>
  <c r="BI18" i="68" s="1"/>
  <c r="BJ18" i="68" s="1"/>
  <c r="BK18" i="68" s="1"/>
  <c r="BL18" i="68" s="1"/>
  <c r="BM18" i="68" s="1"/>
  <c r="B18" i="68"/>
  <c r="A18" i="68"/>
  <c r="H11" i="68"/>
  <c r="H10" i="68"/>
  <c r="L53" i="68"/>
  <c r="H9" i="68"/>
  <c r="L45" i="68"/>
  <c r="J45" i="68" s="1"/>
  <c r="H8" i="68"/>
  <c r="L34" i="68"/>
  <c r="H7" i="68"/>
  <c r="G24" i="68" s="1"/>
  <c r="L24" i="68" s="1"/>
  <c r="U54" i="68"/>
  <c r="Y54" i="68" s="1"/>
  <c r="X21" i="68"/>
  <c r="O20" i="68"/>
  <c r="BC40" i="68"/>
  <c r="BM20" i="68"/>
  <c r="X33" i="68"/>
  <c r="W48" i="68"/>
  <c r="U49" i="68"/>
  <c r="AA49" i="68" s="1"/>
  <c r="O40" i="68"/>
  <c r="P58" i="68"/>
  <c r="BH40" i="68"/>
  <c r="U48" i="68"/>
  <c r="Y48" i="68" s="1"/>
  <c r="W52" i="68"/>
  <c r="W60" i="68"/>
  <c r="U60" i="68"/>
  <c r="Y60" i="68" s="1"/>
  <c r="P49" i="68"/>
  <c r="BK49" i="68" s="1"/>
  <c r="W51" i="68"/>
  <c r="W59" i="68"/>
  <c r="U55" i="68"/>
  <c r="Y55" i="68" s="1"/>
  <c r="BF40" i="32"/>
  <c r="BF39" i="32"/>
  <c r="BF38" i="32"/>
  <c r="BF35" i="32"/>
  <c r="BF34" i="32"/>
  <c r="BF33" i="32"/>
  <c r="BF32" i="32"/>
  <c r="BF31" i="32"/>
  <c r="BF30" i="32"/>
  <c r="BF29" i="32"/>
  <c r="BF28" i="32"/>
  <c r="BG28" i="32" s="1"/>
  <c r="BF25" i="32"/>
  <c r="BF23" i="32"/>
  <c r="BF22" i="32"/>
  <c r="BF21" i="32"/>
  <c r="BF20" i="32"/>
  <c r="BR45" i="31"/>
  <c r="BR44" i="31"/>
  <c r="BR32" i="31"/>
  <c r="BR30" i="31"/>
  <c r="BR27" i="31"/>
  <c r="BR25" i="31"/>
  <c r="BR23" i="31"/>
  <c r="BR24" i="31"/>
  <c r="BR22" i="31"/>
  <c r="BG48" i="31"/>
  <c r="P44" i="31"/>
  <c r="X44" i="31"/>
  <c r="O36" i="31"/>
  <c r="V44" i="31"/>
  <c r="Z44" i="31" s="1"/>
  <c r="AO44" i="31"/>
  <c r="AP44" i="31" s="1"/>
  <c r="G24" i="31"/>
  <c r="L24" i="31" s="1"/>
  <c r="P24" i="31"/>
  <c r="G22" i="31"/>
  <c r="L22" i="31" s="1"/>
  <c r="AO24" i="31"/>
  <c r="A23" i="31"/>
  <c r="A24" i="31" s="1"/>
  <c r="A25" i="31" s="1"/>
  <c r="A26" i="31" s="1"/>
  <c r="A27" i="31" s="1"/>
  <c r="A28" i="31" s="1"/>
  <c r="A29" i="31" s="1"/>
  <c r="P23" i="31"/>
  <c r="V23" i="31" s="1"/>
  <c r="AB23" i="31" s="1"/>
  <c r="AO23" i="31"/>
  <c r="P22" i="31"/>
  <c r="AO22" i="31"/>
  <c r="AP22" i="31" s="1"/>
  <c r="BH35" i="87"/>
  <c r="D12" i="31"/>
  <c r="G25" i="31"/>
  <c r="L25" i="31" s="1"/>
  <c r="G32" i="31"/>
  <c r="L32" i="31" s="1"/>
  <c r="A30" i="31"/>
  <c r="A31" i="31" s="1"/>
  <c r="A32" i="31" s="1"/>
  <c r="AP21" i="32"/>
  <c r="AS21" i="32" s="1"/>
  <c r="AP28" i="32"/>
  <c r="H8" i="32"/>
  <c r="AS65" i="32"/>
  <c r="O21" i="32"/>
  <c r="BK21" i="32" s="1"/>
  <c r="O25" i="32"/>
  <c r="O28" i="32"/>
  <c r="O29" i="32"/>
  <c r="O32" i="32"/>
  <c r="O39" i="32"/>
  <c r="O40" i="32"/>
  <c r="H7" i="32"/>
  <c r="O41" i="32"/>
  <c r="O42" i="32"/>
  <c r="O43" i="32"/>
  <c r="W43" i="32" s="1"/>
  <c r="O44" i="32"/>
  <c r="O45" i="32"/>
  <c r="BK45" i="32" s="1"/>
  <c r="O49" i="32"/>
  <c r="O50" i="32"/>
  <c r="BK50" i="32" s="1"/>
  <c r="O51" i="32"/>
  <c r="O52" i="32"/>
  <c r="O53" i="32"/>
  <c r="O54" i="32"/>
  <c r="O55" i="32"/>
  <c r="O58" i="32"/>
  <c r="O59" i="32"/>
  <c r="O60" i="32"/>
  <c r="O61" i="32"/>
  <c r="W61" i="32" s="1"/>
  <c r="O62" i="32"/>
  <c r="W62" i="32" s="1"/>
  <c r="O63" i="32"/>
  <c r="O64" i="32"/>
  <c r="P41" i="32"/>
  <c r="P42" i="32"/>
  <c r="H9" i="32"/>
  <c r="P44" i="32"/>
  <c r="P48" i="32"/>
  <c r="T48" i="32" s="1"/>
  <c r="V48" i="32" s="1"/>
  <c r="P51" i="32"/>
  <c r="H10" i="32"/>
  <c r="P59" i="32"/>
  <c r="BK59" i="32" s="1"/>
  <c r="P61" i="32"/>
  <c r="P60" i="32"/>
  <c r="H11" i="32"/>
  <c r="AX20" i="32"/>
  <c r="AY20" i="32" s="1"/>
  <c r="AX28" i="32"/>
  <c r="AY28" i="32" s="1"/>
  <c r="AX32" i="32"/>
  <c r="AY32" i="32" s="1"/>
  <c r="AX35" i="32"/>
  <c r="AY35" i="32" s="1"/>
  <c r="AX40" i="32"/>
  <c r="AY40" i="32" s="1"/>
  <c r="AY56" i="32"/>
  <c r="AY65" i="32"/>
  <c r="BA65" i="32"/>
  <c r="BM21" i="32"/>
  <c r="BM25" i="32"/>
  <c r="BG25" i="32" s="1"/>
  <c r="BH21" i="32"/>
  <c r="BH25" i="32"/>
  <c r="BM28" i="32"/>
  <c r="BE28" i="32" s="1"/>
  <c r="BM29" i="32"/>
  <c r="BE29" i="32" s="1"/>
  <c r="BC29" i="32"/>
  <c r="BM32" i="32"/>
  <c r="BH28" i="32"/>
  <c r="BH29" i="32"/>
  <c r="BH32" i="32"/>
  <c r="BM38" i="32"/>
  <c r="BC38" i="32"/>
  <c r="BE38" i="32"/>
  <c r="BM39" i="32"/>
  <c r="BM40" i="32"/>
  <c r="BC40" i="32"/>
  <c r="BG38" i="32"/>
  <c r="BH38" i="32"/>
  <c r="BH39" i="32"/>
  <c r="BH40" i="32"/>
  <c r="BC56" i="32"/>
  <c r="BE56" i="32"/>
  <c r="BG56" i="32"/>
  <c r="BC65" i="32"/>
  <c r="BE65" i="32"/>
  <c r="BG65" i="32"/>
  <c r="BH65" i="32"/>
  <c r="AO46" i="31"/>
  <c r="AO45" i="31"/>
  <c r="AO37" i="31"/>
  <c r="AP37" i="31" s="1"/>
  <c r="AO36" i="31"/>
  <c r="AP36" i="31" s="1"/>
  <c r="AS36" i="31" s="1"/>
  <c r="AO32" i="31"/>
  <c r="AP32" i="31" s="1"/>
  <c r="AO30" i="31"/>
  <c r="AP30" i="31" s="1"/>
  <c r="AS30" i="31" s="1"/>
  <c r="AO27" i="31"/>
  <c r="AO25" i="31"/>
  <c r="O47" i="31"/>
  <c r="O48" i="31"/>
  <c r="O49" i="31"/>
  <c r="BC47" i="31"/>
  <c r="AW50" i="31"/>
  <c r="AZ32" i="31"/>
  <c r="BA32" i="31" s="1"/>
  <c r="BA34" i="31" s="1"/>
  <c r="BA51" i="31" s="1"/>
  <c r="B14" i="56" s="1"/>
  <c r="C14" i="56" s="1"/>
  <c r="BA50" i="31"/>
  <c r="BI27" i="31"/>
  <c r="BM46" i="31"/>
  <c r="BM50" i="31" s="1"/>
  <c r="BM51" i="31" s="1"/>
  <c r="B20" i="56" s="1"/>
  <c r="C20" i="56" s="1"/>
  <c r="AP25" i="31"/>
  <c r="AS25" i="31" s="1"/>
  <c r="B26" i="56"/>
  <c r="BE34" i="31"/>
  <c r="BE47" i="31"/>
  <c r="BE50" i="31" s="1"/>
  <c r="P20" i="32"/>
  <c r="P21" i="32"/>
  <c r="P22" i="32"/>
  <c r="P25" i="32"/>
  <c r="P28" i="32"/>
  <c r="P29" i="32"/>
  <c r="P30" i="32"/>
  <c r="P31" i="32"/>
  <c r="P32" i="32"/>
  <c r="P33" i="32"/>
  <c r="P38" i="32"/>
  <c r="P39" i="32"/>
  <c r="P40" i="32"/>
  <c r="BK51" i="32"/>
  <c r="BK41" i="32"/>
  <c r="BK38" i="32"/>
  <c r="BK25" i="32"/>
  <c r="P46" i="31"/>
  <c r="P45" i="31"/>
  <c r="P25" i="31"/>
  <c r="V25" i="31" s="1"/>
  <c r="G18" i="32"/>
  <c r="H18" i="32" s="1"/>
  <c r="I18" i="32" s="1"/>
  <c r="J18" i="32" s="1"/>
  <c r="K18" i="32" s="1"/>
  <c r="L18" i="32" s="1"/>
  <c r="M18" i="32" s="1"/>
  <c r="N18" i="32" s="1"/>
  <c r="O18" i="32" s="1"/>
  <c r="P18" i="32" s="1"/>
  <c r="Q18" i="32" s="1"/>
  <c r="R18" i="32" s="1"/>
  <c r="S18" i="32" s="1"/>
  <c r="T18" i="32" s="1"/>
  <c r="U18" i="32" s="1"/>
  <c r="V18" i="32" s="1"/>
  <c r="W18" i="32" s="1"/>
  <c r="X18" i="32" s="1"/>
  <c r="Y18" i="32" s="1"/>
  <c r="Z18" i="32" s="1"/>
  <c r="AA18" i="32" s="1"/>
  <c r="AB18" i="32" s="1"/>
  <c r="AC18" i="32" s="1"/>
  <c r="AD18" i="32" s="1"/>
  <c r="AE18" i="32" s="1"/>
  <c r="AF18" i="32" s="1"/>
  <c r="AG18" i="32" s="1"/>
  <c r="AH18" i="32" s="1"/>
  <c r="AI18" i="32" s="1"/>
  <c r="AJ18" i="32" s="1"/>
  <c r="AK18" i="32" s="1"/>
  <c r="AL18" i="32" s="1"/>
  <c r="AM18" i="32" s="1"/>
  <c r="AN18" i="32" s="1"/>
  <c r="AO18" i="32" s="1"/>
  <c r="AP18" i="32" s="1"/>
  <c r="AQ18" i="32" s="1"/>
  <c r="AR18" i="32" s="1"/>
  <c r="AS18" i="32" s="1"/>
  <c r="AT18" i="32" s="1"/>
  <c r="AU18" i="32" s="1"/>
  <c r="AV18" i="32" s="1"/>
  <c r="AW18" i="32" s="1"/>
  <c r="AX18" i="32" s="1"/>
  <c r="AY18" i="32" s="1"/>
  <c r="AZ18" i="32" s="1"/>
  <c r="BA18" i="32" s="1"/>
  <c r="BB18" i="32" s="1"/>
  <c r="BC18" i="32" s="1"/>
  <c r="BD18" i="32" s="1"/>
  <c r="BE18" i="32" s="1"/>
  <c r="BF18" i="32" s="1"/>
  <c r="BG18" i="32" s="1"/>
  <c r="BH18" i="32" s="1"/>
  <c r="BI18" i="32" s="1"/>
  <c r="BJ18" i="32" s="1"/>
  <c r="BK18" i="32" s="1"/>
  <c r="BL18" i="32" s="1"/>
  <c r="BM18" i="32" s="1"/>
  <c r="B29" i="56"/>
  <c r="G20" i="31"/>
  <c r="H20" i="31" s="1"/>
  <c r="I20" i="31" s="1"/>
  <c r="J20" i="31" s="1"/>
  <c r="K20" i="31" s="1"/>
  <c r="L20" i="31" s="1"/>
  <c r="M20" i="31" s="1"/>
  <c r="N20" i="31" s="1"/>
  <c r="O20" i="31" s="1"/>
  <c r="P20" i="31" s="1"/>
  <c r="Q20" i="31" s="1"/>
  <c r="R20" i="31" s="1"/>
  <c r="S20" i="31" s="1"/>
  <c r="T20" i="31" s="1"/>
  <c r="U20" i="31" s="1"/>
  <c r="V20" i="31" s="1"/>
  <c r="W20" i="31" s="1"/>
  <c r="X20" i="31" s="1"/>
  <c r="Y20" i="31" s="1"/>
  <c r="Z20" i="31" s="1"/>
  <c r="AA20" i="31" s="1"/>
  <c r="AB20" i="31" s="1"/>
  <c r="AC20" i="31" s="1"/>
  <c r="AD20" i="31" s="1"/>
  <c r="AE20" i="31" s="1"/>
  <c r="AF20" i="31" s="1"/>
  <c r="AG20" i="31" s="1"/>
  <c r="AH20" i="31" s="1"/>
  <c r="AI20" i="31" s="1"/>
  <c r="AJ20" i="31" s="1"/>
  <c r="AK20" i="31" s="1"/>
  <c r="AL20" i="31" s="1"/>
  <c r="AM20" i="31" s="1"/>
  <c r="AN20" i="31" s="1"/>
  <c r="AO20" i="31" s="1"/>
  <c r="AP20" i="31" s="1"/>
  <c r="AQ20" i="31" s="1"/>
  <c r="AR20" i="31" s="1"/>
  <c r="AS20" i="31" s="1"/>
  <c r="AT20" i="31" s="1"/>
  <c r="AU20" i="31" s="1"/>
  <c r="AV20" i="31" s="1"/>
  <c r="AW20" i="31" s="1"/>
  <c r="AX20" i="31" s="1"/>
  <c r="AY20" i="31" s="1"/>
  <c r="AZ20" i="31" s="1"/>
  <c r="BA20" i="31" s="1"/>
  <c r="BB20" i="31" s="1"/>
  <c r="BC20" i="31" s="1"/>
  <c r="BD20" i="31" s="1"/>
  <c r="BE20" i="31" s="1"/>
  <c r="BF20" i="31" s="1"/>
  <c r="BG20" i="31" s="1"/>
  <c r="BH20" i="31" s="1"/>
  <c r="BI20" i="31" s="1"/>
  <c r="BJ20" i="31" s="1"/>
  <c r="BK20" i="31" s="1"/>
  <c r="BL20" i="31" s="1"/>
  <c r="BM20" i="31" s="1"/>
  <c r="BN20" i="31" s="1"/>
  <c r="BO20" i="31" s="1"/>
  <c r="BP20" i="31" s="1"/>
  <c r="BQ20" i="31" s="1"/>
  <c r="BR20" i="31" s="1"/>
  <c r="BS20" i="31" s="1"/>
  <c r="BT20" i="31" s="1"/>
  <c r="BU20" i="31" s="1"/>
  <c r="BV20" i="31" s="1"/>
  <c r="BW20" i="31" s="1"/>
  <c r="BX20" i="31" s="1"/>
  <c r="BY20" i="31" s="1"/>
  <c r="AZ28" i="32"/>
  <c r="BA28" i="32" s="1"/>
  <c r="AZ31" i="32"/>
  <c r="BA31" i="32" s="1"/>
  <c r="AZ23" i="32"/>
  <c r="BA23" i="32" s="1"/>
  <c r="BK44" i="31"/>
  <c r="BH34" i="87"/>
  <c r="BH32" i="87"/>
  <c r="BH31" i="87"/>
  <c r="BH30" i="87"/>
  <c r="BI30" i="87" s="1"/>
  <c r="D11" i="31"/>
  <c r="B8" i="56"/>
  <c r="B9" i="56" s="1"/>
  <c r="M26" i="32"/>
  <c r="M36" i="32"/>
  <c r="M46" i="32"/>
  <c r="M56" i="32"/>
  <c r="M65" i="32"/>
  <c r="N26" i="32"/>
  <c r="N36" i="32"/>
  <c r="N46" i="32"/>
  <c r="N56" i="32"/>
  <c r="N65" i="32"/>
  <c r="AP65" i="32"/>
  <c r="BM46" i="32"/>
  <c r="BM56" i="32"/>
  <c r="BM65" i="32"/>
  <c r="C29" i="56"/>
  <c r="C26" i="56"/>
  <c r="M34" i="31"/>
  <c r="M50" i="31"/>
  <c r="N34" i="31"/>
  <c r="N50" i="31"/>
  <c r="AU50" i="31"/>
  <c r="AY50" i="31"/>
  <c r="BC34" i="31"/>
  <c r="A18" i="32"/>
  <c r="B18" i="32"/>
  <c r="A21" i="32"/>
  <c r="A22" i="32" s="1"/>
  <c r="A23" i="32" s="1"/>
  <c r="A24" i="32" s="1"/>
  <c r="A25" i="32" s="1"/>
  <c r="A28" i="32"/>
  <c r="A29" i="32"/>
  <c r="A30" i="32" s="1"/>
  <c r="A31" i="32" s="1"/>
  <c r="A32" i="32" s="1"/>
  <c r="A49" i="32"/>
  <c r="A50" i="32" s="1"/>
  <c r="A51" i="32" s="1"/>
  <c r="A52" i="32" s="1"/>
  <c r="A20" i="31"/>
  <c r="B20" i="31"/>
  <c r="A37" i="31"/>
  <c r="A46" i="31"/>
  <c r="A47" i="31" s="1"/>
  <c r="BK27" i="31"/>
  <c r="BK45" i="31"/>
  <c r="BK30" i="31"/>
  <c r="BL30" i="31" s="1"/>
  <c r="BK22" i="31"/>
  <c r="BL22" i="31" s="1"/>
  <c r="BK46" i="31"/>
  <c r="V46" i="31"/>
  <c r="AB46" i="31" s="1"/>
  <c r="X46" i="31"/>
  <c r="BK25" i="31"/>
  <c r="BK37" i="31"/>
  <c r="BI37" i="31"/>
  <c r="BI46" i="31"/>
  <c r="BK36" i="31"/>
  <c r="V45" i="31"/>
  <c r="AB45" i="31" s="1"/>
  <c r="X45" i="31"/>
  <c r="V40" i="32"/>
  <c r="AB40" i="32" s="1"/>
  <c r="X40" i="32"/>
  <c r="V30" i="32"/>
  <c r="AB30" i="32" s="1"/>
  <c r="X30" i="32"/>
  <c r="X20" i="32"/>
  <c r="V20" i="32"/>
  <c r="V39" i="32"/>
  <c r="Z39" i="32" s="1"/>
  <c r="X39" i="32"/>
  <c r="V33" i="32"/>
  <c r="AB33" i="32" s="1"/>
  <c r="V25" i="32"/>
  <c r="X25" i="32"/>
  <c r="V38" i="32"/>
  <c r="AB38" i="32" s="1"/>
  <c r="X38" i="32"/>
  <c r="X32" i="32"/>
  <c r="V32" i="32"/>
  <c r="AB32" i="32" s="1"/>
  <c r="V28" i="32"/>
  <c r="AB28" i="32" s="1"/>
  <c r="X28" i="32"/>
  <c r="V22" i="32"/>
  <c r="AB22" i="32" s="1"/>
  <c r="X22" i="32"/>
  <c r="X31" i="32"/>
  <c r="V31" i="32"/>
  <c r="AB31" i="32" s="1"/>
  <c r="X21" i="32"/>
  <c r="U49" i="31"/>
  <c r="Y49" i="31" s="1"/>
  <c r="W49" i="31"/>
  <c r="O30" i="32"/>
  <c r="BH30" i="32"/>
  <c r="BM30" i="32"/>
  <c r="BK20" i="32"/>
  <c r="BM20" i="32"/>
  <c r="BH20" i="32"/>
  <c r="U48" i="31"/>
  <c r="AA48" i="31" s="1"/>
  <c r="W48" i="31"/>
  <c r="BH50" i="32"/>
  <c r="P50" i="32"/>
  <c r="BG40" i="32"/>
  <c r="BE40" i="32"/>
  <c r="BE46" i="32" s="1"/>
  <c r="U52" i="32"/>
  <c r="AA52" i="32" s="1"/>
  <c r="W52" i="32"/>
  <c r="U43" i="32"/>
  <c r="AA43" i="32" s="1"/>
  <c r="BG29" i="32"/>
  <c r="BC25" i="32"/>
  <c r="U55" i="32"/>
  <c r="AA55" i="32" s="1"/>
  <c r="W55" i="32"/>
  <c r="U51" i="32"/>
  <c r="AA51" i="32" s="1"/>
  <c r="W51" i="32"/>
  <c r="U42" i="32"/>
  <c r="W42" i="32"/>
  <c r="W63" i="32"/>
  <c r="U63" i="32"/>
  <c r="AA63" i="32" s="1"/>
  <c r="W59" i="32"/>
  <c r="U59" i="32"/>
  <c r="AA59" i="32" s="1"/>
  <c r="U54" i="32"/>
  <c r="W45" i="32"/>
  <c r="U45" i="32"/>
  <c r="AA45" i="32" s="1"/>
  <c r="U41" i="32"/>
  <c r="Y41" i="32" s="1"/>
  <c r="W41" i="32"/>
  <c r="AU32" i="31"/>
  <c r="G26" i="31" s="1"/>
  <c r="AU34" i="31"/>
  <c r="AU51" i="31" s="1"/>
  <c r="AY32" i="31"/>
  <c r="U62" i="32"/>
  <c r="AA62" i="32" s="1"/>
  <c r="U58" i="32"/>
  <c r="AA58" i="32" s="1"/>
  <c r="W58" i="32"/>
  <c r="W53" i="32"/>
  <c r="U53" i="32"/>
  <c r="W44" i="32"/>
  <c r="BI44" i="31"/>
  <c r="BJ44" i="31" s="1"/>
  <c r="BI24" i="31"/>
  <c r="X24" i="31"/>
  <c r="AP24" i="31"/>
  <c r="AB44" i="31"/>
  <c r="O24" i="31"/>
  <c r="BW24" i="31" s="1"/>
  <c r="BY24" i="31"/>
  <c r="BT24" i="31"/>
  <c r="O22" i="32"/>
  <c r="BM22" i="32"/>
  <c r="BH22" i="32"/>
  <c r="AA49" i="31"/>
  <c r="P32" i="31"/>
  <c r="BK30" i="32"/>
  <c r="G29" i="31"/>
  <c r="L29" i="31" s="1"/>
  <c r="AY34" i="31"/>
  <c r="AP31" i="32"/>
  <c r="BC30" i="32"/>
  <c r="BH23" i="32"/>
  <c r="BM31" i="32"/>
  <c r="BH31" i="32"/>
  <c r="O31" i="32"/>
  <c r="BK31" i="32" s="1"/>
  <c r="G30" i="31"/>
  <c r="L30" i="31" s="1"/>
  <c r="P29" i="31"/>
  <c r="BK22" i="32"/>
  <c r="BG31" i="32"/>
  <c r="BC31" i="32"/>
  <c r="BE31" i="32"/>
  <c r="O29" i="31"/>
  <c r="G31" i="31"/>
  <c r="L31" i="31" s="1"/>
  <c r="P30" i="31"/>
  <c r="O30" i="31"/>
  <c r="BY30" i="31"/>
  <c r="BT30" i="31"/>
  <c r="BW30" i="31"/>
  <c r="P24" i="32"/>
  <c r="BH28" i="68"/>
  <c r="BM28" i="68"/>
  <c r="O28" i="68"/>
  <c r="BK28" i="68" s="1"/>
  <c r="BK20" i="68"/>
  <c r="BK58" i="68"/>
  <c r="BE20" i="68"/>
  <c r="BC20" i="68"/>
  <c r="BG20" i="68"/>
  <c r="P62" i="32"/>
  <c r="BK62" i="32" s="1"/>
  <c r="P53" i="32"/>
  <c r="BK53" i="32" s="1"/>
  <c r="BM33" i="32"/>
  <c r="BC33" i="32" s="1"/>
  <c r="O33" i="32"/>
  <c r="BH33" i="32"/>
  <c r="BG28" i="68"/>
  <c r="P63" i="32"/>
  <c r="BK63" i="32"/>
  <c r="P64" i="32"/>
  <c r="P54" i="32"/>
  <c r="P55" i="32"/>
  <c r="BK55" i="32" s="1"/>
  <c r="AP35" i="32"/>
  <c r="BH34" i="32"/>
  <c r="BK54" i="32"/>
  <c r="P35" i="32"/>
  <c r="BM35" i="32"/>
  <c r="BC35" i="32" s="1"/>
  <c r="R22" i="31"/>
  <c r="W22" i="31" s="1"/>
  <c r="R36" i="31"/>
  <c r="W36" i="31" s="1"/>
  <c r="R37" i="31"/>
  <c r="R46" i="31"/>
  <c r="AR34" i="68"/>
  <c r="AA48" i="68"/>
  <c r="L62" i="68"/>
  <c r="L43" i="68"/>
  <c r="P43" i="68"/>
  <c r="BK43" i="68" s="1"/>
  <c r="L33" i="68"/>
  <c r="O33" i="68"/>
  <c r="BK33" i="68" s="1"/>
  <c r="BK51" i="68"/>
  <c r="X32" i="68"/>
  <c r="Z21" i="68"/>
  <c r="V22" i="68"/>
  <c r="AB22" i="68" s="1"/>
  <c r="U50" i="68"/>
  <c r="Y50" i="68" s="1"/>
  <c r="W42" i="68"/>
  <c r="U51" i="68"/>
  <c r="Y51" i="68" s="1"/>
  <c r="V25" i="68"/>
  <c r="AB25" i="68" s="1"/>
  <c r="W58" i="68"/>
  <c r="W61" i="68"/>
  <c r="BA24" i="68"/>
  <c r="AY24" i="68"/>
  <c r="O24" i="68"/>
  <c r="BC39" i="32"/>
  <c r="BC46" i="32" s="1"/>
  <c r="BE21" i="32"/>
  <c r="BE32" i="32"/>
  <c r="BE25" i="32"/>
  <c r="BK44" i="32"/>
  <c r="BK42" i="32"/>
  <c r="BC21" i="32"/>
  <c r="BC32" i="32"/>
  <c r="BC28" i="32"/>
  <c r="L55" i="68"/>
  <c r="J55" i="68" s="1"/>
  <c r="J33" i="68"/>
  <c r="BK64" i="32"/>
  <c r="P49" i="32"/>
  <c r="BA49" i="32"/>
  <c r="P43" i="32"/>
  <c r="BK43" i="32" s="1"/>
  <c r="O46" i="32"/>
  <c r="J43" i="32"/>
  <c r="J45" i="32"/>
  <c r="BE35" i="32"/>
  <c r="BM34" i="32"/>
  <c r="BG34" i="32" s="1"/>
  <c r="O34" i="32"/>
  <c r="BH35" i="32"/>
  <c r="O35" i="32"/>
  <c r="P34" i="32"/>
  <c r="AY24" i="32"/>
  <c r="O24" i="32"/>
  <c r="BK24" i="32" s="1"/>
  <c r="BM24" i="32"/>
  <c r="BE24" i="32" s="1"/>
  <c r="BA24" i="32"/>
  <c r="AU36" i="32"/>
  <c r="AU66" i="32" s="1"/>
  <c r="U64" i="68"/>
  <c r="AA64" i="68" s="1"/>
  <c r="P50" i="68"/>
  <c r="BK50" i="68" s="1"/>
  <c r="V38" i="68"/>
  <c r="W44" i="68"/>
  <c r="P44" i="68"/>
  <c r="BK44" i="68" s="1"/>
  <c r="X39" i="68"/>
  <c r="BG40" i="68"/>
  <c r="BA49" i="68"/>
  <c r="U45" i="68"/>
  <c r="AA45" i="68" s="1"/>
  <c r="BM33" i="68"/>
  <c r="BG33" i="68" s="1"/>
  <c r="J53" i="68"/>
  <c r="P53" i="68"/>
  <c r="BK53" i="68" s="1"/>
  <c r="BH33" i="68"/>
  <c r="BM24" i="68"/>
  <c r="J24" i="68"/>
  <c r="L54" i="68"/>
  <c r="P54" i="68"/>
  <c r="BK54" i="68" s="1"/>
  <c r="P24" i="68"/>
  <c r="BK24" i="68" s="1"/>
  <c r="J34" i="68"/>
  <c r="P34" i="68"/>
  <c r="O34" i="68"/>
  <c r="BM34" i="68"/>
  <c r="BH34" i="68"/>
  <c r="J43" i="68"/>
  <c r="L64" i="68"/>
  <c r="L63" i="68"/>
  <c r="J63" i="68" s="1"/>
  <c r="P55" i="68"/>
  <c r="P45" i="68"/>
  <c r="BC33" i="68"/>
  <c r="BG22" i="32"/>
  <c r="BC22" i="32"/>
  <c r="BE22" i="32"/>
  <c r="BE34" i="32"/>
  <c r="BK35" i="32"/>
  <c r="BE33" i="32"/>
  <c r="BG33" i="32"/>
  <c r="BG24" i="32"/>
  <c r="U47" i="31"/>
  <c r="AA47" i="31" s="1"/>
  <c r="BS24" i="31"/>
  <c r="BQ24" i="31"/>
  <c r="BO24" i="31"/>
  <c r="BE28" i="68"/>
  <c r="BC28" i="68"/>
  <c r="BG20" i="32"/>
  <c r="N66" i="32"/>
  <c r="O32" i="31"/>
  <c r="BY32" i="31"/>
  <c r="AZ50" i="68"/>
  <c r="BA50" i="68" s="1"/>
  <c r="AZ50" i="32"/>
  <c r="BA50" i="32" s="1"/>
  <c r="AZ25" i="68"/>
  <c r="AZ32" i="68"/>
  <c r="BA32" i="68" s="1"/>
  <c r="AZ32" i="32"/>
  <c r="BA32" i="32" s="1"/>
  <c r="AZ25" i="32"/>
  <c r="BA25" i="32" s="1"/>
  <c r="AZ39" i="68"/>
  <c r="AZ30" i="68"/>
  <c r="AZ22" i="68"/>
  <c r="AZ21" i="68"/>
  <c r="BA21" i="68" s="1"/>
  <c r="AZ29" i="68"/>
  <c r="BA29" i="68" s="1"/>
  <c r="AZ40" i="68"/>
  <c r="BA40" i="68" s="1"/>
  <c r="AZ30" i="32"/>
  <c r="BA30" i="32" s="1"/>
  <c r="AZ21" i="32"/>
  <c r="BA21" i="32" s="1"/>
  <c r="AZ40" i="32"/>
  <c r="BA40" i="32" s="1"/>
  <c r="AZ39" i="32"/>
  <c r="BA39" i="32" s="1"/>
  <c r="AZ22" i="32"/>
  <c r="BA22" i="32" s="1"/>
  <c r="AZ29" i="32"/>
  <c r="BA29" i="32" s="1"/>
  <c r="N51" i="31"/>
  <c r="M66" i="32"/>
  <c r="AZ33" i="68"/>
  <c r="BA33" i="68" s="1"/>
  <c r="AZ33" i="32"/>
  <c r="BA33" i="32" s="1"/>
  <c r="AZ35" i="68"/>
  <c r="AZ35" i="32"/>
  <c r="BA35" i="32" s="1"/>
  <c r="AZ34" i="68"/>
  <c r="BA34" i="68" s="1"/>
  <c r="AZ20" i="68"/>
  <c r="BA20" i="68" s="1"/>
  <c r="AZ38" i="68"/>
  <c r="AZ28" i="68"/>
  <c r="BA28" i="68" s="1"/>
  <c r="AZ48" i="68"/>
  <c r="AZ23" i="68"/>
  <c r="AZ31" i="68"/>
  <c r="X30" i="68"/>
  <c r="V30" i="68"/>
  <c r="AB30" i="68" s="1"/>
  <c r="V31" i="68"/>
  <c r="X31" i="68"/>
  <c r="U62" i="68"/>
  <c r="W62" i="68"/>
  <c r="BE39" i="32"/>
  <c r="BG39" i="32"/>
  <c r="BG46" i="32" s="1"/>
  <c r="U61" i="68"/>
  <c r="AA61" i="68" s="1"/>
  <c r="O65" i="68"/>
  <c r="BK32" i="32"/>
  <c r="BF48" i="31"/>
  <c r="BK23" i="31"/>
  <c r="V40" i="68"/>
  <c r="X40" i="68"/>
  <c r="U43" i="68"/>
  <c r="AA43" i="68" s="1"/>
  <c r="W43" i="68"/>
  <c r="V22" i="31"/>
  <c r="AB22" i="31" s="1"/>
  <c r="X22" i="31"/>
  <c r="Z22" i="31"/>
  <c r="L44" i="31"/>
  <c r="N66" i="68"/>
  <c r="AX20" i="68"/>
  <c r="AY20" i="68" s="1"/>
  <c r="AX21" i="68"/>
  <c r="AY21" i="68" s="1"/>
  <c r="AX25" i="68"/>
  <c r="AX35" i="68"/>
  <c r="AX40" i="68"/>
  <c r="AY40" i="68" s="1"/>
  <c r="AX31" i="68"/>
  <c r="AX29" i="68"/>
  <c r="AY29" i="68" s="1"/>
  <c r="AX22" i="68"/>
  <c r="AX39" i="68"/>
  <c r="AX38" i="68"/>
  <c r="AX28" i="68"/>
  <c r="AY28" i="68" s="1"/>
  <c r="AX23" i="68"/>
  <c r="AX33" i="68"/>
  <c r="AY33" i="68" s="1"/>
  <c r="L26" i="32"/>
  <c r="L36" i="32"/>
  <c r="J28" i="32"/>
  <c r="J36" i="32"/>
  <c r="BK49" i="32"/>
  <c r="O36" i="32"/>
  <c r="BE33" i="68"/>
  <c r="J54" i="68"/>
  <c r="L35" i="68"/>
  <c r="BH48" i="31"/>
  <c r="BH50" i="31" s="1"/>
  <c r="BH51" i="31" s="1"/>
  <c r="B28" i="56" s="1"/>
  <c r="C28" i="56" s="1"/>
  <c r="BF50" i="31"/>
  <c r="BF51" i="31" s="1"/>
  <c r="O22" i="31"/>
  <c r="BY22" i="31"/>
  <c r="BT22" i="31"/>
  <c r="BW32" i="31"/>
  <c r="BK45" i="68"/>
  <c r="BK34" i="68"/>
  <c r="BL44" i="31"/>
  <c r="R29" i="31"/>
  <c r="W29" i="31" s="1"/>
  <c r="T49" i="32"/>
  <c r="T50" i="32"/>
  <c r="X50" i="32" s="1"/>
  <c r="BK55" i="68"/>
  <c r="P63" i="68"/>
  <c r="J64" i="68"/>
  <c r="P64" i="68"/>
  <c r="BK64" i="68" s="1"/>
  <c r="BE34" i="68"/>
  <c r="BC34" i="68"/>
  <c r="BG34" i="68"/>
  <c r="BK63" i="68"/>
  <c r="BQ22" i="31"/>
  <c r="BS22" i="31"/>
  <c r="BO22" i="31"/>
  <c r="BW22" i="31"/>
  <c r="AZ48" i="32"/>
  <c r="BA48" i="32" s="1"/>
  <c r="BI22" i="31"/>
  <c r="BJ22" i="31" s="1"/>
  <c r="BI23" i="31"/>
  <c r="BK24" i="31"/>
  <c r="BL24" i="31" s="1"/>
  <c r="BK32" i="31"/>
  <c r="BL32" i="31" s="1"/>
  <c r="AZ34" i="32"/>
  <c r="BA34" i="32" s="1"/>
  <c r="AX30" i="68"/>
  <c r="AB65" i="68"/>
  <c r="Z65" i="32"/>
  <c r="AB65" i="32"/>
  <c r="Z65" i="68"/>
  <c r="P31" i="31"/>
  <c r="O31" i="31"/>
  <c r="R31" i="31" s="1"/>
  <c r="W31" i="31" s="1"/>
  <c r="X23" i="31"/>
  <c r="BJ24" i="31"/>
  <c r="G27" i="31"/>
  <c r="K38" i="31"/>
  <c r="L38" i="31" s="1"/>
  <c r="BE51" i="31"/>
  <c r="B15" i="56"/>
  <c r="C15" i="56" s="1"/>
  <c r="G28" i="31"/>
  <c r="AP27" i="31"/>
  <c r="O28" i="31"/>
  <c r="J34" i="31"/>
  <c r="AW32" i="31"/>
  <c r="AW34" i="31" s="1"/>
  <c r="AW51" i="31" s="1"/>
  <c r="B13" i="56" s="1"/>
  <c r="C13" i="56" s="1"/>
  <c r="K36" i="31"/>
  <c r="L36" i="31" s="1"/>
  <c r="BY36" i="31" s="1"/>
  <c r="K37" i="31"/>
  <c r="L37" i="31" s="1"/>
  <c r="P37" i="31"/>
  <c r="T37" i="31"/>
  <c r="X37" i="31" s="1"/>
  <c r="J34" i="83"/>
  <c r="W48" i="83"/>
  <c r="W49" i="83"/>
  <c r="X46" i="83"/>
  <c r="BY36" i="83"/>
  <c r="BS36" i="83" s="1"/>
  <c r="BT36" i="83"/>
  <c r="P36" i="83"/>
  <c r="BJ36" i="83"/>
  <c r="BY44" i="83"/>
  <c r="BQ44" i="83" s="1"/>
  <c r="BT44" i="83"/>
  <c r="O44" i="83"/>
  <c r="L23" i="83"/>
  <c r="AN40" i="83"/>
  <c r="K40" i="83"/>
  <c r="L40" i="83" s="1"/>
  <c r="G41" i="83"/>
  <c r="C20" i="84"/>
  <c r="BH48" i="83"/>
  <c r="BH50" i="83" s="1"/>
  <c r="BH51" i="83" s="1"/>
  <c r="B28" i="84" s="1"/>
  <c r="C28" i="84" s="1"/>
  <c r="BF50" i="83"/>
  <c r="BF51" i="83" s="1"/>
  <c r="G47" i="83"/>
  <c r="L47" i="83" s="1"/>
  <c r="P47" i="83" s="1"/>
  <c r="BC50" i="83"/>
  <c r="BC51" i="83" s="1"/>
  <c r="BE47" i="83"/>
  <c r="BE50" i="83" s="1"/>
  <c r="BE51" i="83" s="1"/>
  <c r="B15" i="84" s="1"/>
  <c r="C15" i="84" s="1"/>
  <c r="BW36" i="83"/>
  <c r="D13" i="83"/>
  <c r="L25" i="83"/>
  <c r="BY25" i="83" s="1"/>
  <c r="R28" i="83"/>
  <c r="W28" i="83" s="1"/>
  <c r="G29" i="83"/>
  <c r="U29" i="83"/>
  <c r="R31" i="83"/>
  <c r="U31" i="83" s="1"/>
  <c r="AA31" i="83" s="1"/>
  <c r="L32" i="83"/>
  <c r="T37" i="83"/>
  <c r="X37" i="83" s="1"/>
  <c r="K39" i="83"/>
  <c r="L39" i="83" s="1"/>
  <c r="AN39" i="83"/>
  <c r="T41" i="83"/>
  <c r="X41" i="83" s="1"/>
  <c r="V44" i="83"/>
  <c r="Z44" i="83" s="1"/>
  <c r="U47" i="83"/>
  <c r="AA47" i="83" s="1"/>
  <c r="X23" i="83"/>
  <c r="O24" i="83"/>
  <c r="BT24" i="83"/>
  <c r="BY24" i="83"/>
  <c r="X25" i="83"/>
  <c r="G45" i="83"/>
  <c r="G49" i="83"/>
  <c r="G46" i="83"/>
  <c r="V23" i="83"/>
  <c r="Z23" i="83" s="1"/>
  <c r="V25" i="83"/>
  <c r="T39" i="83"/>
  <c r="V39" i="83" s="1"/>
  <c r="AB39" i="83" s="1"/>
  <c r="BY32" i="83"/>
  <c r="BS32" i="83" s="1"/>
  <c r="BT32" i="83"/>
  <c r="O32" i="83"/>
  <c r="BW32" i="83" s="1"/>
  <c r="P32" i="83"/>
  <c r="AP46" i="83"/>
  <c r="BS24" i="83"/>
  <c r="BO24" i="83"/>
  <c r="BQ24" i="83"/>
  <c r="BW24" i="83"/>
  <c r="G30" i="83"/>
  <c r="L29" i="83"/>
  <c r="P29" i="83" s="1"/>
  <c r="BW29" i="83" s="1"/>
  <c r="AN41" i="83"/>
  <c r="K41" i="83"/>
  <c r="L41" i="83" s="1"/>
  <c r="BW44" i="83"/>
  <c r="BY23" i="83"/>
  <c r="BO23" i="83" s="1"/>
  <c r="BT23" i="83"/>
  <c r="O23" i="83"/>
  <c r="BS44" i="83"/>
  <c r="BO36" i="83"/>
  <c r="BO32" i="83"/>
  <c r="BQ23" i="83"/>
  <c r="BS23" i="83"/>
  <c r="L30" i="83"/>
  <c r="P30" i="83" s="1"/>
  <c r="G31" i="83"/>
  <c r="L31" i="83" s="1"/>
  <c r="P31" i="83" s="1"/>
  <c r="BW31" i="83" s="1"/>
  <c r="BT30" i="83"/>
  <c r="AR25" i="68"/>
  <c r="AR25" i="87"/>
  <c r="AR27" i="87"/>
  <c r="V31" i="87"/>
  <c r="AB31" i="87" s="1"/>
  <c r="R38" i="31"/>
  <c r="U38" i="31" s="1"/>
  <c r="AA38" i="31" s="1"/>
  <c r="R22" i="83"/>
  <c r="R45" i="83"/>
  <c r="R39" i="31"/>
  <c r="R46" i="83"/>
  <c r="R40" i="31"/>
  <c r="W40" i="31" s="1"/>
  <c r="R45" i="31"/>
  <c r="R37" i="83"/>
  <c r="R39" i="83"/>
  <c r="R41" i="31"/>
  <c r="R36" i="83"/>
  <c r="U36" i="83" s="1"/>
  <c r="R38" i="83"/>
  <c r="W38" i="83" s="1"/>
  <c r="R40" i="83"/>
  <c r="U40" i="83" s="1"/>
  <c r="R41" i="83"/>
  <c r="R24" i="31"/>
  <c r="AE44" i="31" l="1"/>
  <c r="U23" i="87"/>
  <c r="AR35" i="87"/>
  <c r="AR20" i="87"/>
  <c r="Z22" i="83"/>
  <c r="AA54" i="68"/>
  <c r="AD54" i="68" s="1"/>
  <c r="AS28" i="32"/>
  <c r="AS48" i="68"/>
  <c r="AR39" i="68"/>
  <c r="Z23" i="31"/>
  <c r="AE23" i="31" s="1"/>
  <c r="AI23" i="31" s="1"/>
  <c r="AK23" i="31" s="1"/>
  <c r="AM23" i="31" s="1"/>
  <c r="AA41" i="32"/>
  <c r="Z30" i="32"/>
  <c r="AE30" i="32" s="1"/>
  <c r="AR28" i="68"/>
  <c r="AB39" i="32"/>
  <c r="AE39" i="32" s="1"/>
  <c r="Y53" i="32"/>
  <c r="AS20" i="87"/>
  <c r="AR35" i="68"/>
  <c r="AR38" i="68"/>
  <c r="AS38" i="68" s="1"/>
  <c r="AP41" i="83"/>
  <c r="AR31" i="68"/>
  <c r="U22" i="31"/>
  <c r="AA22" i="31" s="1"/>
  <c r="Y52" i="68"/>
  <c r="AD52" i="68" s="1"/>
  <c r="AR21" i="68"/>
  <c r="AR23" i="68"/>
  <c r="AR29" i="68"/>
  <c r="AS29" i="68" s="1"/>
  <c r="AS35" i="32"/>
  <c r="AS31" i="32"/>
  <c r="Y49" i="68"/>
  <c r="AD49" i="68" s="1"/>
  <c r="AR32" i="68"/>
  <c r="AS32" i="68" s="1"/>
  <c r="AR30" i="68"/>
  <c r="AR22" i="68"/>
  <c r="AS22" i="68" s="1"/>
  <c r="AR33" i="68"/>
  <c r="AS33" i="68" s="1"/>
  <c r="AS23" i="83"/>
  <c r="AS39" i="83"/>
  <c r="Z41" i="104"/>
  <c r="BH26" i="32"/>
  <c r="BH46" i="32"/>
  <c r="BH36" i="32"/>
  <c r="BA56" i="32"/>
  <c r="AS30" i="32"/>
  <c r="AS35" i="68"/>
  <c r="AP40" i="83"/>
  <c r="AS40" i="83" s="1"/>
  <c r="W38" i="31"/>
  <c r="Y61" i="68"/>
  <c r="X48" i="32"/>
  <c r="Z48" i="32" s="1"/>
  <c r="AS24" i="31"/>
  <c r="U40" i="31"/>
  <c r="AA40" i="31" s="1"/>
  <c r="U31" i="31"/>
  <c r="AA31" i="31" s="1"/>
  <c r="AS44" i="83"/>
  <c r="AP37" i="83"/>
  <c r="AS37" i="83" s="1"/>
  <c r="AP38" i="83"/>
  <c r="AS38" i="83" s="1"/>
  <c r="AP56" i="32"/>
  <c r="AP66" i="32" s="1"/>
  <c r="AP36" i="32"/>
  <c r="AS28" i="68"/>
  <c r="AS20" i="32"/>
  <c r="AS48" i="32"/>
  <c r="BA27" i="87"/>
  <c r="BA28" i="87" s="1"/>
  <c r="BA37" i="87" s="1"/>
  <c r="B14" i="88" s="1"/>
  <c r="C14" i="88" s="1"/>
  <c r="AS23" i="32"/>
  <c r="AS34" i="68"/>
  <c r="AS44" i="31"/>
  <c r="AS32" i="31"/>
  <c r="AS22" i="31"/>
  <c r="AS22" i="83"/>
  <c r="AB23" i="83"/>
  <c r="AE23" i="83" s="1"/>
  <c r="AI23" i="83" s="1"/>
  <c r="AK23" i="83" s="1"/>
  <c r="AM23" i="83" s="1"/>
  <c r="Z22" i="32"/>
  <c r="AE22" i="32" s="1"/>
  <c r="AA53" i="32"/>
  <c r="AD53" i="32" s="1"/>
  <c r="Z28" i="32"/>
  <c r="Y52" i="32"/>
  <c r="AR32" i="87"/>
  <c r="AR19" i="87"/>
  <c r="AR33" i="87"/>
  <c r="AR18" i="87"/>
  <c r="AR30" i="87"/>
  <c r="AS30" i="87" s="1"/>
  <c r="AS30" i="83"/>
  <c r="AS46" i="83"/>
  <c r="AS27" i="31"/>
  <c r="Y59" i="68"/>
  <c r="AD59" i="68" s="1"/>
  <c r="X41" i="31"/>
  <c r="Z41" i="31" s="1"/>
  <c r="AE41" i="31" s="1"/>
  <c r="X39" i="83"/>
  <c r="Z39" i="83" s="1"/>
  <c r="V37" i="31"/>
  <c r="Z37" i="31" s="1"/>
  <c r="U29" i="31"/>
  <c r="AA29" i="31" s="1"/>
  <c r="AS25" i="32"/>
  <c r="AS20" i="68"/>
  <c r="AB37" i="31"/>
  <c r="R24" i="83"/>
  <c r="U24" i="83" s="1"/>
  <c r="AA24" i="83" s="1"/>
  <c r="R19" i="87"/>
  <c r="Z31" i="87"/>
  <c r="AE31" i="87" s="1"/>
  <c r="AD52" i="32"/>
  <c r="Z25" i="68"/>
  <c r="R23" i="31"/>
  <c r="R18" i="87"/>
  <c r="R20" i="87"/>
  <c r="R23" i="83"/>
  <c r="W23" i="83" s="1"/>
  <c r="AE22" i="83"/>
  <c r="AI22" i="83" s="1"/>
  <c r="AK22" i="83" s="1"/>
  <c r="AM22" i="83" s="1"/>
  <c r="AE22" i="31"/>
  <c r="AI22" i="31" s="1"/>
  <c r="AK22" i="31" s="1"/>
  <c r="AM22" i="31" s="1"/>
  <c r="Y59" i="32"/>
  <c r="AD59" i="32" s="1"/>
  <c r="Y58" i="32"/>
  <c r="AD58" i="32" s="1"/>
  <c r="AA55" i="68"/>
  <c r="AD55" i="68" s="1"/>
  <c r="Y43" i="32"/>
  <c r="AD43" i="32" s="1"/>
  <c r="AS34" i="32"/>
  <c r="AS37" i="31"/>
  <c r="AS38" i="32"/>
  <c r="AS32" i="32"/>
  <c r="AD61" i="68"/>
  <c r="AS49" i="68"/>
  <c r="AR31" i="87"/>
  <c r="AR34" i="87"/>
  <c r="AS17" i="87"/>
  <c r="Y47" i="83"/>
  <c r="AD47" i="83" s="1"/>
  <c r="AP19" i="87"/>
  <c r="AS19" i="87" s="1"/>
  <c r="AP36" i="83"/>
  <c r="AS36" i="83" s="1"/>
  <c r="AS21" i="68"/>
  <c r="AS22" i="32"/>
  <c r="AS40" i="32"/>
  <c r="W36" i="83"/>
  <c r="Y36" i="83" s="1"/>
  <c r="AA51" i="68"/>
  <c r="AD51" i="68" s="1"/>
  <c r="AD48" i="68"/>
  <c r="Y38" i="31"/>
  <c r="AD38" i="31" s="1"/>
  <c r="AB48" i="32"/>
  <c r="W40" i="83"/>
  <c r="Y40" i="83" s="1"/>
  <c r="AB44" i="83"/>
  <c r="AE44" i="83" s="1"/>
  <c r="U28" i="83"/>
  <c r="AA28" i="83" s="1"/>
  <c r="AD49" i="31"/>
  <c r="Z39" i="68"/>
  <c r="AE39" i="68" s="1"/>
  <c r="Z32" i="32"/>
  <c r="AE32" i="32" s="1"/>
  <c r="Z31" i="32"/>
  <c r="AE31" i="32" s="1"/>
  <c r="Y62" i="32"/>
  <c r="AD62" i="32" s="1"/>
  <c r="AE28" i="32"/>
  <c r="Y45" i="32"/>
  <c r="AD45" i="32" s="1"/>
  <c r="AE25" i="68"/>
  <c r="AI25" i="68" s="1"/>
  <c r="AM25" i="68" s="1"/>
  <c r="AA60" i="68"/>
  <c r="AD60" i="68" s="1"/>
  <c r="Y40" i="31"/>
  <c r="AA50" i="68"/>
  <c r="AD50" i="68" s="1"/>
  <c r="Y63" i="32"/>
  <c r="AD63" i="32" s="1"/>
  <c r="Y42" i="68"/>
  <c r="AD42" i="68" s="1"/>
  <c r="Z38" i="32"/>
  <c r="AE38" i="32" s="1"/>
  <c r="Y51" i="32"/>
  <c r="AD51" i="32" s="1"/>
  <c r="AD41" i="32"/>
  <c r="Z30" i="68"/>
  <c r="AE30" i="68" s="1"/>
  <c r="AE21" i="68"/>
  <c r="Z40" i="32"/>
  <c r="AE40" i="32" s="1"/>
  <c r="Y23" i="87"/>
  <c r="V41" i="83"/>
  <c r="Z41" i="83" s="1"/>
  <c r="V37" i="83"/>
  <c r="Z37" i="83" s="1"/>
  <c r="V32" i="87"/>
  <c r="AB32" i="87" s="1"/>
  <c r="U17" i="87"/>
  <c r="AA17" i="87" s="1"/>
  <c r="W17" i="87"/>
  <c r="V30" i="87"/>
  <c r="P40" i="83"/>
  <c r="BY40" i="83"/>
  <c r="BJ40" i="83"/>
  <c r="BT40" i="83"/>
  <c r="BT37" i="31"/>
  <c r="BY37" i="31"/>
  <c r="BL37" i="31"/>
  <c r="O37" i="31"/>
  <c r="AA40" i="83"/>
  <c r="O30" i="83"/>
  <c r="BW30" i="83" s="1"/>
  <c r="BQ32" i="83"/>
  <c r="BQ36" i="83"/>
  <c r="BO44" i="83"/>
  <c r="W31" i="83"/>
  <c r="Y31" i="83" s="1"/>
  <c r="AD31" i="83" s="1"/>
  <c r="V50" i="32"/>
  <c r="AB50" i="32" s="1"/>
  <c r="BY44" i="31"/>
  <c r="O44" i="31"/>
  <c r="BW44" i="31" s="1"/>
  <c r="V49" i="32"/>
  <c r="AB49" i="32" s="1"/>
  <c r="BY30" i="83"/>
  <c r="BT44" i="31"/>
  <c r="AY35" i="68"/>
  <c r="AA23" i="87"/>
  <c r="R28" i="31"/>
  <c r="W28" i="31" s="1"/>
  <c r="X49" i="32"/>
  <c r="P36" i="32"/>
  <c r="BK34" i="32"/>
  <c r="BW31" i="31"/>
  <c r="Y43" i="68"/>
  <c r="AD43" i="68" s="1"/>
  <c r="BA30" i="68"/>
  <c r="W47" i="31"/>
  <c r="Y47" i="31" s="1"/>
  <c r="BC24" i="32"/>
  <c r="P46" i="32"/>
  <c r="AY51" i="31"/>
  <c r="U64" i="32"/>
  <c r="W64" i="32"/>
  <c r="BK60" i="32"/>
  <c r="W60" i="32"/>
  <c r="W65" i="32" s="1"/>
  <c r="U60" i="32"/>
  <c r="Y60" i="32" s="1"/>
  <c r="W54" i="32"/>
  <c r="AA54" i="32"/>
  <c r="AX32" i="68"/>
  <c r="AY32" i="68" s="1"/>
  <c r="AX23" i="32"/>
  <c r="AY23" i="32" s="1"/>
  <c r="AX22" i="32"/>
  <c r="AY22" i="32" s="1"/>
  <c r="AX30" i="32"/>
  <c r="AY30" i="32" s="1"/>
  <c r="BI32" i="31"/>
  <c r="AX25" i="32"/>
  <c r="AY25" i="32" s="1"/>
  <c r="AX31" i="32"/>
  <c r="AY31" i="32" s="1"/>
  <c r="AX34" i="32"/>
  <c r="AY34" i="32" s="1"/>
  <c r="AX39" i="32"/>
  <c r="AY39" i="32" s="1"/>
  <c r="BI25" i="31"/>
  <c r="BJ25" i="31" s="1"/>
  <c r="BI45" i="31"/>
  <c r="AX21" i="32"/>
  <c r="AY21" i="32" s="1"/>
  <c r="AX29" i="32"/>
  <c r="AY29" i="32" s="1"/>
  <c r="AX33" i="32"/>
  <c r="AY33" i="32" s="1"/>
  <c r="AX38" i="32"/>
  <c r="AY38" i="32" s="1"/>
  <c r="BI30" i="31"/>
  <c r="BJ30" i="31" s="1"/>
  <c r="J46" i="32"/>
  <c r="AZ38" i="32"/>
  <c r="BA38" i="32" s="1"/>
  <c r="AZ20" i="32"/>
  <c r="BA20" i="32" s="1"/>
  <c r="BA26" i="32" s="1"/>
  <c r="O25" i="31"/>
  <c r="BW25" i="31" s="1"/>
  <c r="BY25" i="31"/>
  <c r="BT25" i="31"/>
  <c r="V29" i="68"/>
  <c r="AB29" i="68" s="1"/>
  <c r="W53" i="68"/>
  <c r="O56" i="68"/>
  <c r="U53" i="68"/>
  <c r="AA53" i="68" s="1"/>
  <c r="J21" i="68"/>
  <c r="BH21" i="68"/>
  <c r="BM21" i="68"/>
  <c r="O21" i="68"/>
  <c r="BK21" i="68" s="1"/>
  <c r="J48" i="32"/>
  <c r="O48" i="32"/>
  <c r="BH48" i="32"/>
  <c r="J62" i="32"/>
  <c r="L65" i="32"/>
  <c r="G31" i="68"/>
  <c r="L30" i="68"/>
  <c r="AP30" i="68"/>
  <c r="T20" i="87"/>
  <c r="X20" i="87" s="1"/>
  <c r="R21" i="87"/>
  <c r="U21" i="87" s="1"/>
  <c r="X33" i="87"/>
  <c r="V33" i="87"/>
  <c r="T35" i="87"/>
  <c r="X35" i="87" s="1"/>
  <c r="X25" i="31"/>
  <c r="Z25" i="31" s="1"/>
  <c r="AB25" i="31"/>
  <c r="BA35" i="68"/>
  <c r="BM36" i="32"/>
  <c r="BC34" i="32"/>
  <c r="BC36" i="32" s="1"/>
  <c r="BG30" i="32"/>
  <c r="BE30" i="32"/>
  <c r="BE36" i="32" s="1"/>
  <c r="BL25" i="31"/>
  <c r="BK33" i="32"/>
  <c r="X33" i="32"/>
  <c r="Z33" i="32" s="1"/>
  <c r="AE33" i="32" s="1"/>
  <c r="V29" i="32"/>
  <c r="Z29" i="32" s="1"/>
  <c r="X29" i="32"/>
  <c r="V21" i="32"/>
  <c r="AB21" i="32" s="1"/>
  <c r="U44" i="32"/>
  <c r="AA44" i="32" s="1"/>
  <c r="BK29" i="32"/>
  <c r="V24" i="31"/>
  <c r="AB24" i="31" s="1"/>
  <c r="U36" i="31"/>
  <c r="Y36" i="31" s="1"/>
  <c r="Y55" i="32"/>
  <c r="AD55" i="32" s="1"/>
  <c r="Z46" i="31"/>
  <c r="AE46" i="31" s="1"/>
  <c r="BG32" i="32"/>
  <c r="L25" i="68"/>
  <c r="BH25" i="68" s="1"/>
  <c r="AP25" i="68"/>
  <c r="AS25" i="68" s="1"/>
  <c r="J41" i="68"/>
  <c r="P41" i="68"/>
  <c r="BK41" i="68" s="1"/>
  <c r="J50" i="68"/>
  <c r="BH50" i="68"/>
  <c r="J52" i="68"/>
  <c r="P52" i="68"/>
  <c r="BK52" i="68" s="1"/>
  <c r="I46" i="83"/>
  <c r="J45" i="83"/>
  <c r="T17" i="87"/>
  <c r="X17" i="87" s="1"/>
  <c r="AP27" i="87"/>
  <c r="AS27" i="87" s="1"/>
  <c r="BG35" i="32"/>
  <c r="M51" i="31"/>
  <c r="BK40" i="32"/>
  <c r="BK28" i="32"/>
  <c r="W41" i="68"/>
  <c r="BG21" i="68"/>
  <c r="V24" i="83"/>
  <c r="Z24" i="83" s="1"/>
  <c r="X24" i="83"/>
  <c r="BU20" i="87"/>
  <c r="O20" i="87"/>
  <c r="BP20" i="87"/>
  <c r="AP18" i="87"/>
  <c r="L18" i="87"/>
  <c r="BW29" i="31"/>
  <c r="BG21" i="32"/>
  <c r="J59" i="68"/>
  <c r="P59" i="68"/>
  <c r="BK59" i="68" s="1"/>
  <c r="BK61" i="68"/>
  <c r="AS29" i="32"/>
  <c r="AS33" i="32"/>
  <c r="AS39" i="32"/>
  <c r="V45" i="83"/>
  <c r="Z45" i="83" s="1"/>
  <c r="BS17" i="87"/>
  <c r="L19" i="87"/>
  <c r="BP19" i="87" s="1"/>
  <c r="AA44" i="68"/>
  <c r="AD44" i="68" s="1"/>
  <c r="AW31" i="32"/>
  <c r="AW36" i="32" s="1"/>
  <c r="AP50" i="68"/>
  <c r="AP24" i="83"/>
  <c r="AS24" i="83" s="1"/>
  <c r="J28" i="87"/>
  <c r="J37" i="87" s="1"/>
  <c r="BK40" i="68"/>
  <c r="AS50" i="32"/>
  <c r="G39" i="31"/>
  <c r="L22" i="83"/>
  <c r="J37" i="83"/>
  <c r="K38" i="83"/>
  <c r="L38" i="83" s="1"/>
  <c r="BP17" i="87"/>
  <c r="AS41" i="83"/>
  <c r="AA29" i="83"/>
  <c r="Y29" i="83"/>
  <c r="AA36" i="83"/>
  <c r="BW23" i="83"/>
  <c r="U24" i="31"/>
  <c r="W24" i="31"/>
  <c r="U38" i="83"/>
  <c r="Y38" i="83" s="1"/>
  <c r="BW47" i="83"/>
  <c r="AE39" i="83"/>
  <c r="R21" i="32"/>
  <c r="R22" i="32"/>
  <c r="R21" i="68"/>
  <c r="BS40" i="83"/>
  <c r="BO40" i="83"/>
  <c r="BQ40" i="83"/>
  <c r="BS36" i="31"/>
  <c r="BO36" i="31"/>
  <c r="BQ36" i="31"/>
  <c r="BS25" i="83"/>
  <c r="BO25" i="83"/>
  <c r="AB25" i="83"/>
  <c r="Z25" i="83"/>
  <c r="K28" i="31"/>
  <c r="L28" i="31" s="1"/>
  <c r="P28" i="31" s="1"/>
  <c r="BQ25" i="83"/>
  <c r="AP45" i="83"/>
  <c r="L45" i="83"/>
  <c r="O39" i="83"/>
  <c r="BY39" i="83"/>
  <c r="BT39" i="83"/>
  <c r="Y48" i="83"/>
  <c r="Y62" i="68"/>
  <c r="AA62" i="68"/>
  <c r="Z31" i="68"/>
  <c r="AB31" i="68"/>
  <c r="BA36" i="32"/>
  <c r="BS32" i="31"/>
  <c r="BO32" i="31"/>
  <c r="BQ32" i="31"/>
  <c r="Y48" i="31"/>
  <c r="AD48" i="31" s="1"/>
  <c r="BA46" i="32"/>
  <c r="O41" i="83"/>
  <c r="BY41" i="83"/>
  <c r="BT41" i="83"/>
  <c r="BT25" i="83"/>
  <c r="O25" i="83"/>
  <c r="W37" i="31"/>
  <c r="BW37" i="31"/>
  <c r="U37" i="31"/>
  <c r="BT36" i="31"/>
  <c r="BJ36" i="31"/>
  <c r="P36" i="31"/>
  <c r="BL36" i="31"/>
  <c r="BJ38" i="31"/>
  <c r="BT38" i="31"/>
  <c r="BY38" i="31"/>
  <c r="P38" i="31"/>
  <c r="BW38" i="31" s="1"/>
  <c r="AB40" i="68"/>
  <c r="Z40" i="68"/>
  <c r="J62" i="68"/>
  <c r="P62" i="68"/>
  <c r="L65" i="68"/>
  <c r="L26" i="31"/>
  <c r="K26" i="31"/>
  <c r="AA42" i="32"/>
  <c r="Y42" i="32"/>
  <c r="G47" i="31"/>
  <c r="L47" i="31" s="1"/>
  <c r="P47" i="31" s="1"/>
  <c r="BC50" i="31"/>
  <c r="BC51" i="31" s="1"/>
  <c r="G45" i="31"/>
  <c r="D13" i="31"/>
  <c r="G46" i="31"/>
  <c r="AY31" i="68"/>
  <c r="BS44" i="31"/>
  <c r="BO44" i="31"/>
  <c r="BQ44" i="31"/>
  <c r="BA31" i="68"/>
  <c r="BS30" i="31"/>
  <c r="BQ30" i="31"/>
  <c r="BO30" i="31"/>
  <c r="K27" i="31"/>
  <c r="L27" i="31" s="1"/>
  <c r="Y22" i="31"/>
  <c r="BH35" i="68"/>
  <c r="P35" i="68"/>
  <c r="J35" i="68"/>
  <c r="BM35" i="68"/>
  <c r="O35" i="68"/>
  <c r="AB25" i="32"/>
  <c r="Z25" i="32"/>
  <c r="Y58" i="68"/>
  <c r="Z32" i="68"/>
  <c r="AE32" i="68" s="1"/>
  <c r="BE20" i="32"/>
  <c r="BC20" i="32"/>
  <c r="AB20" i="32"/>
  <c r="Z20" i="32"/>
  <c r="BH18" i="87"/>
  <c r="BI18" i="87" s="1"/>
  <c r="BK23" i="83"/>
  <c r="BL23" i="83" s="1"/>
  <c r="AB33" i="68"/>
  <c r="Z33" i="68"/>
  <c r="J60" i="68"/>
  <c r="J65" i="68" s="1"/>
  <c r="P60" i="68"/>
  <c r="J23" i="32"/>
  <c r="J26" i="32" s="1"/>
  <c r="P23" i="32"/>
  <c r="O23" i="32"/>
  <c r="BM23" i="32"/>
  <c r="J52" i="32"/>
  <c r="J56" i="32" s="1"/>
  <c r="P52" i="32"/>
  <c r="BJ32" i="31"/>
  <c r="BT32" i="31"/>
  <c r="BG36" i="32"/>
  <c r="BG24" i="68"/>
  <c r="BC24" i="68"/>
  <c r="BE24" i="68"/>
  <c r="Z38" i="68"/>
  <c r="AB38" i="68"/>
  <c r="Z45" i="31"/>
  <c r="AE45" i="31" s="1"/>
  <c r="BJ37" i="31"/>
  <c r="O65" i="32"/>
  <c r="BK61" i="32"/>
  <c r="U61" i="32"/>
  <c r="AA61" i="32" s="1"/>
  <c r="BH33" i="87"/>
  <c r="BI33" i="87" s="1"/>
  <c r="BI39" i="83"/>
  <c r="BJ39" i="83" s="1"/>
  <c r="BI39" i="31"/>
  <c r="BI46" i="83"/>
  <c r="BI41" i="83"/>
  <c r="BJ41" i="83" s="1"/>
  <c r="BI37" i="83"/>
  <c r="BI41" i="31"/>
  <c r="BH56" i="32"/>
  <c r="J58" i="32"/>
  <c r="J65" i="32" s="1"/>
  <c r="P58" i="32"/>
  <c r="BK39" i="32"/>
  <c r="BI31" i="87"/>
  <c r="BK44" i="83"/>
  <c r="BL44" i="83" s="1"/>
  <c r="BK38" i="83"/>
  <c r="BL38" i="83" s="1"/>
  <c r="BK36" i="83"/>
  <c r="BL36" i="83" s="1"/>
  <c r="BK40" i="83"/>
  <c r="BL40" i="83" s="1"/>
  <c r="BK40" i="31"/>
  <c r="BK38" i="31"/>
  <c r="BL38" i="31" s="1"/>
  <c r="BH22" i="87"/>
  <c r="BH25" i="87"/>
  <c r="BK30" i="83"/>
  <c r="BL30" i="83" s="1"/>
  <c r="BK27" i="83"/>
  <c r="BK45" i="83"/>
  <c r="BL45" i="83" s="1"/>
  <c r="BK22" i="83"/>
  <c r="BL22" i="83" s="1"/>
  <c r="BH17" i="87"/>
  <c r="BI17" i="87" s="1"/>
  <c r="BF34" i="87"/>
  <c r="BF30" i="87"/>
  <c r="BG30" i="87" s="1"/>
  <c r="BF27" i="87"/>
  <c r="BG27" i="87" s="1"/>
  <c r="BF25" i="87"/>
  <c r="BF31" i="87"/>
  <c r="BG31" i="87" s="1"/>
  <c r="BF22" i="87"/>
  <c r="BF35" i="87"/>
  <c r="BF32" i="87"/>
  <c r="BF20" i="87"/>
  <c r="BG20" i="87" s="1"/>
  <c r="BF33" i="87"/>
  <c r="BG33" i="87" s="1"/>
  <c r="BI32" i="83"/>
  <c r="BJ32" i="83" s="1"/>
  <c r="BI30" i="83"/>
  <c r="BJ30" i="83" s="1"/>
  <c r="BI25" i="83"/>
  <c r="BJ25" i="83" s="1"/>
  <c r="BI45" i="83"/>
  <c r="BJ45" i="83" s="1"/>
  <c r="BI44" i="83"/>
  <c r="BJ44" i="83" s="1"/>
  <c r="BI27" i="83"/>
  <c r="AX34" i="68"/>
  <c r="AY34" i="68" s="1"/>
  <c r="BH19" i="87"/>
  <c r="BK24" i="83"/>
  <c r="BL24" i="83" s="1"/>
  <c r="X28" i="68"/>
  <c r="V28" i="68"/>
  <c r="U63" i="68"/>
  <c r="W63" i="68"/>
  <c r="J29" i="68"/>
  <c r="O29" i="68"/>
  <c r="BM29" i="68"/>
  <c r="L39" i="68"/>
  <c r="AY39" i="68" s="1"/>
  <c r="AP39" i="68"/>
  <c r="BH27" i="87"/>
  <c r="BI27" i="87" s="1"/>
  <c r="BK32" i="83"/>
  <c r="BL32" i="83" s="1"/>
  <c r="BF19" i="87"/>
  <c r="BF17" i="87"/>
  <c r="BG17" i="87" s="1"/>
  <c r="BF18" i="87"/>
  <c r="BG18" i="87" s="1"/>
  <c r="BI22" i="83"/>
  <c r="BI23" i="83"/>
  <c r="BJ23" i="83" s="1"/>
  <c r="BI24" i="83"/>
  <c r="BJ24" i="83" s="1"/>
  <c r="W56" i="68"/>
  <c r="Z22" i="68"/>
  <c r="AE22" i="68" s="1"/>
  <c r="M66" i="68"/>
  <c r="X29" i="68"/>
  <c r="W64" i="68"/>
  <c r="BK46" i="83"/>
  <c r="U49" i="83"/>
  <c r="BH20" i="87"/>
  <c r="BI20" i="87" s="1"/>
  <c r="BK25" i="83"/>
  <c r="BL25" i="83" s="1"/>
  <c r="BK39" i="83"/>
  <c r="BL39" i="83" s="1"/>
  <c r="BK39" i="31"/>
  <c r="BK37" i="83"/>
  <c r="BK41" i="83"/>
  <c r="BL41" i="83" s="1"/>
  <c r="BK41" i="31"/>
  <c r="X20" i="68"/>
  <c r="V20" i="68"/>
  <c r="W45" i="68"/>
  <c r="J25" i="68"/>
  <c r="O25" i="68"/>
  <c r="BM25" i="68"/>
  <c r="O32" i="68"/>
  <c r="BM32" i="68"/>
  <c r="BH32" i="68"/>
  <c r="G23" i="31"/>
  <c r="L46" i="32"/>
  <c r="L56" i="32"/>
  <c r="L38" i="68"/>
  <c r="G42" i="68"/>
  <c r="L42" i="68" s="1"/>
  <c r="J42" i="31"/>
  <c r="T39" i="31"/>
  <c r="I47" i="31"/>
  <c r="J45" i="31"/>
  <c r="L22" i="68"/>
  <c r="AY22" i="68" s="1"/>
  <c r="G23" i="68"/>
  <c r="L31" i="68"/>
  <c r="L48" i="68"/>
  <c r="AP38" i="31"/>
  <c r="V46" i="83"/>
  <c r="X18" i="87"/>
  <c r="V18" i="87"/>
  <c r="AB18" i="87" s="1"/>
  <c r="X34" i="87"/>
  <c r="V34" i="87"/>
  <c r="AB34" i="87" s="1"/>
  <c r="AS25" i="83"/>
  <c r="AN39" i="31"/>
  <c r="AP39" i="31" s="1"/>
  <c r="AS39" i="31" s="1"/>
  <c r="AU32" i="83"/>
  <c r="AP32" i="83"/>
  <c r="AS32" i="83" s="1"/>
  <c r="AA48" i="83"/>
  <c r="BU33" i="87"/>
  <c r="BP33" i="87"/>
  <c r="O33" i="87"/>
  <c r="BU19" i="87"/>
  <c r="BU27" i="87"/>
  <c r="BP27" i="87"/>
  <c r="U24" i="87"/>
  <c r="W24" i="87"/>
  <c r="AY28" i="87"/>
  <c r="AY37" i="87" s="1"/>
  <c r="G24" i="87"/>
  <c r="BK17" i="87"/>
  <c r="BM17" i="87"/>
  <c r="BO17" i="87"/>
  <c r="V19" i="87"/>
  <c r="O30" i="87"/>
  <c r="BU30" i="87"/>
  <c r="G32" i="87"/>
  <c r="AP31" i="87"/>
  <c r="L31" i="87"/>
  <c r="G34" i="87"/>
  <c r="G35" i="87"/>
  <c r="AP33" i="87"/>
  <c r="AS33" i="87" s="1"/>
  <c r="AB27" i="87"/>
  <c r="X27" i="87"/>
  <c r="P36" i="87"/>
  <c r="U26" i="87"/>
  <c r="AU27" i="87"/>
  <c r="B8" i="88"/>
  <c r="B9" i="88" s="1"/>
  <c r="AE37" i="31" l="1"/>
  <c r="U23" i="83"/>
  <c r="Y29" i="31"/>
  <c r="AD29" i="31" s="1"/>
  <c r="AP42" i="83"/>
  <c r="AS18" i="87"/>
  <c r="Y31" i="31"/>
  <c r="AD31" i="31" s="1"/>
  <c r="AS56" i="32"/>
  <c r="BA36" i="68"/>
  <c r="AS46" i="32"/>
  <c r="AS26" i="32"/>
  <c r="AS42" i="83"/>
  <c r="Z32" i="87"/>
  <c r="AA36" i="31"/>
  <c r="AD36" i="31" s="1"/>
  <c r="AB37" i="83"/>
  <c r="AE37" i="83" s="1"/>
  <c r="AD23" i="87"/>
  <c r="W24" i="83"/>
  <c r="Y24" i="83" s="1"/>
  <c r="AD24" i="83" s="1"/>
  <c r="AD40" i="83"/>
  <c r="AA56" i="68"/>
  <c r="AD40" i="31"/>
  <c r="AS36" i="32"/>
  <c r="AE48" i="32"/>
  <c r="AD62" i="68"/>
  <c r="AB45" i="83"/>
  <c r="AE45" i="83" s="1"/>
  <c r="Y44" i="32"/>
  <c r="AD44" i="32" s="1"/>
  <c r="R20" i="68"/>
  <c r="R20" i="32"/>
  <c r="AE25" i="31"/>
  <c r="Y28" i="83"/>
  <c r="AD28" i="83" s="1"/>
  <c r="AD29" i="83"/>
  <c r="AE33" i="68"/>
  <c r="AE25" i="32"/>
  <c r="AI25" i="32" s="1"/>
  <c r="AM25" i="32" s="1"/>
  <c r="AE25" i="83"/>
  <c r="AA38" i="83"/>
  <c r="AD38" i="83" s="1"/>
  <c r="Y53" i="68"/>
  <c r="Y56" i="68" s="1"/>
  <c r="Y17" i="87"/>
  <c r="AD17" i="87" s="1"/>
  <c r="AB41" i="83"/>
  <c r="AE41" i="83" s="1"/>
  <c r="AE32" i="87"/>
  <c r="Y37" i="31"/>
  <c r="AD22" i="31"/>
  <c r="Z49" i="32"/>
  <c r="AE49" i="32" s="1"/>
  <c r="AB30" i="87"/>
  <c r="Z30" i="87"/>
  <c r="O22" i="83"/>
  <c r="BT22" i="83"/>
  <c r="BY22" i="83"/>
  <c r="BS20" i="87"/>
  <c r="W20" i="87"/>
  <c r="U20" i="87"/>
  <c r="AA20" i="87" s="1"/>
  <c r="L66" i="32"/>
  <c r="BJ22" i="83"/>
  <c r="AD48" i="83"/>
  <c r="G40" i="31"/>
  <c r="K39" i="31"/>
  <c r="L39" i="31" s="1"/>
  <c r="AS50" i="68"/>
  <c r="AS56" i="68" s="1"/>
  <c r="AP56" i="68"/>
  <c r="O18" i="87"/>
  <c r="BP18" i="87"/>
  <c r="BU18" i="87"/>
  <c r="BO20" i="87"/>
  <c r="BM20" i="87"/>
  <c r="BK20" i="87"/>
  <c r="J46" i="83"/>
  <c r="K46" i="83" s="1"/>
  <c r="L46" i="83" s="1"/>
  <c r="I47" i="83"/>
  <c r="Z24" i="31"/>
  <c r="AE24" i="31" s="1"/>
  <c r="AI24" i="31" s="1"/>
  <c r="AK24" i="31" s="1"/>
  <c r="AM24" i="31" s="1"/>
  <c r="Z21" i="32"/>
  <c r="AE21" i="32" s="1"/>
  <c r="AB33" i="87"/>
  <c r="Z33" i="87"/>
  <c r="J30" i="68"/>
  <c r="BM30" i="68"/>
  <c r="BH30" i="68"/>
  <c r="O30" i="68"/>
  <c r="BK30" i="68" s="1"/>
  <c r="AY46" i="32"/>
  <c r="BA25" i="68"/>
  <c r="U28" i="31"/>
  <c r="Y28" i="31" s="1"/>
  <c r="Z50" i="32"/>
  <c r="AE50" i="32" s="1"/>
  <c r="BJ39" i="31"/>
  <c r="BH66" i="32"/>
  <c r="AA21" i="87"/>
  <c r="BQ30" i="83"/>
  <c r="BO30" i="83"/>
  <c r="BS30" i="83"/>
  <c r="P38" i="83"/>
  <c r="BW38" i="83" s="1"/>
  <c r="BY38" i="83"/>
  <c r="BJ38" i="83"/>
  <c r="BT38" i="83"/>
  <c r="AW66" i="32"/>
  <c r="AB29" i="32"/>
  <c r="AE29" i="32" s="1"/>
  <c r="AU31" i="68"/>
  <c r="AP31" i="68"/>
  <c r="AS31" i="68" s="1"/>
  <c r="BS25" i="31"/>
  <c r="BO25" i="31"/>
  <c r="BQ25" i="31"/>
  <c r="AA60" i="32"/>
  <c r="AD60" i="32" s="1"/>
  <c r="Y64" i="32"/>
  <c r="AA64" i="32"/>
  <c r="AY25" i="68"/>
  <c r="BW40" i="83"/>
  <c r="Y41" i="68"/>
  <c r="AD41" i="68" s="1"/>
  <c r="AS30" i="68"/>
  <c r="BK48" i="32"/>
  <c r="O56" i="32"/>
  <c r="Y54" i="32"/>
  <c r="AD54" i="32" s="1"/>
  <c r="X36" i="87"/>
  <c r="BL39" i="31"/>
  <c r="W65" i="68"/>
  <c r="O19" i="87"/>
  <c r="BL46" i="83"/>
  <c r="BG19" i="87"/>
  <c r="BI19" i="87"/>
  <c r="AY26" i="32"/>
  <c r="BJ46" i="83"/>
  <c r="AD42" i="32"/>
  <c r="AE31" i="68"/>
  <c r="K37" i="83"/>
  <c r="L37" i="83" s="1"/>
  <c r="J42" i="83"/>
  <c r="AB24" i="83"/>
  <c r="AE24" i="83" s="1"/>
  <c r="AI24" i="83" s="1"/>
  <c r="AK24" i="83" s="1"/>
  <c r="AM24" i="83" s="1"/>
  <c r="V17" i="87"/>
  <c r="AB17" i="87" s="1"/>
  <c r="V35" i="87"/>
  <c r="AB35" i="87" s="1"/>
  <c r="W21" i="87"/>
  <c r="Y21" i="87" s="1"/>
  <c r="V20" i="87"/>
  <c r="Z20" i="87" s="1"/>
  <c r="BE21" i="68"/>
  <c r="BC21" i="68"/>
  <c r="U56" i="68"/>
  <c r="AD53" i="68"/>
  <c r="AD56" i="68" s="1"/>
  <c r="AY36" i="32"/>
  <c r="AY30" i="68"/>
  <c r="AY36" i="68" s="1"/>
  <c r="AD47" i="31"/>
  <c r="BS37" i="31"/>
  <c r="BS42" i="31" s="1"/>
  <c r="BQ37" i="31"/>
  <c r="BO37" i="31"/>
  <c r="BL27" i="31"/>
  <c r="P27" i="31"/>
  <c r="O27" i="31"/>
  <c r="BJ27" i="31"/>
  <c r="BY27" i="31"/>
  <c r="BT27" i="31"/>
  <c r="X39" i="31"/>
  <c r="BC29" i="68"/>
  <c r="BE29" i="68"/>
  <c r="BG29" i="68"/>
  <c r="AA63" i="68"/>
  <c r="AA65" i="68" s="1"/>
  <c r="Y63" i="68"/>
  <c r="AE20" i="32"/>
  <c r="BC35" i="68"/>
  <c r="BG35" i="68"/>
  <c r="BE35" i="68"/>
  <c r="BQ41" i="83"/>
  <c r="BS41" i="83"/>
  <c r="BO41" i="83"/>
  <c r="BW39" i="83"/>
  <c r="U39" i="83"/>
  <c r="AA39" i="83" s="1"/>
  <c r="W39" i="83"/>
  <c r="R31" i="32"/>
  <c r="Y26" i="87"/>
  <c r="AA26" i="87"/>
  <c r="BU31" i="87"/>
  <c r="O31" i="87"/>
  <c r="BP31" i="87"/>
  <c r="BS30" i="87"/>
  <c r="R30" i="87"/>
  <c r="W30" i="87" s="1"/>
  <c r="BK27" i="87"/>
  <c r="BO27" i="87"/>
  <c r="BM27" i="87"/>
  <c r="G26" i="83"/>
  <c r="AW32" i="83"/>
  <c r="AW34" i="83" s="1"/>
  <c r="AW51" i="83" s="1"/>
  <c r="B13" i="84" s="1"/>
  <c r="AU34" i="83"/>
  <c r="AU51" i="83" s="1"/>
  <c r="AS31" i="87"/>
  <c r="AB19" i="87"/>
  <c r="Z19" i="87"/>
  <c r="BM33" i="87"/>
  <c r="BO33" i="87"/>
  <c r="BK33" i="87"/>
  <c r="AS38" i="31"/>
  <c r="J31" i="68"/>
  <c r="O31" i="68"/>
  <c r="BH31" i="68"/>
  <c r="BH36" i="68" s="1"/>
  <c r="BM31" i="68"/>
  <c r="L36" i="68"/>
  <c r="L23" i="68"/>
  <c r="L26" i="68" s="1"/>
  <c r="AP23" i="68"/>
  <c r="I48" i="31"/>
  <c r="J47" i="31"/>
  <c r="J42" i="68"/>
  <c r="P42" i="68"/>
  <c r="BC32" i="68"/>
  <c r="BE32" i="68"/>
  <c r="BG32" i="68"/>
  <c r="Y64" i="68"/>
  <c r="AD64" i="68" s="1"/>
  <c r="BL50" i="83"/>
  <c r="Y61" i="32"/>
  <c r="Y65" i="32" s="1"/>
  <c r="U65" i="32"/>
  <c r="BK23" i="32"/>
  <c r="O26" i="32"/>
  <c r="BK60" i="68"/>
  <c r="P65" i="68"/>
  <c r="P36" i="68"/>
  <c r="BW36" i="31"/>
  <c r="BY45" i="83"/>
  <c r="BT45" i="83"/>
  <c r="BT50" i="83" s="1"/>
  <c r="O45" i="83"/>
  <c r="T29" i="31"/>
  <c r="R34" i="68"/>
  <c r="T36" i="83"/>
  <c r="T42" i="32"/>
  <c r="R29" i="32"/>
  <c r="BC33" i="87"/>
  <c r="L34" i="87"/>
  <c r="AP34" i="87"/>
  <c r="AS34" i="87" s="1"/>
  <c r="BC34" i="87"/>
  <c r="BE34" i="87" s="1"/>
  <c r="BS33" i="87"/>
  <c r="Z46" i="83"/>
  <c r="BE25" i="68"/>
  <c r="BG25" i="68"/>
  <c r="BC25" i="68"/>
  <c r="Y49" i="83"/>
  <c r="AP46" i="68"/>
  <c r="AS39" i="68"/>
  <c r="AS46" i="68" s="1"/>
  <c r="BO38" i="31"/>
  <c r="BS38" i="31"/>
  <c r="BQ38" i="31"/>
  <c r="AA24" i="31"/>
  <c r="AA23" i="83"/>
  <c r="Z27" i="87"/>
  <c r="AE27" i="87" s="1"/>
  <c r="AP35" i="87"/>
  <c r="AS35" i="87" s="1"/>
  <c r="L35" i="87"/>
  <c r="AP32" i="87"/>
  <c r="AS32" i="87" s="1"/>
  <c r="L32" i="87"/>
  <c r="L24" i="87"/>
  <c r="P24" i="87" s="1"/>
  <c r="G25" i="87"/>
  <c r="Y24" i="87"/>
  <c r="AA24" i="87"/>
  <c r="BK19" i="87"/>
  <c r="BO19" i="87"/>
  <c r="BM19" i="87"/>
  <c r="J22" i="68"/>
  <c r="O22" i="68"/>
  <c r="BM22" i="68"/>
  <c r="BH22" i="68"/>
  <c r="BA22" i="68"/>
  <c r="V39" i="31"/>
  <c r="Z39" i="31" s="1"/>
  <c r="J38" i="68"/>
  <c r="BH38" i="68"/>
  <c r="O38" i="68"/>
  <c r="L46" i="68"/>
  <c r="BM38" i="68"/>
  <c r="L23" i="31"/>
  <c r="AP23" i="31"/>
  <c r="BK32" i="68"/>
  <c r="Y45" i="68"/>
  <c r="AD45" i="68" s="1"/>
  <c r="Z28" i="68"/>
  <c r="AB28" i="68"/>
  <c r="AE38" i="68"/>
  <c r="BK52" i="32"/>
  <c r="P56" i="32"/>
  <c r="P26" i="32"/>
  <c r="AD58" i="68"/>
  <c r="BK35" i="68"/>
  <c r="BA38" i="68"/>
  <c r="AP45" i="31"/>
  <c r="L45" i="31"/>
  <c r="BW47" i="31"/>
  <c r="P26" i="31"/>
  <c r="O26" i="31"/>
  <c r="AE40" i="68"/>
  <c r="AA37" i="31"/>
  <c r="AD37" i="31" s="1"/>
  <c r="BS39" i="83"/>
  <c r="BO39" i="83"/>
  <c r="BQ39" i="83"/>
  <c r="AS45" i="83"/>
  <c r="AS50" i="83" s="1"/>
  <c r="AP50" i="83"/>
  <c r="T59" i="68"/>
  <c r="T41" i="68"/>
  <c r="Y24" i="31"/>
  <c r="BA66" i="32"/>
  <c r="Y23" i="83"/>
  <c r="AU28" i="87"/>
  <c r="AU37" i="87" s="1"/>
  <c r="AW27" i="87"/>
  <c r="AW28" i="87" s="1"/>
  <c r="AW37" i="87" s="1"/>
  <c r="B13" i="88" s="1"/>
  <c r="G21" i="87"/>
  <c r="BM30" i="87"/>
  <c r="BK30" i="87"/>
  <c r="BO30" i="87"/>
  <c r="Z18" i="87"/>
  <c r="AE18" i="87" s="1"/>
  <c r="T53" i="32"/>
  <c r="T63" i="68"/>
  <c r="BG34" i="87"/>
  <c r="BK58" i="32"/>
  <c r="P65" i="32"/>
  <c r="T58" i="32"/>
  <c r="X58" i="32" s="1"/>
  <c r="R33" i="32"/>
  <c r="W21" i="32"/>
  <c r="U21" i="32"/>
  <c r="BS19" i="87"/>
  <c r="U19" i="87"/>
  <c r="AA19" i="87" s="1"/>
  <c r="W19" i="87"/>
  <c r="V36" i="87"/>
  <c r="Z34" i="87"/>
  <c r="AE34" i="87" s="1"/>
  <c r="AB46" i="83"/>
  <c r="P48" i="68"/>
  <c r="J48" i="68"/>
  <c r="J56" i="68" s="1"/>
  <c r="BH48" i="68"/>
  <c r="BH56" i="68" s="1"/>
  <c r="L56" i="68"/>
  <c r="BA48" i="68"/>
  <c r="BA56" i="68" s="1"/>
  <c r="T40" i="83"/>
  <c r="T52" i="68"/>
  <c r="R25" i="32"/>
  <c r="T44" i="32"/>
  <c r="R27" i="87"/>
  <c r="BK25" i="68"/>
  <c r="AB20" i="68"/>
  <c r="Z20" i="68"/>
  <c r="AA49" i="83"/>
  <c r="AD49" i="83" s="1"/>
  <c r="Z29" i="68"/>
  <c r="AE29" i="68" s="1"/>
  <c r="BH39" i="68"/>
  <c r="J39" i="68"/>
  <c r="BM39" i="68"/>
  <c r="O39" i="68"/>
  <c r="BA39" i="68"/>
  <c r="BK29" i="68"/>
  <c r="O36" i="68"/>
  <c r="BJ50" i="83"/>
  <c r="BG32" i="87"/>
  <c r="AY66" i="32"/>
  <c r="BE23" i="32"/>
  <c r="BE26" i="32" s="1"/>
  <c r="BE66" i="32" s="1"/>
  <c r="BG23" i="32"/>
  <c r="BG26" i="32" s="1"/>
  <c r="BG66" i="32" s="1"/>
  <c r="BC23" i="32"/>
  <c r="BC26" i="32" s="1"/>
  <c r="BM26" i="32"/>
  <c r="BM66" i="32" s="1"/>
  <c r="J66" i="32"/>
  <c r="AY38" i="68"/>
  <c r="AY46" i="68" s="1"/>
  <c r="AP46" i="31"/>
  <c r="AS46" i="31" s="1"/>
  <c r="K46" i="31"/>
  <c r="L46" i="31" s="1"/>
  <c r="BK62" i="68"/>
  <c r="BW25" i="83"/>
  <c r="BW41" i="83"/>
  <c r="U41" i="83"/>
  <c r="W41" i="83"/>
  <c r="U65" i="68"/>
  <c r="BW28" i="31"/>
  <c r="T28" i="31"/>
  <c r="X28" i="31" s="1"/>
  <c r="T45" i="32"/>
  <c r="R40" i="68"/>
  <c r="W21" i="68"/>
  <c r="U21" i="68"/>
  <c r="AA21" i="68" s="1"/>
  <c r="T64" i="32"/>
  <c r="U22" i="32"/>
  <c r="W22" i="32"/>
  <c r="R28" i="68"/>
  <c r="AD36" i="83"/>
  <c r="AS66" i="32" l="1"/>
  <c r="BA46" i="68"/>
  <c r="AE46" i="83"/>
  <c r="R40" i="32"/>
  <c r="W40" i="32" s="1"/>
  <c r="U20" i="32"/>
  <c r="AA20" i="32" s="1"/>
  <c r="W20" i="32"/>
  <c r="W20" i="68"/>
  <c r="U20" i="68"/>
  <c r="AA20" i="68" s="1"/>
  <c r="Y65" i="68"/>
  <c r="AD24" i="87"/>
  <c r="AD26" i="87"/>
  <c r="AE28" i="68"/>
  <c r="AD63" i="68"/>
  <c r="Y22" i="32"/>
  <c r="Y19" i="87"/>
  <c r="AD19" i="87" s="1"/>
  <c r="Y21" i="32"/>
  <c r="R38" i="32"/>
  <c r="U38" i="32" s="1"/>
  <c r="AA38" i="32" s="1"/>
  <c r="AA28" i="31"/>
  <c r="AE33" i="87"/>
  <c r="AE30" i="87"/>
  <c r="Z35" i="87"/>
  <c r="AE35" i="87" s="1"/>
  <c r="AD28" i="31"/>
  <c r="AB36" i="87"/>
  <c r="G41" i="31"/>
  <c r="K40" i="31"/>
  <c r="L40" i="31" s="1"/>
  <c r="AP40" i="31"/>
  <c r="AN40" i="31"/>
  <c r="T47" i="83"/>
  <c r="BQ22" i="83"/>
  <c r="BS22" i="83"/>
  <c r="BO22" i="83"/>
  <c r="T51" i="68"/>
  <c r="V51" i="68" s="1"/>
  <c r="T34" i="32"/>
  <c r="X34" i="32" s="1"/>
  <c r="T64" i="68"/>
  <c r="X64" i="68" s="1"/>
  <c r="T61" i="68"/>
  <c r="X61" i="68" s="1"/>
  <c r="V28" i="31"/>
  <c r="Z28" i="31" s="1"/>
  <c r="R25" i="83"/>
  <c r="W25" i="83" s="1"/>
  <c r="T62" i="68"/>
  <c r="V62" i="68" s="1"/>
  <c r="R32" i="83"/>
  <c r="W32" i="83" s="1"/>
  <c r="R34" i="32"/>
  <c r="U34" i="32" s="1"/>
  <c r="AA34" i="32" s="1"/>
  <c r="R32" i="32"/>
  <c r="W32" i="32" s="1"/>
  <c r="T58" i="68"/>
  <c r="V58" i="68" s="1"/>
  <c r="T54" i="68"/>
  <c r="X54" i="68" s="1"/>
  <c r="V58" i="32"/>
  <c r="AE58" i="32" s="1"/>
  <c r="T53" i="68"/>
  <c r="V53" i="68" s="1"/>
  <c r="AD24" i="31"/>
  <c r="T60" i="32"/>
  <c r="V60" i="32" s="1"/>
  <c r="T51" i="32"/>
  <c r="X51" i="32" s="1"/>
  <c r="T45" i="68"/>
  <c r="V45" i="68" s="1"/>
  <c r="AB45" i="68" s="1"/>
  <c r="R32" i="68"/>
  <c r="W32" i="68" s="1"/>
  <c r="T38" i="83"/>
  <c r="V38" i="83" s="1"/>
  <c r="AB38" i="83" s="1"/>
  <c r="T55" i="68"/>
  <c r="V55" i="68" s="1"/>
  <c r="AB55" i="68" s="1"/>
  <c r="R49" i="32"/>
  <c r="W49" i="32" s="1"/>
  <c r="T44" i="68"/>
  <c r="V44" i="68" s="1"/>
  <c r="AD61" i="32"/>
  <c r="AP36" i="68"/>
  <c r="P42" i="83"/>
  <c r="AD64" i="32"/>
  <c r="AW31" i="68"/>
  <c r="AW36" i="68" s="1"/>
  <c r="AW66" i="68" s="1"/>
  <c r="AU36" i="68"/>
  <c r="AU66" i="68" s="1"/>
  <c r="R23" i="68"/>
  <c r="R23" i="32"/>
  <c r="R24" i="68"/>
  <c r="R24" i="32"/>
  <c r="BS18" i="87"/>
  <c r="W18" i="87"/>
  <c r="U18" i="87"/>
  <c r="AA18" i="87" s="1"/>
  <c r="Y20" i="87"/>
  <c r="AD20" i="87" s="1"/>
  <c r="T43" i="32"/>
  <c r="V43" i="32" s="1"/>
  <c r="AB43" i="32" s="1"/>
  <c r="R33" i="68"/>
  <c r="W33" i="68" s="1"/>
  <c r="T55" i="32"/>
  <c r="X55" i="32" s="1"/>
  <c r="R25" i="68"/>
  <c r="W25" i="68" s="1"/>
  <c r="T41" i="32"/>
  <c r="V41" i="32" s="1"/>
  <c r="T34" i="68"/>
  <c r="X34" i="68" s="1"/>
  <c r="R35" i="32"/>
  <c r="U35" i="32" s="1"/>
  <c r="AA35" i="32" s="1"/>
  <c r="R28" i="32"/>
  <c r="U28" i="32" s="1"/>
  <c r="AA28" i="32" s="1"/>
  <c r="T35" i="32"/>
  <c r="V35" i="32" s="1"/>
  <c r="AB35" i="32" s="1"/>
  <c r="T29" i="83"/>
  <c r="V29" i="83" s="1"/>
  <c r="T62" i="32"/>
  <c r="V62" i="32" s="1"/>
  <c r="R30" i="68"/>
  <c r="U30" i="68" s="1"/>
  <c r="AA30" i="68" s="1"/>
  <c r="T43" i="68"/>
  <c r="X43" i="68" s="1"/>
  <c r="T30" i="31"/>
  <c r="X30" i="31" s="1"/>
  <c r="T38" i="31"/>
  <c r="X38" i="31" s="1"/>
  <c r="T23" i="32"/>
  <c r="T30" i="83"/>
  <c r="V30" i="83" s="1"/>
  <c r="T59" i="32"/>
  <c r="X59" i="32" s="1"/>
  <c r="R44" i="83"/>
  <c r="U44" i="83" s="1"/>
  <c r="R50" i="32"/>
  <c r="W50" i="32" s="1"/>
  <c r="T50" i="68"/>
  <c r="V50" i="68" s="1"/>
  <c r="AB50" i="68" s="1"/>
  <c r="T61" i="32"/>
  <c r="X61" i="32" s="1"/>
  <c r="T36" i="31"/>
  <c r="T35" i="68"/>
  <c r="V35" i="68" s="1"/>
  <c r="J36" i="68"/>
  <c r="AE19" i="87"/>
  <c r="R32" i="31"/>
  <c r="W32" i="31" s="1"/>
  <c r="Y39" i="83"/>
  <c r="AD39" i="83" s="1"/>
  <c r="BT37" i="83"/>
  <c r="BT42" i="83" s="1"/>
  <c r="BY37" i="83"/>
  <c r="O37" i="83"/>
  <c r="L42" i="83"/>
  <c r="AS36" i="68"/>
  <c r="Z17" i="87"/>
  <c r="AE17" i="87" s="1"/>
  <c r="AA65" i="32"/>
  <c r="J47" i="83"/>
  <c r="I48" i="83"/>
  <c r="BJ37" i="83"/>
  <c r="BJ42" i="83" s="1"/>
  <c r="U22" i="83"/>
  <c r="AA22" i="83" s="1"/>
  <c r="BW22" i="83"/>
  <c r="W22" i="83"/>
  <c r="Y22" i="83" s="1"/>
  <c r="AD21" i="87"/>
  <c r="Y21" i="68"/>
  <c r="AD21" i="68" s="1"/>
  <c r="T31" i="83"/>
  <c r="X31" i="83" s="1"/>
  <c r="R29" i="68"/>
  <c r="W29" i="68" s="1"/>
  <c r="R30" i="31"/>
  <c r="W30" i="31" s="1"/>
  <c r="R39" i="32"/>
  <c r="U39" i="32" s="1"/>
  <c r="T24" i="32"/>
  <c r="V24" i="32" s="1"/>
  <c r="AB24" i="32" s="1"/>
  <c r="T49" i="68"/>
  <c r="V49" i="68" s="1"/>
  <c r="AB49" i="68" s="1"/>
  <c r="T54" i="32"/>
  <c r="V54" i="32" s="1"/>
  <c r="AA21" i="32"/>
  <c r="R30" i="83"/>
  <c r="W30" i="83" s="1"/>
  <c r="T63" i="32"/>
  <c r="X63" i="32" s="1"/>
  <c r="R25" i="31"/>
  <c r="U25" i="31" s="1"/>
  <c r="AA25" i="31" s="1"/>
  <c r="T47" i="31"/>
  <c r="R35" i="68"/>
  <c r="U35" i="68" s="1"/>
  <c r="T52" i="32"/>
  <c r="T32" i="31"/>
  <c r="V32" i="31" s="1"/>
  <c r="AB32" i="31" s="1"/>
  <c r="R33" i="87"/>
  <c r="R30" i="32"/>
  <c r="W30" i="32" s="1"/>
  <c r="R48" i="32"/>
  <c r="W48" i="32" s="1"/>
  <c r="T24" i="68"/>
  <c r="X24" i="68" s="1"/>
  <c r="T31" i="31"/>
  <c r="V31" i="31" s="1"/>
  <c r="AB31" i="31" s="1"/>
  <c r="T60" i="68"/>
  <c r="X60" i="68" s="1"/>
  <c r="U30" i="87"/>
  <c r="AA30" i="87" s="1"/>
  <c r="T32" i="83"/>
  <c r="X32" i="83" s="1"/>
  <c r="R44" i="31"/>
  <c r="W44" i="31" s="1"/>
  <c r="AB20" i="87"/>
  <c r="AE20" i="87" s="1"/>
  <c r="BQ38" i="83"/>
  <c r="BS38" i="83"/>
  <c r="BO38" i="83"/>
  <c r="BE30" i="68"/>
  <c r="BC30" i="68"/>
  <c r="BG30" i="68"/>
  <c r="O46" i="83"/>
  <c r="BY46" i="83"/>
  <c r="BM18" i="87"/>
  <c r="BK18" i="87"/>
  <c r="BO18" i="87"/>
  <c r="BY39" i="31"/>
  <c r="O39" i="31"/>
  <c r="BT39" i="31"/>
  <c r="BL37" i="83"/>
  <c r="BL42" i="83" s="1"/>
  <c r="BC66" i="32"/>
  <c r="X45" i="32"/>
  <c r="V45" i="32"/>
  <c r="AB45" i="32" s="1"/>
  <c r="BL46" i="31"/>
  <c r="BY46" i="31"/>
  <c r="BJ46" i="31"/>
  <c r="O46" i="31"/>
  <c r="B27" i="56"/>
  <c r="J46" i="68"/>
  <c r="U29" i="32"/>
  <c r="AA29" i="32" s="1"/>
  <c r="W29" i="32"/>
  <c r="U34" i="68"/>
  <c r="AA34" i="68" s="1"/>
  <c r="W34" i="68"/>
  <c r="O66" i="32"/>
  <c r="BG31" i="68"/>
  <c r="BC31" i="68"/>
  <c r="BE31" i="68"/>
  <c r="BO31" i="87"/>
  <c r="BM31" i="87"/>
  <c r="BK31" i="87"/>
  <c r="U28" i="68"/>
  <c r="AA28" i="68" s="1"/>
  <c r="W28" i="68"/>
  <c r="BK39" i="68"/>
  <c r="R39" i="68"/>
  <c r="U39" i="68" s="1"/>
  <c r="G22" i="87"/>
  <c r="L21" i="87"/>
  <c r="P34" i="31"/>
  <c r="T26" i="31"/>
  <c r="X26" i="31" s="1"/>
  <c r="L34" i="31"/>
  <c r="BL23" i="31"/>
  <c r="BL34" i="31" s="1"/>
  <c r="BT23" i="31"/>
  <c r="BT34" i="31" s="1"/>
  <c r="O23" i="31"/>
  <c r="BY23" i="31"/>
  <c r="BJ23" i="31"/>
  <c r="BJ34" i="31" s="1"/>
  <c r="BH46" i="68"/>
  <c r="BE22" i="68"/>
  <c r="BC22" i="68"/>
  <c r="BG22" i="68"/>
  <c r="BP32" i="87"/>
  <c r="O32" i="87"/>
  <c r="BU32" i="87"/>
  <c r="BI32" i="87"/>
  <c r="L36" i="87"/>
  <c r="AD23" i="83"/>
  <c r="BS45" i="83"/>
  <c r="BY50" i="83"/>
  <c r="BQ45" i="83"/>
  <c r="BO45" i="83"/>
  <c r="J23" i="68"/>
  <c r="BH23" i="68"/>
  <c r="BH26" i="68" s="1"/>
  <c r="P23" i="68"/>
  <c r="BM23" i="68"/>
  <c r="O23" i="68"/>
  <c r="BA23" i="68"/>
  <c r="BA26" i="68" s="1"/>
  <c r="AY23" i="68"/>
  <c r="AY26" i="68" s="1"/>
  <c r="AP36" i="87"/>
  <c r="G27" i="83"/>
  <c r="K26" i="83"/>
  <c r="L26" i="83"/>
  <c r="BC36" i="68"/>
  <c r="V59" i="68"/>
  <c r="X59" i="68"/>
  <c r="J26" i="68"/>
  <c r="J66" i="68" s="1"/>
  <c r="T24" i="87"/>
  <c r="V24" i="87" s="1"/>
  <c r="AB24" i="87" s="1"/>
  <c r="BS24" i="87"/>
  <c r="BU35" i="87"/>
  <c r="BP35" i="87"/>
  <c r="O35" i="87"/>
  <c r="BI35" i="87"/>
  <c r="BC36" i="87"/>
  <c r="BC37" i="87" s="1"/>
  <c r="BE33" i="87"/>
  <c r="BE36" i="87" s="1"/>
  <c r="BE37" i="87" s="1"/>
  <c r="B15" i="88" s="1"/>
  <c r="X42" i="32"/>
  <c r="V42" i="32"/>
  <c r="V29" i="31"/>
  <c r="AB29" i="31" s="1"/>
  <c r="X29" i="31"/>
  <c r="BG35" i="87"/>
  <c r="BG36" i="87" s="1"/>
  <c r="J48" i="31"/>
  <c r="I49" i="31"/>
  <c r="J49" i="31" s="1"/>
  <c r="K49" i="31" s="1"/>
  <c r="L49" i="31" s="1"/>
  <c r="P49" i="31" s="1"/>
  <c r="W31" i="32"/>
  <c r="U31" i="32"/>
  <c r="AA31" i="32" s="1"/>
  <c r="AA22" i="32"/>
  <c r="AA41" i="83"/>
  <c r="BG39" i="68"/>
  <c r="BE39" i="68"/>
  <c r="BC39" i="68"/>
  <c r="AE20" i="68"/>
  <c r="W27" i="87"/>
  <c r="U27" i="87"/>
  <c r="AA27" i="87" s="1"/>
  <c r="X44" i="32"/>
  <c r="V44" i="32"/>
  <c r="U25" i="32"/>
  <c r="AA25" i="32" s="1"/>
  <c r="W25" i="32"/>
  <c r="X52" i="68"/>
  <c r="V52" i="68"/>
  <c r="X40" i="83"/>
  <c r="V40" i="83"/>
  <c r="AB40" i="83" s="1"/>
  <c r="U33" i="32"/>
  <c r="AA33" i="32" s="1"/>
  <c r="W33" i="32"/>
  <c r="V63" i="68"/>
  <c r="X63" i="68"/>
  <c r="X53" i="32"/>
  <c r="V53" i="32"/>
  <c r="C13" i="88"/>
  <c r="BJ45" i="31"/>
  <c r="BJ50" i="31" s="1"/>
  <c r="O45" i="31"/>
  <c r="BT45" i="31"/>
  <c r="BT50" i="31" s="1"/>
  <c r="BL45" i="31"/>
  <c r="BY45" i="31"/>
  <c r="AD65" i="68"/>
  <c r="P66" i="32"/>
  <c r="BM46" i="68"/>
  <c r="BC38" i="68"/>
  <c r="BC46" i="68" s="1"/>
  <c r="BE38" i="68"/>
  <c r="BG38" i="68"/>
  <c r="BG46" i="68" s="1"/>
  <c r="O26" i="68"/>
  <c r="BK22" i="68"/>
  <c r="R22" i="68"/>
  <c r="L25" i="87"/>
  <c r="G26" i="87"/>
  <c r="L26" i="87" s="1"/>
  <c r="P26" i="87" s="1"/>
  <c r="AP25" i="87"/>
  <c r="AS25" i="87" s="1"/>
  <c r="BP34" i="87"/>
  <c r="BP36" i="87" s="1"/>
  <c r="O34" i="87"/>
  <c r="BU34" i="87"/>
  <c r="BI34" i="87"/>
  <c r="O50" i="83"/>
  <c r="U45" i="83"/>
  <c r="W45" i="83"/>
  <c r="BW45" i="83"/>
  <c r="BK31" i="68"/>
  <c r="R31" i="68"/>
  <c r="BS31" i="87"/>
  <c r="R31" i="87"/>
  <c r="W31" i="87" s="1"/>
  <c r="BG36" i="68"/>
  <c r="AB39" i="31"/>
  <c r="AE39" i="31" s="1"/>
  <c r="BW27" i="31"/>
  <c r="R27" i="31"/>
  <c r="W40" i="68"/>
  <c r="U40" i="68"/>
  <c r="AA40" i="68" s="1"/>
  <c r="V41" i="68"/>
  <c r="AB41" i="68" s="1"/>
  <c r="X41" i="68"/>
  <c r="AP50" i="31"/>
  <c r="AS45" i="31"/>
  <c r="AS50" i="31" s="1"/>
  <c r="X36" i="83"/>
  <c r="V36" i="83"/>
  <c r="BM36" i="68"/>
  <c r="T27" i="31"/>
  <c r="V27" i="31" s="1"/>
  <c r="X64" i="32"/>
  <c r="V64" i="32"/>
  <c r="Y41" i="83"/>
  <c r="P56" i="68"/>
  <c r="T48" i="68"/>
  <c r="X48" i="68" s="1"/>
  <c r="BK48" i="68"/>
  <c r="BW26" i="31"/>
  <c r="R26" i="31"/>
  <c r="W26" i="31" s="1"/>
  <c r="AS23" i="31"/>
  <c r="AS34" i="31" s="1"/>
  <c r="AP34" i="31"/>
  <c r="O46" i="68"/>
  <c r="BK38" i="68"/>
  <c r="R38" i="68"/>
  <c r="L66" i="68"/>
  <c r="BK42" i="68"/>
  <c r="P46" i="68"/>
  <c r="T42" i="68"/>
  <c r="V42" i="68" s="1"/>
  <c r="AS23" i="68"/>
  <c r="AS26" i="68" s="1"/>
  <c r="AP26" i="68"/>
  <c r="AP66" i="68" s="1"/>
  <c r="AS36" i="87"/>
  <c r="C13" i="84"/>
  <c r="O36" i="87"/>
  <c r="BE36" i="68"/>
  <c r="BO27" i="31"/>
  <c r="BS27" i="31"/>
  <c r="BQ27" i="31"/>
  <c r="BL50" i="31" l="1"/>
  <c r="Z36" i="87"/>
  <c r="U40" i="32"/>
  <c r="U46" i="32" s="1"/>
  <c r="X53" i="68"/>
  <c r="Z53" i="68" s="1"/>
  <c r="V51" i="32"/>
  <c r="AB51" i="32" s="1"/>
  <c r="AD65" i="32"/>
  <c r="Y20" i="32"/>
  <c r="AB28" i="31"/>
  <c r="AE28" i="31" s="1"/>
  <c r="AE36" i="87"/>
  <c r="Y20" i="68"/>
  <c r="AD20" i="68" s="1"/>
  <c r="AD20" i="32"/>
  <c r="X45" i="68"/>
  <c r="Z45" i="68" s="1"/>
  <c r="AE45" i="68" s="1"/>
  <c r="U25" i="83"/>
  <c r="AA25" i="83" s="1"/>
  <c r="X35" i="32"/>
  <c r="Z35" i="32" s="1"/>
  <c r="AE35" i="32" s="1"/>
  <c r="X62" i="68"/>
  <c r="AE62" i="68" s="1"/>
  <c r="V34" i="32"/>
  <c r="AB34" i="32" s="1"/>
  <c r="AB36" i="32" s="1"/>
  <c r="W25" i="31"/>
  <c r="Y25" i="31" s="1"/>
  <c r="AD25" i="31" s="1"/>
  <c r="X38" i="83"/>
  <c r="X42" i="83" s="1"/>
  <c r="V34" i="68"/>
  <c r="Z34" i="68" s="1"/>
  <c r="U32" i="32"/>
  <c r="AA32" i="32" s="1"/>
  <c r="Y18" i="87"/>
  <c r="AD18" i="87" s="1"/>
  <c r="X44" i="68"/>
  <c r="Z44" i="68" s="1"/>
  <c r="X29" i="83"/>
  <c r="Z29" i="83" s="1"/>
  <c r="U30" i="32"/>
  <c r="AA30" i="32" s="1"/>
  <c r="V30" i="31"/>
  <c r="AB30" i="31" s="1"/>
  <c r="V24" i="68"/>
  <c r="AB24" i="68" s="1"/>
  <c r="V60" i="68"/>
  <c r="AE60" i="68" s="1"/>
  <c r="V31" i="83"/>
  <c r="AB31" i="83" s="1"/>
  <c r="U32" i="31"/>
  <c r="AA32" i="31" s="1"/>
  <c r="X49" i="68"/>
  <c r="Z49" i="68" s="1"/>
  <c r="AE49" i="68" s="1"/>
  <c r="X51" i="68"/>
  <c r="Z51" i="68" s="1"/>
  <c r="W34" i="32"/>
  <c r="Y34" i="32" s="1"/>
  <c r="X41" i="32"/>
  <c r="Z41" i="32" s="1"/>
  <c r="AD21" i="32"/>
  <c r="X24" i="32"/>
  <c r="Z24" i="32" s="1"/>
  <c r="AE24" i="32" s="1"/>
  <c r="X32" i="31"/>
  <c r="Z32" i="31" s="1"/>
  <c r="AE32" i="31" s="1"/>
  <c r="X31" i="31"/>
  <c r="Z31" i="31" s="1"/>
  <c r="AE31" i="31" s="1"/>
  <c r="V32" i="83"/>
  <c r="Z32" i="83" s="1"/>
  <c r="X62" i="32"/>
  <c r="AE62" i="32" s="1"/>
  <c r="U44" i="31"/>
  <c r="Y44" i="31" s="1"/>
  <c r="V59" i="32"/>
  <c r="AE59" i="32" s="1"/>
  <c r="V38" i="31"/>
  <c r="Z38" i="31" s="1"/>
  <c r="U30" i="31"/>
  <c r="AA30" i="31" s="1"/>
  <c r="V55" i="32"/>
  <c r="AB55" i="32" s="1"/>
  <c r="W35" i="32"/>
  <c r="Y35" i="32" s="1"/>
  <c r="AD35" i="32" s="1"/>
  <c r="W30" i="68"/>
  <c r="Y30" i="68" s="1"/>
  <c r="AD30" i="68" s="1"/>
  <c r="W38" i="32"/>
  <c r="Y38" i="32" s="1"/>
  <c r="X55" i="68"/>
  <c r="Z55" i="68" s="1"/>
  <c r="AE55" i="68" s="1"/>
  <c r="X35" i="68"/>
  <c r="Z35" i="68" s="1"/>
  <c r="X60" i="32"/>
  <c r="W28" i="32"/>
  <c r="Y28" i="32" s="1"/>
  <c r="U48" i="32"/>
  <c r="Y48" i="32" s="1"/>
  <c r="V54" i="68"/>
  <c r="AB54" i="68" s="1"/>
  <c r="U50" i="32"/>
  <c r="AA50" i="32" s="1"/>
  <c r="V43" i="68"/>
  <c r="AB43" i="68" s="1"/>
  <c r="U30" i="83"/>
  <c r="Y30" i="83" s="1"/>
  <c r="X54" i="32"/>
  <c r="Z54" i="32" s="1"/>
  <c r="U25" i="68"/>
  <c r="AA25" i="68" s="1"/>
  <c r="AB35" i="68"/>
  <c r="AD22" i="32"/>
  <c r="V64" i="68"/>
  <c r="AE64" i="68" s="1"/>
  <c r="U32" i="83"/>
  <c r="AA32" i="83" s="1"/>
  <c r="V63" i="32"/>
  <c r="AE63" i="32" s="1"/>
  <c r="W39" i="32"/>
  <c r="Y39" i="32" s="1"/>
  <c r="X43" i="32"/>
  <c r="Z43" i="32" s="1"/>
  <c r="AE43" i="32" s="1"/>
  <c r="U49" i="32"/>
  <c r="AA49" i="32" s="1"/>
  <c r="X50" i="68"/>
  <c r="Z50" i="68" s="1"/>
  <c r="U32" i="68"/>
  <c r="AA32" i="68" s="1"/>
  <c r="V46" i="32"/>
  <c r="V48" i="68"/>
  <c r="AB48" i="68" s="1"/>
  <c r="V61" i="68"/>
  <c r="AE61" i="68" s="1"/>
  <c r="AB30" i="83"/>
  <c r="Y25" i="32"/>
  <c r="AD25" i="32" s="1"/>
  <c r="W35" i="68"/>
  <c r="Y35" i="68" s="1"/>
  <c r="X30" i="83"/>
  <c r="Z30" i="83" s="1"/>
  <c r="V61" i="32"/>
  <c r="W44" i="83"/>
  <c r="Y44" i="83" s="1"/>
  <c r="U33" i="68"/>
  <c r="AA33" i="68" s="1"/>
  <c r="X58" i="68"/>
  <c r="AE63" i="68"/>
  <c r="Z52" i="68"/>
  <c r="AD41" i="83"/>
  <c r="AE64" i="32"/>
  <c r="Z40" i="83"/>
  <c r="AE40" i="83" s="1"/>
  <c r="Z29" i="31"/>
  <c r="AE29" i="31" s="1"/>
  <c r="AE59" i="68"/>
  <c r="Y30" i="87"/>
  <c r="AD30" i="87" s="1"/>
  <c r="W38" i="68"/>
  <c r="Y29" i="32"/>
  <c r="AD29" i="32" s="1"/>
  <c r="U38" i="68"/>
  <c r="AA38" i="68" s="1"/>
  <c r="Z42" i="32"/>
  <c r="X24" i="87"/>
  <c r="Z24" i="87" s="1"/>
  <c r="AE24" i="87" s="1"/>
  <c r="AA39" i="32"/>
  <c r="AB51" i="68"/>
  <c r="AD22" i="83"/>
  <c r="BU36" i="87"/>
  <c r="BS39" i="31"/>
  <c r="BQ39" i="31"/>
  <c r="BO39" i="31"/>
  <c r="BQ46" i="83"/>
  <c r="BS46" i="83"/>
  <c r="BO46" i="83"/>
  <c r="BO50" i="83" s="1"/>
  <c r="X47" i="31"/>
  <c r="V47" i="31"/>
  <c r="U29" i="68"/>
  <c r="AA29" i="68" s="1"/>
  <c r="BQ37" i="83"/>
  <c r="BQ42" i="83" s="1"/>
  <c r="BO37" i="83"/>
  <c r="BO42" i="83" s="1"/>
  <c r="BS37" i="83"/>
  <c r="BS42" i="83" s="1"/>
  <c r="BY42" i="83"/>
  <c r="X23" i="32"/>
  <c r="V23" i="32"/>
  <c r="U24" i="68"/>
  <c r="W24" i="68"/>
  <c r="AS40" i="31"/>
  <c r="Y40" i="68"/>
  <c r="AD40" i="68" s="1"/>
  <c r="AB42" i="32"/>
  <c r="BQ50" i="83"/>
  <c r="BW46" i="83"/>
  <c r="W46" i="83"/>
  <c r="U46" i="83"/>
  <c r="U50" i="83" s="1"/>
  <c r="W33" i="87"/>
  <c r="U33" i="87"/>
  <c r="X36" i="31"/>
  <c r="V36" i="31"/>
  <c r="W23" i="32"/>
  <c r="U23" i="32"/>
  <c r="AA23" i="32" s="1"/>
  <c r="BY40" i="31"/>
  <c r="P40" i="31"/>
  <c r="BJ40" i="31"/>
  <c r="BT40" i="31"/>
  <c r="BL40" i="31"/>
  <c r="AB27" i="31"/>
  <c r="AB41" i="32"/>
  <c r="X27" i="31"/>
  <c r="W27" i="31"/>
  <c r="Y33" i="32"/>
  <c r="AD33" i="32" s="1"/>
  <c r="Y27" i="87"/>
  <c r="AD27" i="87" s="1"/>
  <c r="AA44" i="83"/>
  <c r="W39" i="68"/>
  <c r="Y39" i="68" s="1"/>
  <c r="U39" i="31"/>
  <c r="W39" i="31"/>
  <c r="BW39" i="31"/>
  <c r="X52" i="32"/>
  <c r="V52" i="32"/>
  <c r="J48" i="83"/>
  <c r="I49" i="83"/>
  <c r="J49" i="83" s="1"/>
  <c r="K49" i="83" s="1"/>
  <c r="L49" i="83" s="1"/>
  <c r="P49" i="83" s="1"/>
  <c r="V47" i="83"/>
  <c r="AB47" i="83" s="1"/>
  <c r="X47" i="83"/>
  <c r="K41" i="31"/>
  <c r="L41" i="31" s="1"/>
  <c r="AN41" i="31"/>
  <c r="AP41" i="31" s="1"/>
  <c r="AS41" i="31" s="1"/>
  <c r="X42" i="68"/>
  <c r="V42" i="83"/>
  <c r="AB53" i="68"/>
  <c r="U27" i="31"/>
  <c r="AA27" i="31" s="1"/>
  <c r="AB52" i="68"/>
  <c r="BS50" i="83"/>
  <c r="BI36" i="87"/>
  <c r="V26" i="31"/>
  <c r="AB26" i="31" s="1"/>
  <c r="Z45" i="32"/>
  <c r="AE45" i="32" s="1"/>
  <c r="W37" i="83"/>
  <c r="W42" i="83" s="1"/>
  <c r="U37" i="83"/>
  <c r="U42" i="83" s="1"/>
  <c r="BW37" i="83"/>
  <c r="O42" i="83"/>
  <c r="W24" i="32"/>
  <c r="U24" i="32"/>
  <c r="AA24" i="32" s="1"/>
  <c r="BH66" i="68"/>
  <c r="AB44" i="68"/>
  <c r="W56" i="32"/>
  <c r="BS26" i="87"/>
  <c r="T26" i="87"/>
  <c r="V26" i="87" s="1"/>
  <c r="U22" i="68"/>
  <c r="BE46" i="68"/>
  <c r="BO45" i="31"/>
  <c r="BS45" i="31"/>
  <c r="BY50" i="31"/>
  <c r="BQ45" i="31"/>
  <c r="O50" i="31"/>
  <c r="BW45" i="31"/>
  <c r="W45" i="31"/>
  <c r="U45" i="31"/>
  <c r="AA45" i="31" s="1"/>
  <c r="AB53" i="32"/>
  <c r="Z44" i="32"/>
  <c r="AB44" i="32"/>
  <c r="BW49" i="31"/>
  <c r="T49" i="31"/>
  <c r="V49" i="31" s="1"/>
  <c r="BS35" i="87"/>
  <c r="R35" i="87"/>
  <c r="U35" i="87" s="1"/>
  <c r="P26" i="83"/>
  <c r="O26" i="83"/>
  <c r="BK23" i="68"/>
  <c r="U23" i="68"/>
  <c r="W23" i="68"/>
  <c r="BS32" i="87"/>
  <c r="R32" i="87"/>
  <c r="AP22" i="87"/>
  <c r="L22" i="87"/>
  <c r="G23" i="87"/>
  <c r="L23" i="87" s="1"/>
  <c r="P23" i="87" s="1"/>
  <c r="AA39" i="68"/>
  <c r="BS46" i="31"/>
  <c r="BQ46" i="31"/>
  <c r="BO46" i="31"/>
  <c r="BK34" i="87"/>
  <c r="BO34" i="87"/>
  <c r="BM34" i="87"/>
  <c r="W22" i="68"/>
  <c r="AA35" i="68"/>
  <c r="AB36" i="83"/>
  <c r="AB42" i="83" s="1"/>
  <c r="AB42" i="68"/>
  <c r="AB29" i="83"/>
  <c r="Z36" i="83"/>
  <c r="U31" i="87"/>
  <c r="AA31" i="87" s="1"/>
  <c r="W31" i="68"/>
  <c r="Y45" i="83"/>
  <c r="AA45" i="83"/>
  <c r="P25" i="87"/>
  <c r="O25" i="87"/>
  <c r="BP25" i="87"/>
  <c r="BU25" i="87"/>
  <c r="BG25" i="87"/>
  <c r="BI25" i="87"/>
  <c r="O66" i="68"/>
  <c r="Z53" i="32"/>
  <c r="Y31" i="32"/>
  <c r="AD31" i="32" s="1"/>
  <c r="K48" i="31"/>
  <c r="L48" i="31" s="1"/>
  <c r="J50" i="31"/>
  <c r="J51" i="31" s="1"/>
  <c r="BG23" i="68"/>
  <c r="BC23" i="68"/>
  <c r="BC26" i="68" s="1"/>
  <c r="BE23" i="68"/>
  <c r="BE26" i="68" s="1"/>
  <c r="BE66" i="68" s="1"/>
  <c r="BO23" i="31"/>
  <c r="BO34" i="31" s="1"/>
  <c r="BQ23" i="31"/>
  <c r="BQ34" i="31" s="1"/>
  <c r="BY34" i="31"/>
  <c r="BS23" i="31"/>
  <c r="BS34" i="31" s="1"/>
  <c r="Y34" i="68"/>
  <c r="AD34" i="68" s="1"/>
  <c r="C27" i="56"/>
  <c r="B25" i="56"/>
  <c r="AY66" i="68"/>
  <c r="P26" i="68"/>
  <c r="P66" i="68" s="1"/>
  <c r="T23" i="68"/>
  <c r="X23" i="68" s="1"/>
  <c r="X26" i="68" s="1"/>
  <c r="BG26" i="68"/>
  <c r="BG66" i="68" s="1"/>
  <c r="BA66" i="68"/>
  <c r="BW23" i="31"/>
  <c r="O34" i="31"/>
  <c r="W23" i="31"/>
  <c r="U23" i="31"/>
  <c r="AA23" i="31" s="1"/>
  <c r="AB54" i="32"/>
  <c r="BW46" i="31"/>
  <c r="U46" i="31"/>
  <c r="AA46" i="31" s="1"/>
  <c r="W46" i="31"/>
  <c r="AS66" i="68"/>
  <c r="U31" i="68"/>
  <c r="AA31" i="68" s="1"/>
  <c r="C15" i="88"/>
  <c r="BK35" i="87"/>
  <c r="BM35" i="87"/>
  <c r="BO35" i="87"/>
  <c r="K27" i="83"/>
  <c r="L27" i="83" s="1"/>
  <c r="AP27" i="83"/>
  <c r="G28" i="83"/>
  <c r="U26" i="31"/>
  <c r="AA26" i="31" s="1"/>
  <c r="Z41" i="68"/>
  <c r="BS34" i="87"/>
  <c r="R34" i="87"/>
  <c r="BO32" i="87"/>
  <c r="BM32" i="87"/>
  <c r="BM36" i="87" s="1"/>
  <c r="BK32" i="87"/>
  <c r="BK36" i="87" s="1"/>
  <c r="BM26" i="68"/>
  <c r="BM66" i="68" s="1"/>
  <c r="P21" i="87"/>
  <c r="L28" i="87"/>
  <c r="L37" i="87" s="1"/>
  <c r="Y28" i="68"/>
  <c r="V36" i="68" l="1"/>
  <c r="AA36" i="32"/>
  <c r="AA40" i="32"/>
  <c r="AA46" i="32" s="1"/>
  <c r="Y40" i="32"/>
  <c r="X65" i="68"/>
  <c r="Z51" i="32"/>
  <c r="AE51" i="32" s="1"/>
  <c r="Z24" i="68"/>
  <c r="AE24" i="68" s="1"/>
  <c r="U36" i="32"/>
  <c r="Y25" i="83"/>
  <c r="AD25" i="83" s="1"/>
  <c r="X36" i="32"/>
  <c r="AA30" i="83"/>
  <c r="AD30" i="83" s="1"/>
  <c r="V36" i="32"/>
  <c r="Y32" i="31"/>
  <c r="AD32" i="31" s="1"/>
  <c r="Y30" i="32"/>
  <c r="AD30" i="32" s="1"/>
  <c r="AB34" i="68"/>
  <c r="AB36" i="68" s="1"/>
  <c r="Z38" i="83"/>
  <c r="AE38" i="83" s="1"/>
  <c r="X46" i="68"/>
  <c r="AA48" i="32"/>
  <c r="AA56" i="32" s="1"/>
  <c r="Z34" i="32"/>
  <c r="AE34" i="32" s="1"/>
  <c r="U56" i="32"/>
  <c r="Y30" i="31"/>
  <c r="AD30" i="31" s="1"/>
  <c r="Y32" i="32"/>
  <c r="AD32" i="32" s="1"/>
  <c r="Z30" i="31"/>
  <c r="AE30" i="31" s="1"/>
  <c r="AE35" i="68"/>
  <c r="Y24" i="68"/>
  <c r="Y24" i="32"/>
  <c r="AD24" i="32" s="1"/>
  <c r="Z31" i="83"/>
  <c r="AE31" i="83" s="1"/>
  <c r="Z26" i="31"/>
  <c r="AE26" i="31" s="1"/>
  <c r="V56" i="68"/>
  <c r="AA44" i="31"/>
  <c r="AA50" i="31" s="1"/>
  <c r="Z36" i="68"/>
  <c r="Z48" i="68"/>
  <c r="AE48" i="68" s="1"/>
  <c r="Z42" i="68"/>
  <c r="AE42" i="68" s="1"/>
  <c r="X36" i="68"/>
  <c r="AB32" i="83"/>
  <c r="AE32" i="83" s="1"/>
  <c r="Y27" i="31"/>
  <c r="AD27" i="31" s="1"/>
  <c r="AE52" i="68"/>
  <c r="V56" i="32"/>
  <c r="Y49" i="32"/>
  <c r="AD49" i="32" s="1"/>
  <c r="X56" i="32"/>
  <c r="Z55" i="32"/>
  <c r="AE55" i="32" s="1"/>
  <c r="X34" i="31"/>
  <c r="AE42" i="32"/>
  <c r="W36" i="32"/>
  <c r="W50" i="83"/>
  <c r="Y32" i="68"/>
  <c r="AD32" i="68" s="1"/>
  <c r="X26" i="32"/>
  <c r="AB46" i="32"/>
  <c r="AE30" i="83"/>
  <c r="X65" i="32"/>
  <c r="AE58" i="68"/>
  <c r="AE65" i="68" s="1"/>
  <c r="AE60" i="32"/>
  <c r="W34" i="31"/>
  <c r="Y50" i="32"/>
  <c r="AD50" i="32" s="1"/>
  <c r="AB38" i="31"/>
  <c r="AE38" i="31" s="1"/>
  <c r="V65" i="68"/>
  <c r="AB56" i="68"/>
  <c r="V46" i="68"/>
  <c r="AD28" i="32"/>
  <c r="Y25" i="68"/>
  <c r="AD25" i="68" s="1"/>
  <c r="AE36" i="83"/>
  <c r="Y32" i="83"/>
  <c r="AD32" i="83" s="1"/>
  <c r="Z43" i="68"/>
  <c r="AE43" i="68" s="1"/>
  <c r="Z54" i="68"/>
  <c r="AE54" i="68" s="1"/>
  <c r="X56" i="68"/>
  <c r="V65" i="32"/>
  <c r="V34" i="31"/>
  <c r="Z27" i="31"/>
  <c r="AE27" i="31" s="1"/>
  <c r="W46" i="32"/>
  <c r="AE61" i="32"/>
  <c r="AD39" i="32"/>
  <c r="AD35" i="68"/>
  <c r="X46" i="32"/>
  <c r="W36" i="68"/>
  <c r="AE50" i="68"/>
  <c r="AE53" i="68"/>
  <c r="Z46" i="32"/>
  <c r="AE29" i="83"/>
  <c r="Y38" i="68"/>
  <c r="Y46" i="68" s="1"/>
  <c r="U46" i="68"/>
  <c r="W46" i="68"/>
  <c r="V23" i="68"/>
  <c r="V26" i="68" s="1"/>
  <c r="AB46" i="68"/>
  <c r="AE51" i="68"/>
  <c r="AE44" i="32"/>
  <c r="AE44" i="68"/>
  <c r="Z36" i="31"/>
  <c r="AD44" i="83"/>
  <c r="AA46" i="68"/>
  <c r="Y33" i="68"/>
  <c r="AD33" i="68" s="1"/>
  <c r="AB34" i="31"/>
  <c r="Y29" i="68"/>
  <c r="AD29" i="68" s="1"/>
  <c r="AA37" i="83"/>
  <c r="AA42" i="83" s="1"/>
  <c r="Z52" i="32"/>
  <c r="AA24" i="68"/>
  <c r="Y37" i="83"/>
  <c r="W35" i="87"/>
  <c r="Y35" i="87" s="1"/>
  <c r="AD39" i="68"/>
  <c r="BT41" i="31"/>
  <c r="BT42" i="31" s="1"/>
  <c r="BT51" i="31" s="1"/>
  <c r="B23" i="56" s="1"/>
  <c r="O41" i="31"/>
  <c r="BY41" i="31"/>
  <c r="BL41" i="31"/>
  <c r="BJ41" i="31"/>
  <c r="L42" i="31"/>
  <c r="AA34" i="31"/>
  <c r="AE54" i="32"/>
  <c r="W50" i="31"/>
  <c r="U26" i="68"/>
  <c r="AE53" i="32"/>
  <c r="P42" i="31"/>
  <c r="T40" i="31"/>
  <c r="X40" i="31" s="1"/>
  <c r="X42" i="31" s="1"/>
  <c r="BW40" i="31"/>
  <c r="Y46" i="83"/>
  <c r="Y50" i="83" s="1"/>
  <c r="AA46" i="83"/>
  <c r="AA50" i="83" s="1"/>
  <c r="Z47" i="31"/>
  <c r="AB47" i="31"/>
  <c r="Y46" i="31"/>
  <c r="AD46" i="31" s="1"/>
  <c r="AD45" i="83"/>
  <c r="W26" i="68"/>
  <c r="Y23" i="68"/>
  <c r="X49" i="31"/>
  <c r="Z49" i="31" s="1"/>
  <c r="BW49" i="83"/>
  <c r="T49" i="83"/>
  <c r="AB52" i="32"/>
  <c r="AA39" i="31"/>
  <c r="Y39" i="31"/>
  <c r="BL42" i="31"/>
  <c r="BL51" i="31" s="1"/>
  <c r="B19" i="56" s="1"/>
  <c r="BO40" i="31"/>
  <c r="BQ40" i="31"/>
  <c r="BS40" i="31"/>
  <c r="Y23" i="32"/>
  <c r="U26" i="32"/>
  <c r="AP42" i="31"/>
  <c r="AP51" i="31" s="1"/>
  <c r="AA36" i="68"/>
  <c r="Y45" i="31"/>
  <c r="BO50" i="31"/>
  <c r="K48" i="83"/>
  <c r="L48" i="83" s="1"/>
  <c r="J50" i="83"/>
  <c r="J51" i="83" s="1"/>
  <c r="W26" i="32"/>
  <c r="Y33" i="87"/>
  <c r="AA33" i="87"/>
  <c r="AS42" i="31"/>
  <c r="AS51" i="31" s="1"/>
  <c r="B24" i="56" s="1"/>
  <c r="Z23" i="32"/>
  <c r="AB23" i="32"/>
  <c r="AB26" i="32" s="1"/>
  <c r="V26" i="32"/>
  <c r="Z47" i="83"/>
  <c r="AE47" i="83" s="1"/>
  <c r="BJ42" i="31"/>
  <c r="BJ51" i="31" s="1"/>
  <c r="B18" i="56" s="1"/>
  <c r="C18" i="56" s="1"/>
  <c r="AA26" i="32"/>
  <c r="AB36" i="31"/>
  <c r="BY42" i="31"/>
  <c r="BY51" i="31" s="1"/>
  <c r="AB49" i="31"/>
  <c r="P27" i="83"/>
  <c r="BY27" i="83"/>
  <c r="BT27" i="83"/>
  <c r="BT34" i="83" s="1"/>
  <c r="BT51" i="83" s="1"/>
  <c r="B23" i="84" s="1"/>
  <c r="O27" i="83"/>
  <c r="B27" i="84"/>
  <c r="BJ27" i="83"/>
  <c r="BJ34" i="83" s="1"/>
  <c r="BJ51" i="83" s="1"/>
  <c r="B18" i="84" s="1"/>
  <c r="BL27" i="83"/>
  <c r="BL34" i="83" s="1"/>
  <c r="BL51" i="83" s="1"/>
  <c r="B19" i="84" s="1"/>
  <c r="U36" i="68"/>
  <c r="BC66" i="68"/>
  <c r="BO36" i="87"/>
  <c r="AA22" i="68"/>
  <c r="U34" i="87"/>
  <c r="AA34" i="87" s="1"/>
  <c r="AS27" i="83"/>
  <c r="AS34" i="83" s="1"/>
  <c r="AS51" i="83" s="1"/>
  <c r="B24" i="84" s="1"/>
  <c r="AP34" i="83"/>
  <c r="AP51" i="83" s="1"/>
  <c r="Y26" i="31"/>
  <c r="AD26" i="31" s="1"/>
  <c r="AD38" i="32"/>
  <c r="AE41" i="32"/>
  <c r="O22" i="87"/>
  <c r="BP22" i="87"/>
  <c r="BP28" i="87" s="1"/>
  <c r="BP37" i="87" s="1"/>
  <c r="B22" i="88" s="1"/>
  <c r="P22" i="87"/>
  <c r="BU22" i="87"/>
  <c r="B26" i="88"/>
  <c r="BG22" i="87"/>
  <c r="BG28" i="87" s="1"/>
  <c r="BG37" i="87" s="1"/>
  <c r="B18" i="88" s="1"/>
  <c r="BI22" i="87"/>
  <c r="BI28" i="87" s="1"/>
  <c r="BI37" i="87" s="1"/>
  <c r="B19" i="88" s="1"/>
  <c r="U32" i="87"/>
  <c r="AA32" i="87" s="1"/>
  <c r="AA35" i="87"/>
  <c r="BS50" i="31"/>
  <c r="BS51" i="31" s="1"/>
  <c r="AB26" i="87"/>
  <c r="AD28" i="68"/>
  <c r="AD34" i="32"/>
  <c r="U34" i="31"/>
  <c r="W34" i="87"/>
  <c r="C24" i="56"/>
  <c r="U50" i="31"/>
  <c r="T25" i="87"/>
  <c r="X25" i="87" s="1"/>
  <c r="Y31" i="68"/>
  <c r="AD31" i="68" s="1"/>
  <c r="W32" i="87"/>
  <c r="AA23" i="68"/>
  <c r="BW26" i="83"/>
  <c r="R26" i="83"/>
  <c r="W26" i="83" s="1"/>
  <c r="O34" i="83"/>
  <c r="O51" i="83" s="1"/>
  <c r="BQ50" i="31"/>
  <c r="X26" i="87"/>
  <c r="Z26" i="87" s="1"/>
  <c r="C23" i="56"/>
  <c r="C25" i="56"/>
  <c r="BS25" i="87"/>
  <c r="R25" i="87"/>
  <c r="W25" i="87" s="1"/>
  <c r="AS22" i="87"/>
  <c r="AS28" i="87" s="1"/>
  <c r="AS37" i="87" s="1"/>
  <c r="B23" i="88" s="1"/>
  <c r="AP28" i="87"/>
  <c r="AP37" i="87" s="1"/>
  <c r="BS21" i="87"/>
  <c r="P28" i="87"/>
  <c r="P37" i="87" s="1"/>
  <c r="T21" i="87"/>
  <c r="V21" i="87" s="1"/>
  <c r="AB21" i="87" s="1"/>
  <c r="K28" i="83"/>
  <c r="L28" i="83" s="1"/>
  <c r="Y23" i="31"/>
  <c r="P48" i="31"/>
  <c r="L50" i="31"/>
  <c r="L51" i="31" s="1"/>
  <c r="BO25" i="87"/>
  <c r="BM25" i="87"/>
  <c r="BK25" i="87"/>
  <c r="Y31" i="87"/>
  <c r="AD31" i="87" s="1"/>
  <c r="AE41" i="68"/>
  <c r="BS23" i="87"/>
  <c r="T23" i="87"/>
  <c r="X23" i="87" s="1"/>
  <c r="C19" i="56"/>
  <c r="T26" i="83"/>
  <c r="X26" i="83" s="1"/>
  <c r="Y22" i="68"/>
  <c r="B17" i="56" l="1"/>
  <c r="AD23" i="68"/>
  <c r="AD40" i="32"/>
  <c r="AD46" i="32" s="1"/>
  <c r="Y46" i="32"/>
  <c r="Y50" i="31"/>
  <c r="AD48" i="32"/>
  <c r="AD56" i="32" s="1"/>
  <c r="AD24" i="68"/>
  <c r="AE42" i="83"/>
  <c r="Y26" i="32"/>
  <c r="Z42" i="83"/>
  <c r="U66" i="32"/>
  <c r="Y36" i="32"/>
  <c r="Z23" i="68"/>
  <c r="Z26" i="68" s="1"/>
  <c r="AE34" i="68"/>
  <c r="AE36" i="68" s="1"/>
  <c r="AD36" i="32"/>
  <c r="AD44" i="31"/>
  <c r="Z36" i="32"/>
  <c r="Y26" i="68"/>
  <c r="AD38" i="68"/>
  <c r="AD46" i="68" s="1"/>
  <c r="X66" i="68"/>
  <c r="Y56" i="32"/>
  <c r="AD45" i="31"/>
  <c r="Z34" i="31"/>
  <c r="AB23" i="68"/>
  <c r="AB26" i="68" s="1"/>
  <c r="AB66" i="68" s="1"/>
  <c r="Z56" i="32"/>
  <c r="AE65" i="32"/>
  <c r="U66" i="68"/>
  <c r="AE36" i="31"/>
  <c r="X66" i="32"/>
  <c r="V66" i="32"/>
  <c r="AE34" i="31"/>
  <c r="V66" i="68"/>
  <c r="W66" i="32"/>
  <c r="Z46" i="68"/>
  <c r="Z56" i="68"/>
  <c r="AE26" i="87"/>
  <c r="W66" i="68"/>
  <c r="AE56" i="68"/>
  <c r="AE23" i="32"/>
  <c r="AE26" i="32" s="1"/>
  <c r="U36" i="87"/>
  <c r="Y32" i="87"/>
  <c r="AD32" i="87" s="1"/>
  <c r="AE52" i="32"/>
  <c r="AE56" i="32" s="1"/>
  <c r="AD35" i="87"/>
  <c r="AA66" i="32"/>
  <c r="W36" i="87"/>
  <c r="Y34" i="31"/>
  <c r="AB56" i="32"/>
  <c r="AB66" i="32" s="1"/>
  <c r="Z26" i="32"/>
  <c r="AE47" i="31"/>
  <c r="AD37" i="83"/>
  <c r="AD42" i="83" s="1"/>
  <c r="Y42" i="83"/>
  <c r="U26" i="83"/>
  <c r="AA26" i="83" s="1"/>
  <c r="AA36" i="87"/>
  <c r="AE49" i="31"/>
  <c r="AD33" i="87"/>
  <c r="AD23" i="32"/>
  <c r="AD26" i="32" s="1"/>
  <c r="V49" i="83"/>
  <c r="BO41" i="31"/>
  <c r="BO42" i="31" s="1"/>
  <c r="BO51" i="31" s="1"/>
  <c r="BQ41" i="31"/>
  <c r="BQ42" i="31" s="1"/>
  <c r="BS41" i="31"/>
  <c r="BQ51" i="31"/>
  <c r="B22" i="56" s="1"/>
  <c r="Y34" i="87"/>
  <c r="X49" i="83"/>
  <c r="BW41" i="31"/>
  <c r="U41" i="31"/>
  <c r="U42" i="31" s="1"/>
  <c r="U51" i="31" s="1"/>
  <c r="W41" i="31"/>
  <c r="W42" i="31" s="1"/>
  <c r="W51" i="31" s="1"/>
  <c r="O42" i="31"/>
  <c r="O51" i="31" s="1"/>
  <c r="AD39" i="31"/>
  <c r="P48" i="83"/>
  <c r="L50" i="83"/>
  <c r="AD46" i="83"/>
  <c r="AD50" i="83" s="1"/>
  <c r="V40" i="31"/>
  <c r="P28" i="83"/>
  <c r="L34" i="83"/>
  <c r="L51" i="83" s="1"/>
  <c r="V26" i="83"/>
  <c r="BW48" i="31"/>
  <c r="T48" i="31"/>
  <c r="X48" i="31" s="1"/>
  <c r="X50" i="31" s="1"/>
  <c r="X51" i="31" s="1"/>
  <c r="P50" i="31"/>
  <c r="P51" i="31" s="1"/>
  <c r="B36" i="56" s="1"/>
  <c r="U25" i="87"/>
  <c r="Y25" i="87" s="1"/>
  <c r="V25" i="87"/>
  <c r="Z25" i="87" s="1"/>
  <c r="AD36" i="68"/>
  <c r="C19" i="88"/>
  <c r="T22" i="87"/>
  <c r="V22" i="87" s="1"/>
  <c r="AB22" i="87" s="1"/>
  <c r="AD22" i="68"/>
  <c r="AE36" i="32"/>
  <c r="C18" i="84"/>
  <c r="B17" i="84"/>
  <c r="BQ27" i="83"/>
  <c r="BQ34" i="83" s="1"/>
  <c r="BQ51" i="83" s="1"/>
  <c r="BO27" i="83"/>
  <c r="BO34" i="83" s="1"/>
  <c r="BO51" i="83" s="1"/>
  <c r="B22" i="84" s="1"/>
  <c r="BS27" i="83"/>
  <c r="BS34" i="83" s="1"/>
  <c r="BS51" i="83" s="1"/>
  <c r="BY34" i="83"/>
  <c r="BY51" i="83" s="1"/>
  <c r="V23" i="87"/>
  <c r="C18" i="88"/>
  <c r="B17" i="88"/>
  <c r="C22" i="88"/>
  <c r="AE46" i="32"/>
  <c r="C27" i="84"/>
  <c r="B25" i="84"/>
  <c r="T27" i="83"/>
  <c r="V27" i="83" s="1"/>
  <c r="C17" i="56"/>
  <c r="B24" i="88"/>
  <c r="C26" i="88"/>
  <c r="BS22" i="87"/>
  <c r="R22" i="87"/>
  <c r="O28" i="87"/>
  <c r="O37" i="87" s="1"/>
  <c r="B34" i="88" s="1"/>
  <c r="C24" i="84"/>
  <c r="AA26" i="68"/>
  <c r="AA66" i="68" s="1"/>
  <c r="Y36" i="68"/>
  <c r="BW27" i="83"/>
  <c r="R27" i="83"/>
  <c r="AE46" i="68"/>
  <c r="AD23" i="31"/>
  <c r="X21" i="87"/>
  <c r="Z21" i="87" s="1"/>
  <c r="C23" i="88"/>
  <c r="BO22" i="87"/>
  <c r="BO28" i="87" s="1"/>
  <c r="BO37" i="87" s="1"/>
  <c r="BK22" i="87"/>
  <c r="BK28" i="87" s="1"/>
  <c r="BK37" i="87" s="1"/>
  <c r="BM22" i="87"/>
  <c r="BM28" i="87" s="1"/>
  <c r="BM37" i="87" s="1"/>
  <c r="BU28" i="87"/>
  <c r="BU37" i="87" s="1"/>
  <c r="C19" i="84"/>
  <c r="C23" i="84"/>
  <c r="Y66" i="68" l="1"/>
  <c r="AD50" i="31"/>
  <c r="Y66" i="32"/>
  <c r="AE23" i="68"/>
  <c r="AE26" i="68" s="1"/>
  <c r="AE66" i="68" s="1"/>
  <c r="Z66" i="32"/>
  <c r="Z66" i="68"/>
  <c r="AA25" i="87"/>
  <c r="AD25" i="87" s="1"/>
  <c r="Y36" i="87"/>
  <c r="AE66" i="32"/>
  <c r="V48" i="31"/>
  <c r="V50" i="31" s="1"/>
  <c r="AD34" i="87"/>
  <c r="AD36" i="87" s="1"/>
  <c r="Z49" i="83"/>
  <c r="AB40" i="31"/>
  <c r="V42" i="31"/>
  <c r="Y26" i="83"/>
  <c r="AD26" i="83" s="1"/>
  <c r="Y41" i="31"/>
  <c r="AB27" i="83"/>
  <c r="AD66" i="32"/>
  <c r="AF15" i="32" s="1"/>
  <c r="AG48" i="32" s="1"/>
  <c r="BW48" i="83"/>
  <c r="P50" i="83"/>
  <c r="T48" i="83"/>
  <c r="V48" i="83" s="1"/>
  <c r="Z40" i="31"/>
  <c r="Z42" i="31" s="1"/>
  <c r="AA41" i="31"/>
  <c r="AA42" i="31" s="1"/>
  <c r="AA51" i="31" s="1"/>
  <c r="AB49" i="83"/>
  <c r="B38" i="56"/>
  <c r="B37" i="56"/>
  <c r="AE21" i="87"/>
  <c r="B21" i="84"/>
  <c r="C22" i="84"/>
  <c r="AD34" i="31"/>
  <c r="V28" i="87"/>
  <c r="V37" i="87" s="1"/>
  <c r="W27" i="83"/>
  <c r="W34" i="83" s="1"/>
  <c r="W51" i="83" s="1"/>
  <c r="B36" i="88"/>
  <c r="B35" i="88"/>
  <c r="U22" i="87"/>
  <c r="U28" i="87" s="1"/>
  <c r="U37" i="87" s="1"/>
  <c r="X27" i="83"/>
  <c r="Z27" i="83" s="1"/>
  <c r="C17" i="88"/>
  <c r="X22" i="87"/>
  <c r="X28" i="87" s="1"/>
  <c r="X37" i="87" s="1"/>
  <c r="Z26" i="83"/>
  <c r="AB25" i="87"/>
  <c r="BW28" i="83"/>
  <c r="T28" i="83"/>
  <c r="V28" i="83" s="1"/>
  <c r="P34" i="83"/>
  <c r="P51" i="83" s="1"/>
  <c r="B36" i="84" s="1"/>
  <c r="Z23" i="87"/>
  <c r="U27" i="83"/>
  <c r="U34" i="83" s="1"/>
  <c r="U51" i="83" s="1"/>
  <c r="W22" i="87"/>
  <c r="W28" i="87" s="1"/>
  <c r="W37" i="87" s="1"/>
  <c r="C25" i="84"/>
  <c r="B21" i="88"/>
  <c r="C24" i="88"/>
  <c r="C17" i="84"/>
  <c r="B16" i="84"/>
  <c r="AD26" i="68"/>
  <c r="AD66" i="68" s="1"/>
  <c r="AF15" i="68" s="1"/>
  <c r="B21" i="56"/>
  <c r="C22" i="56"/>
  <c r="AB23" i="87"/>
  <c r="AB26" i="83"/>
  <c r="AB48" i="31" l="1"/>
  <c r="AB50" i="31" s="1"/>
  <c r="AG51" i="32"/>
  <c r="AI51" i="32" s="1"/>
  <c r="AK51" i="32" s="1"/>
  <c r="AM51" i="32" s="1"/>
  <c r="AF25" i="32"/>
  <c r="AH25" i="32" s="1"/>
  <c r="AJ25" i="32" s="1"/>
  <c r="AL25" i="32" s="1"/>
  <c r="BI25" i="32" s="1"/>
  <c r="BJ25" i="32" s="1"/>
  <c r="AF38" i="32"/>
  <c r="AH38" i="32" s="1"/>
  <c r="AG61" i="32"/>
  <c r="AI61" i="32" s="1"/>
  <c r="AK61" i="32" s="1"/>
  <c r="AM61" i="32" s="1"/>
  <c r="AF44" i="32"/>
  <c r="AH44" i="32" s="1"/>
  <c r="AJ44" i="32" s="1"/>
  <c r="AL44" i="32" s="1"/>
  <c r="AG44" i="32"/>
  <c r="AI44" i="32" s="1"/>
  <c r="AK44" i="32" s="1"/>
  <c r="AM44" i="32" s="1"/>
  <c r="AG23" i="32"/>
  <c r="AF58" i="32"/>
  <c r="AF45" i="32"/>
  <c r="AH45" i="32" s="1"/>
  <c r="AJ45" i="32" s="1"/>
  <c r="AL45" i="32" s="1"/>
  <c r="AG52" i="32"/>
  <c r="AI52" i="32" s="1"/>
  <c r="AK52" i="32" s="1"/>
  <c r="AM52" i="32" s="1"/>
  <c r="AF40" i="32"/>
  <c r="AH40" i="32" s="1"/>
  <c r="AJ40" i="32" s="1"/>
  <c r="AL40" i="32" s="1"/>
  <c r="AF28" i="32"/>
  <c r="AH28" i="32" s="1"/>
  <c r="AF39" i="32"/>
  <c r="AH39" i="32" s="1"/>
  <c r="AJ39" i="32" s="1"/>
  <c r="AL39" i="32" s="1"/>
  <c r="AF20" i="32"/>
  <c r="AH20" i="32" s="1"/>
  <c r="AF60" i="32"/>
  <c r="AH60" i="32" s="1"/>
  <c r="AJ60" i="32" s="1"/>
  <c r="AL60" i="32" s="1"/>
  <c r="AF41" i="32"/>
  <c r="AH41" i="32" s="1"/>
  <c r="AJ41" i="32" s="1"/>
  <c r="AL41" i="32" s="1"/>
  <c r="X28" i="83"/>
  <c r="Z28" i="83" s="1"/>
  <c r="Z34" i="83" s="1"/>
  <c r="Z48" i="31"/>
  <c r="Z50" i="31" s="1"/>
  <c r="Z51" i="31" s="1"/>
  <c r="V51" i="31"/>
  <c r="AE49" i="83"/>
  <c r="AG35" i="32"/>
  <c r="AI35" i="32" s="1"/>
  <c r="AK35" i="32" s="1"/>
  <c r="AM35" i="32" s="1"/>
  <c r="AF50" i="32"/>
  <c r="AH50" i="32" s="1"/>
  <c r="AJ50" i="32" s="1"/>
  <c r="AL50" i="32" s="1"/>
  <c r="AG43" i="32"/>
  <c r="AI43" i="32" s="1"/>
  <c r="AK43" i="32" s="1"/>
  <c r="AM43" i="32" s="1"/>
  <c r="AF23" i="32"/>
  <c r="AH23" i="32" s="1"/>
  <c r="AJ23" i="32" s="1"/>
  <c r="AL23" i="32" s="1"/>
  <c r="AG64" i="32"/>
  <c r="AI64" i="32" s="1"/>
  <c r="AK64" i="32" s="1"/>
  <c r="AM64" i="32" s="1"/>
  <c r="AG38" i="32"/>
  <c r="AI38" i="32" s="1"/>
  <c r="AF64" i="32"/>
  <c r="AH64" i="32" s="1"/>
  <c r="AJ64" i="32" s="1"/>
  <c r="AL64" i="32" s="1"/>
  <c r="AG50" i="32"/>
  <c r="AI50" i="32" s="1"/>
  <c r="AK50" i="32" s="1"/>
  <c r="AM50" i="32" s="1"/>
  <c r="AE23" i="87"/>
  <c r="AG41" i="32"/>
  <c r="AI41" i="32" s="1"/>
  <c r="AK41" i="32" s="1"/>
  <c r="AM41" i="32" s="1"/>
  <c r="AG53" i="32"/>
  <c r="AI53" i="32" s="1"/>
  <c r="AK53" i="32" s="1"/>
  <c r="AM53" i="32" s="1"/>
  <c r="AF30" i="32"/>
  <c r="AH30" i="32" s="1"/>
  <c r="AJ30" i="32" s="1"/>
  <c r="AL30" i="32" s="1"/>
  <c r="BI30" i="32" s="1"/>
  <c r="BJ30" i="32" s="1"/>
  <c r="AF22" i="32"/>
  <c r="AH22" i="32" s="1"/>
  <c r="AJ22" i="32" s="1"/>
  <c r="AL22" i="32" s="1"/>
  <c r="BI22" i="32" s="1"/>
  <c r="BJ22" i="32" s="1"/>
  <c r="AF29" i="32"/>
  <c r="AH29" i="32" s="1"/>
  <c r="AJ29" i="32" s="1"/>
  <c r="AL29" i="32" s="1"/>
  <c r="BI29" i="32" s="1"/>
  <c r="BJ29" i="32" s="1"/>
  <c r="AF55" i="32"/>
  <c r="AH55" i="32" s="1"/>
  <c r="AJ55" i="32" s="1"/>
  <c r="AL55" i="32" s="1"/>
  <c r="AF43" i="32"/>
  <c r="AH43" i="32" s="1"/>
  <c r="AJ43" i="32" s="1"/>
  <c r="AL43" i="32" s="1"/>
  <c r="AF59" i="32"/>
  <c r="AH59" i="32" s="1"/>
  <c r="AJ59" i="32" s="1"/>
  <c r="AL59" i="32" s="1"/>
  <c r="V50" i="83"/>
  <c r="X48" i="83"/>
  <c r="AF34" i="32"/>
  <c r="AH34" i="32" s="1"/>
  <c r="AJ34" i="32" s="1"/>
  <c r="AL34" i="32" s="1"/>
  <c r="AF48" i="32"/>
  <c r="AH48" i="32" s="1"/>
  <c r="AF33" i="32"/>
  <c r="AH33" i="32" s="1"/>
  <c r="AJ33" i="32" s="1"/>
  <c r="AL33" i="32" s="1"/>
  <c r="BI33" i="32" s="1"/>
  <c r="BJ33" i="32" s="1"/>
  <c r="AF35" i="32"/>
  <c r="AH35" i="32" s="1"/>
  <c r="AJ35" i="32" s="1"/>
  <c r="AL35" i="32" s="1"/>
  <c r="AG42" i="32"/>
  <c r="AI42" i="32" s="1"/>
  <c r="AK42" i="32" s="1"/>
  <c r="AM42" i="32" s="1"/>
  <c r="AG55" i="32"/>
  <c r="AI55" i="32" s="1"/>
  <c r="AK55" i="32" s="1"/>
  <c r="AM55" i="32" s="1"/>
  <c r="AF21" i="32"/>
  <c r="AH21" i="32" s="1"/>
  <c r="AJ21" i="32" s="1"/>
  <c r="AL21" i="32" s="1"/>
  <c r="BI21" i="32" s="1"/>
  <c r="BJ21" i="32" s="1"/>
  <c r="AG58" i="32"/>
  <c r="AI58" i="32" s="1"/>
  <c r="AF32" i="32"/>
  <c r="AH32" i="32" s="1"/>
  <c r="AJ32" i="32" s="1"/>
  <c r="AL32" i="32" s="1"/>
  <c r="BI32" i="32" s="1"/>
  <c r="BJ32" i="32" s="1"/>
  <c r="AG62" i="32"/>
  <c r="AI62" i="32" s="1"/>
  <c r="AK62" i="32" s="1"/>
  <c r="AM62" i="32" s="1"/>
  <c r="AF24" i="32"/>
  <c r="AH24" i="32" s="1"/>
  <c r="AJ24" i="32" s="1"/>
  <c r="AL24" i="32" s="1"/>
  <c r="AF63" i="32"/>
  <c r="AH63" i="32" s="1"/>
  <c r="AJ63" i="32" s="1"/>
  <c r="AL63" i="32" s="1"/>
  <c r="AF52" i="32"/>
  <c r="AH52" i="32" s="1"/>
  <c r="AJ52" i="32" s="1"/>
  <c r="AL52" i="32" s="1"/>
  <c r="AF53" i="32"/>
  <c r="AH53" i="32" s="1"/>
  <c r="AJ53" i="32" s="1"/>
  <c r="AL53" i="32" s="1"/>
  <c r="AF51" i="32"/>
  <c r="AH51" i="32" s="1"/>
  <c r="AJ51" i="32" s="1"/>
  <c r="AL51" i="32" s="1"/>
  <c r="AF62" i="32"/>
  <c r="AH62" i="32" s="1"/>
  <c r="AJ62" i="32" s="1"/>
  <c r="AL62" i="32" s="1"/>
  <c r="AA22" i="87"/>
  <c r="AA28" i="87" s="1"/>
  <c r="AA37" i="87" s="1"/>
  <c r="AB48" i="83"/>
  <c r="AB50" i="83" s="1"/>
  <c r="AD41" i="31"/>
  <c r="AD42" i="31" s="1"/>
  <c r="AD51" i="31" s="1"/>
  <c r="AF17" i="31" s="1"/>
  <c r="Y42" i="31"/>
  <c r="Y51" i="31" s="1"/>
  <c r="AE40" i="31"/>
  <c r="AE42" i="31" s="1"/>
  <c r="AB42" i="31"/>
  <c r="AE26" i="83"/>
  <c r="AG34" i="32"/>
  <c r="AI34" i="32" s="1"/>
  <c r="AG24" i="32"/>
  <c r="AI24" i="32" s="1"/>
  <c r="AK24" i="32" s="1"/>
  <c r="AM24" i="32" s="1"/>
  <c r="AG54" i="32"/>
  <c r="AI54" i="32" s="1"/>
  <c r="AK54" i="32" s="1"/>
  <c r="AM54" i="32" s="1"/>
  <c r="AF31" i="32"/>
  <c r="AH31" i="32" s="1"/>
  <c r="AJ31" i="32" s="1"/>
  <c r="AL31" i="32" s="1"/>
  <c r="BI31" i="32" s="1"/>
  <c r="BJ31" i="32" s="1"/>
  <c r="AF49" i="32"/>
  <c r="AH49" i="32" s="1"/>
  <c r="AJ49" i="32" s="1"/>
  <c r="AL49" i="32" s="1"/>
  <c r="AG63" i="32"/>
  <c r="AI63" i="32" s="1"/>
  <c r="AK63" i="32" s="1"/>
  <c r="AM63" i="32" s="1"/>
  <c r="AG60" i="32"/>
  <c r="AI60" i="32" s="1"/>
  <c r="AK60" i="32" s="1"/>
  <c r="AM60" i="32" s="1"/>
  <c r="AG59" i="32"/>
  <c r="AI59" i="32" s="1"/>
  <c r="AK59" i="32" s="1"/>
  <c r="AM59" i="32" s="1"/>
  <c r="AG45" i="32"/>
  <c r="AI45" i="32" s="1"/>
  <c r="AK45" i="32" s="1"/>
  <c r="AM45" i="32" s="1"/>
  <c r="AF61" i="32"/>
  <c r="AH61" i="32" s="1"/>
  <c r="AJ61" i="32" s="1"/>
  <c r="AF42" i="32"/>
  <c r="AH42" i="32" s="1"/>
  <c r="AJ42" i="32" s="1"/>
  <c r="AG39" i="32"/>
  <c r="AI39" i="32" s="1"/>
  <c r="AK39" i="32" s="1"/>
  <c r="AM39" i="32" s="1"/>
  <c r="AG40" i="32"/>
  <c r="AI40" i="32" s="1"/>
  <c r="AK40" i="32" s="1"/>
  <c r="AM40" i="32" s="1"/>
  <c r="AF54" i="32"/>
  <c r="AH54" i="32" s="1"/>
  <c r="AJ54" i="32" s="1"/>
  <c r="AL54" i="32" s="1"/>
  <c r="AG49" i="32"/>
  <c r="AI49" i="32" s="1"/>
  <c r="AK49" i="32" s="1"/>
  <c r="AM49" i="32" s="1"/>
  <c r="AB28" i="83"/>
  <c r="AB34" i="83" s="1"/>
  <c r="V34" i="83"/>
  <c r="Z22" i="87"/>
  <c r="Z28" i="87" s="1"/>
  <c r="Z37" i="87" s="1"/>
  <c r="C21" i="56"/>
  <c r="B16" i="56"/>
  <c r="Y22" i="87"/>
  <c r="AE27" i="83"/>
  <c r="AI48" i="32"/>
  <c r="C21" i="88"/>
  <c r="B20" i="88"/>
  <c r="AF42" i="68"/>
  <c r="AH42" i="68" s="1"/>
  <c r="AF50" i="68"/>
  <c r="AH50" i="68" s="1"/>
  <c r="AF48" i="68"/>
  <c r="AF20" i="68"/>
  <c r="AF60" i="68"/>
  <c r="AH60" i="68" s="1"/>
  <c r="AF53" i="68"/>
  <c r="AH53" i="68" s="1"/>
  <c r="AF52" i="68"/>
  <c r="AH52" i="68" s="1"/>
  <c r="AF55" i="68"/>
  <c r="AH55" i="68" s="1"/>
  <c r="AF44" i="68"/>
  <c r="AH44" i="68" s="1"/>
  <c r="AG39" i="68"/>
  <c r="AI39" i="68" s="1"/>
  <c r="AK39" i="68" s="1"/>
  <c r="AM39" i="68" s="1"/>
  <c r="AF49" i="68"/>
  <c r="AH49" i="68" s="1"/>
  <c r="AF43" i="68"/>
  <c r="AH43" i="68" s="1"/>
  <c r="AF51" i="68"/>
  <c r="AH51" i="68" s="1"/>
  <c r="AF59" i="68"/>
  <c r="AH59" i="68" s="1"/>
  <c r="AF41" i="68"/>
  <c r="AH41" i="68" s="1"/>
  <c r="AF61" i="68"/>
  <c r="AH61" i="68" s="1"/>
  <c r="AF24" i="68"/>
  <c r="AH24" i="68" s="1"/>
  <c r="AF54" i="68"/>
  <c r="AH54" i="68" s="1"/>
  <c r="AF62" i="68"/>
  <c r="AH62" i="68" s="1"/>
  <c r="AF63" i="68"/>
  <c r="AH63" i="68" s="1"/>
  <c r="AG40" i="68"/>
  <c r="AI40" i="68" s="1"/>
  <c r="AK40" i="68" s="1"/>
  <c r="AM40" i="68" s="1"/>
  <c r="AG38" i="68"/>
  <c r="AF45" i="68"/>
  <c r="AH45" i="68" s="1"/>
  <c r="AF64" i="68"/>
  <c r="AH64" i="68" s="1"/>
  <c r="AF58" i="68"/>
  <c r="AG45" i="68"/>
  <c r="AI45" i="68" s="1"/>
  <c r="AK45" i="68" s="1"/>
  <c r="AM45" i="68" s="1"/>
  <c r="AG61" i="68"/>
  <c r="AI61" i="68" s="1"/>
  <c r="AK61" i="68" s="1"/>
  <c r="AM61" i="68" s="1"/>
  <c r="AG64" i="68"/>
  <c r="AI64" i="68" s="1"/>
  <c r="AK64" i="68" s="1"/>
  <c r="AM64" i="68" s="1"/>
  <c r="AG50" i="68"/>
  <c r="AI50" i="68" s="1"/>
  <c r="AK50" i="68" s="1"/>
  <c r="AM50" i="68" s="1"/>
  <c r="AG62" i="68"/>
  <c r="AI62" i="68" s="1"/>
  <c r="AK62" i="68" s="1"/>
  <c r="AM62" i="68" s="1"/>
  <c r="AF40" i="68"/>
  <c r="AH40" i="68" s="1"/>
  <c r="AG59" i="68"/>
  <c r="AI59" i="68" s="1"/>
  <c r="AK59" i="68" s="1"/>
  <c r="AM59" i="68" s="1"/>
  <c r="AG63" i="68"/>
  <c r="AI63" i="68" s="1"/>
  <c r="AK63" i="68" s="1"/>
  <c r="AM63" i="68" s="1"/>
  <c r="AF21" i="68"/>
  <c r="AH21" i="68" s="1"/>
  <c r="AF30" i="68"/>
  <c r="AH30" i="68" s="1"/>
  <c r="AG52" i="68"/>
  <c r="AI52" i="68" s="1"/>
  <c r="AK52" i="68" s="1"/>
  <c r="AM52" i="68" s="1"/>
  <c r="AG58" i="68"/>
  <c r="AG51" i="68"/>
  <c r="AI51" i="68" s="1"/>
  <c r="AK51" i="68" s="1"/>
  <c r="AM51" i="68" s="1"/>
  <c r="AG53" i="68"/>
  <c r="AI53" i="68" s="1"/>
  <c r="AK53" i="68" s="1"/>
  <c r="AM53" i="68" s="1"/>
  <c r="AG54" i="68"/>
  <c r="AI54" i="68" s="1"/>
  <c r="AK54" i="68" s="1"/>
  <c r="AM54" i="68" s="1"/>
  <c r="AG60" i="68"/>
  <c r="AI60" i="68" s="1"/>
  <c r="AK60" i="68" s="1"/>
  <c r="AM60" i="68" s="1"/>
  <c r="AG55" i="68"/>
  <c r="AI55" i="68" s="1"/>
  <c r="AK55" i="68" s="1"/>
  <c r="AM55" i="68" s="1"/>
  <c r="AF34" i="68"/>
  <c r="AH34" i="68" s="1"/>
  <c r="AF29" i="68"/>
  <c r="AH29" i="68" s="1"/>
  <c r="AG35" i="68"/>
  <c r="AI35" i="68" s="1"/>
  <c r="AK35" i="68" s="1"/>
  <c r="AM35" i="68" s="1"/>
  <c r="AG49" i="68"/>
  <c r="AI49" i="68" s="1"/>
  <c r="AK49" i="68" s="1"/>
  <c r="AM49" i="68" s="1"/>
  <c r="AG24" i="68"/>
  <c r="AI24" i="68" s="1"/>
  <c r="AK24" i="68" s="1"/>
  <c r="AM24" i="68" s="1"/>
  <c r="AF33" i="68"/>
  <c r="AH33" i="68" s="1"/>
  <c r="AG43" i="68"/>
  <c r="AI43" i="68" s="1"/>
  <c r="AK43" i="68" s="1"/>
  <c r="AM43" i="68" s="1"/>
  <c r="AG48" i="68"/>
  <c r="AF25" i="68"/>
  <c r="AH25" i="68" s="1"/>
  <c r="AG42" i="68"/>
  <c r="AI42" i="68" s="1"/>
  <c r="AK42" i="68" s="1"/>
  <c r="AM42" i="68" s="1"/>
  <c r="AF35" i="68"/>
  <c r="AH35" i="68" s="1"/>
  <c r="AG44" i="68"/>
  <c r="AI44" i="68" s="1"/>
  <c r="AK44" i="68" s="1"/>
  <c r="AM44" i="68" s="1"/>
  <c r="AF32" i="68"/>
  <c r="AH32" i="68" s="1"/>
  <c r="AF39" i="68"/>
  <c r="AH39" i="68" s="1"/>
  <c r="AF31" i="68"/>
  <c r="AH31" i="68" s="1"/>
  <c r="AG41" i="68"/>
  <c r="AI41" i="68" s="1"/>
  <c r="AK41" i="68" s="1"/>
  <c r="AM41" i="68" s="1"/>
  <c r="AG34" i="68"/>
  <c r="AG23" i="68"/>
  <c r="AF23" i="68"/>
  <c r="AH23" i="68" s="1"/>
  <c r="AF28" i="68"/>
  <c r="AF38" i="68"/>
  <c r="C16" i="84"/>
  <c r="B38" i="84"/>
  <c r="B37" i="84"/>
  <c r="AB28" i="87"/>
  <c r="AB37" i="87" s="1"/>
  <c r="AE25" i="87"/>
  <c r="Y27" i="83"/>
  <c r="Y34" i="83" s="1"/>
  <c r="Y51" i="83" s="1"/>
  <c r="AA27" i="83"/>
  <c r="AA34" i="83" s="1"/>
  <c r="AA51" i="83" s="1"/>
  <c r="AF22" i="68"/>
  <c r="AH22" i="68" s="1"/>
  <c r="C21" i="84"/>
  <c r="AB51" i="31" l="1"/>
  <c r="BI44" i="32"/>
  <c r="BJ44" i="32" s="1"/>
  <c r="BI41" i="32"/>
  <c r="BJ41" i="32" s="1"/>
  <c r="BI52" i="32"/>
  <c r="BJ52" i="32" s="1"/>
  <c r="BI60" i="32"/>
  <c r="BJ60" i="32" s="1"/>
  <c r="BI59" i="32"/>
  <c r="BJ59" i="32" s="1"/>
  <c r="BI64" i="32"/>
  <c r="BJ64" i="32" s="1"/>
  <c r="BI24" i="32"/>
  <c r="BJ24" i="32" s="1"/>
  <c r="BI43" i="32"/>
  <c r="BJ43" i="32" s="1"/>
  <c r="BI50" i="32"/>
  <c r="BJ50" i="32" s="1"/>
  <c r="AG26" i="32"/>
  <c r="AI23" i="32"/>
  <c r="AK23" i="32" s="1"/>
  <c r="BI51" i="32"/>
  <c r="BJ51" i="32" s="1"/>
  <c r="AF46" i="32"/>
  <c r="BI39" i="32"/>
  <c r="BJ39" i="32" s="1"/>
  <c r="AG65" i="32"/>
  <c r="BI54" i="32"/>
  <c r="BJ54" i="32" s="1"/>
  <c r="AF26" i="32"/>
  <c r="AF65" i="32"/>
  <c r="AH58" i="32"/>
  <c r="AH65" i="32" s="1"/>
  <c r="AF36" i="32"/>
  <c r="X34" i="83"/>
  <c r="BI55" i="32"/>
  <c r="BJ55" i="32" s="1"/>
  <c r="BI62" i="32"/>
  <c r="BJ62" i="32" s="1"/>
  <c r="AG36" i="32"/>
  <c r="BI49" i="32"/>
  <c r="BJ49" i="32" s="1"/>
  <c r="BI53" i="32"/>
  <c r="BJ53" i="32" s="1"/>
  <c r="AL61" i="32"/>
  <c r="BI61" i="32" s="1"/>
  <c r="BJ61" i="32" s="1"/>
  <c r="AG46" i="32"/>
  <c r="AE22" i="87"/>
  <c r="AE28" i="87" s="1"/>
  <c r="AE37" i="87" s="1"/>
  <c r="AE48" i="31"/>
  <c r="AE50" i="31" s="1"/>
  <c r="AE51" i="31" s="1"/>
  <c r="BI63" i="32"/>
  <c r="BJ63" i="32" s="1"/>
  <c r="BI35" i="32"/>
  <c r="BJ35" i="32" s="1"/>
  <c r="AF56" i="32"/>
  <c r="AB51" i="83"/>
  <c r="AL42" i="32"/>
  <c r="BI42" i="32" s="1"/>
  <c r="BJ42" i="32" s="1"/>
  <c r="AF40" i="31"/>
  <c r="AH40" i="31" s="1"/>
  <c r="AJ40" i="31" s="1"/>
  <c r="AL40" i="31" s="1"/>
  <c r="AG44" i="31"/>
  <c r="AI44" i="31" s="1"/>
  <c r="AF24" i="31"/>
  <c r="AH24" i="31" s="1"/>
  <c r="AJ24" i="31" s="1"/>
  <c r="AL24" i="31" s="1"/>
  <c r="BU24" i="31" s="1"/>
  <c r="BV24" i="31" s="1"/>
  <c r="AF30" i="31"/>
  <c r="AH30" i="31" s="1"/>
  <c r="AJ30" i="31" s="1"/>
  <c r="AL30" i="31" s="1"/>
  <c r="AG31" i="31"/>
  <c r="AI31" i="31" s="1"/>
  <c r="AK31" i="31" s="1"/>
  <c r="AM31" i="31" s="1"/>
  <c r="AG26" i="31"/>
  <c r="AI26" i="31" s="1"/>
  <c r="AF44" i="31"/>
  <c r="AH44" i="31" s="1"/>
  <c r="AF26" i="31"/>
  <c r="AH26" i="31" s="1"/>
  <c r="AJ26" i="31" s="1"/>
  <c r="AF36" i="31"/>
  <c r="AH36" i="31" s="1"/>
  <c r="AG47" i="31"/>
  <c r="AI47" i="31" s="1"/>
  <c r="AK47" i="31" s="1"/>
  <c r="AM47" i="31" s="1"/>
  <c r="BU47" i="31" s="1"/>
  <c r="BV47" i="31" s="1"/>
  <c r="AF27" i="31"/>
  <c r="AH27" i="31" s="1"/>
  <c r="AJ27" i="31" s="1"/>
  <c r="AL27" i="31" s="1"/>
  <c r="AF46" i="31"/>
  <c r="AH46" i="31" s="1"/>
  <c r="AJ46" i="31" s="1"/>
  <c r="AL46" i="31" s="1"/>
  <c r="BU46" i="31" s="1"/>
  <c r="BV46" i="31" s="1"/>
  <c r="AG38" i="31"/>
  <c r="AI38" i="31" s="1"/>
  <c r="AK38" i="31" s="1"/>
  <c r="AM38" i="31" s="1"/>
  <c r="AF31" i="31"/>
  <c r="AH31" i="31" s="1"/>
  <c r="AJ31" i="31" s="1"/>
  <c r="AL31" i="31" s="1"/>
  <c r="AG37" i="31"/>
  <c r="AI37" i="31" s="1"/>
  <c r="AK37" i="31" s="1"/>
  <c r="AM37" i="31" s="1"/>
  <c r="AG32" i="31"/>
  <c r="AI32" i="31" s="1"/>
  <c r="AK32" i="31" s="1"/>
  <c r="AM32" i="31" s="1"/>
  <c r="AG29" i="31"/>
  <c r="AI29" i="31" s="1"/>
  <c r="AK29" i="31" s="1"/>
  <c r="AM29" i="31" s="1"/>
  <c r="AG49" i="31"/>
  <c r="AI49" i="31" s="1"/>
  <c r="AK49" i="31" s="1"/>
  <c r="AM49" i="31" s="1"/>
  <c r="BU49" i="31" s="1"/>
  <c r="BV49" i="31" s="1"/>
  <c r="AF28" i="31"/>
  <c r="AH28" i="31" s="1"/>
  <c r="AJ28" i="31" s="1"/>
  <c r="AL28" i="31" s="1"/>
  <c r="AF22" i="31"/>
  <c r="AH22" i="31" s="1"/>
  <c r="AG39" i="31"/>
  <c r="AI39" i="31" s="1"/>
  <c r="AK39" i="31" s="1"/>
  <c r="AM39" i="31" s="1"/>
  <c r="AF25" i="31"/>
  <c r="AH25" i="31" s="1"/>
  <c r="AJ25" i="31" s="1"/>
  <c r="AL25" i="31" s="1"/>
  <c r="BU25" i="31" s="1"/>
  <c r="BV25" i="31" s="1"/>
  <c r="AG41" i="31"/>
  <c r="AI41" i="31" s="1"/>
  <c r="AK41" i="31" s="1"/>
  <c r="AM41" i="31" s="1"/>
  <c r="AF41" i="31"/>
  <c r="AH41" i="31" s="1"/>
  <c r="AJ41" i="31" s="1"/>
  <c r="AG36" i="31"/>
  <c r="AI36" i="31" s="1"/>
  <c r="AF38" i="31"/>
  <c r="AH38" i="31" s="1"/>
  <c r="AJ38" i="31" s="1"/>
  <c r="AL38" i="31" s="1"/>
  <c r="AF29" i="31"/>
  <c r="AH29" i="31" s="1"/>
  <c r="AJ29" i="31" s="1"/>
  <c r="AL29" i="31" s="1"/>
  <c r="AF37" i="31"/>
  <c r="AH37" i="31" s="1"/>
  <c r="AJ37" i="31" s="1"/>
  <c r="AL37" i="31" s="1"/>
  <c r="AF32" i="31"/>
  <c r="AH32" i="31" s="1"/>
  <c r="AJ32" i="31" s="1"/>
  <c r="AL32" i="31" s="1"/>
  <c r="AG28" i="31"/>
  <c r="AI28" i="31" s="1"/>
  <c r="AK28" i="31" s="1"/>
  <c r="AM28" i="31" s="1"/>
  <c r="AG30" i="31"/>
  <c r="AI30" i="31" s="1"/>
  <c r="AK30" i="31" s="1"/>
  <c r="AM30" i="31" s="1"/>
  <c r="AF39" i="31"/>
  <c r="AH39" i="31" s="1"/>
  <c r="AJ39" i="31" s="1"/>
  <c r="AF45" i="31"/>
  <c r="AH45" i="31" s="1"/>
  <c r="AJ45" i="31" s="1"/>
  <c r="AL45" i="31" s="1"/>
  <c r="BU45" i="31" s="1"/>
  <c r="BV45" i="31" s="1"/>
  <c r="AF23" i="31"/>
  <c r="AH23" i="31" s="1"/>
  <c r="AJ23" i="31" s="1"/>
  <c r="AL23" i="31" s="1"/>
  <c r="BU23" i="31" s="1"/>
  <c r="BV23" i="31" s="1"/>
  <c r="AG27" i="31"/>
  <c r="AI27" i="31" s="1"/>
  <c r="AK27" i="31" s="1"/>
  <c r="AM27" i="31" s="1"/>
  <c r="BI45" i="32"/>
  <c r="BJ45" i="32" s="1"/>
  <c r="AG56" i="32"/>
  <c r="V51" i="83"/>
  <c r="Z48" i="83"/>
  <c r="Z50" i="83" s="1"/>
  <c r="Z51" i="83" s="1"/>
  <c r="X50" i="83"/>
  <c r="BI40" i="32"/>
  <c r="BJ40" i="32" s="1"/>
  <c r="AG40" i="31"/>
  <c r="AI40" i="31" s="1"/>
  <c r="AK40" i="31" s="1"/>
  <c r="AM40" i="31" s="1"/>
  <c r="AJ28" i="32"/>
  <c r="AJ36" i="32" s="1"/>
  <c r="AH36" i="32"/>
  <c r="AJ32" i="68"/>
  <c r="AL32" i="68" s="1"/>
  <c r="BI32" i="68" s="1"/>
  <c r="BJ32" i="68" s="1"/>
  <c r="AJ25" i="68"/>
  <c r="AL25" i="68" s="1"/>
  <c r="BI25" i="68" s="1"/>
  <c r="BJ25" i="68" s="1"/>
  <c r="AJ62" i="68"/>
  <c r="AL62" i="68" s="1"/>
  <c r="BI62" i="68" s="1"/>
  <c r="BJ62" i="68" s="1"/>
  <c r="AJ49" i="68"/>
  <c r="AL49" i="68" s="1"/>
  <c r="BI49" i="68" s="1"/>
  <c r="BJ49" i="68" s="1"/>
  <c r="AH26" i="32"/>
  <c r="AJ20" i="32"/>
  <c r="AJ26" i="32" s="1"/>
  <c r="AJ23" i="68"/>
  <c r="AL23" i="68" s="1"/>
  <c r="AJ31" i="68"/>
  <c r="AL31" i="68" s="1"/>
  <c r="BI31" i="68" s="1"/>
  <c r="BJ31" i="68" s="1"/>
  <c r="AJ35" i="68"/>
  <c r="AL35" i="68" s="1"/>
  <c r="BI35" i="68" s="1"/>
  <c r="BJ35" i="68" s="1"/>
  <c r="AG65" i="68"/>
  <c r="AI58" i="68"/>
  <c r="AF65" i="68"/>
  <c r="AH58" i="68"/>
  <c r="AJ24" i="68"/>
  <c r="AL24" i="68" s="1"/>
  <c r="BI24" i="68" s="1"/>
  <c r="BJ24" i="68" s="1"/>
  <c r="AJ51" i="68"/>
  <c r="AL51" i="68" s="1"/>
  <c r="BI51" i="68" s="1"/>
  <c r="BJ51" i="68" s="1"/>
  <c r="AJ44" i="68"/>
  <c r="AL44" i="68" s="1"/>
  <c r="BI44" i="68" s="1"/>
  <c r="BJ44" i="68" s="1"/>
  <c r="AJ60" i="68"/>
  <c r="AL60" i="68" s="1"/>
  <c r="BI60" i="68" s="1"/>
  <c r="BJ60" i="68" s="1"/>
  <c r="AJ42" i="68"/>
  <c r="AL42" i="68" s="1"/>
  <c r="BI42" i="68" s="1"/>
  <c r="BJ42" i="68" s="1"/>
  <c r="C20" i="88"/>
  <c r="B16" i="88"/>
  <c r="C16" i="56"/>
  <c r="AD27" i="83"/>
  <c r="AJ38" i="32"/>
  <c r="AJ46" i="32" s="1"/>
  <c r="AH46" i="32"/>
  <c r="AG26" i="68"/>
  <c r="AI23" i="68"/>
  <c r="AJ39" i="68"/>
  <c r="AL39" i="68" s="1"/>
  <c r="BI39" i="68" s="1"/>
  <c r="BJ39" i="68" s="1"/>
  <c r="AJ33" i="68"/>
  <c r="AL33" i="68" s="1"/>
  <c r="BI33" i="68" s="1"/>
  <c r="BJ33" i="68" s="1"/>
  <c r="AJ29" i="68"/>
  <c r="AL29" i="68" s="1"/>
  <c r="BI29" i="68" s="1"/>
  <c r="BJ29" i="68" s="1"/>
  <c r="AJ64" i="68"/>
  <c r="AL64" i="68" s="1"/>
  <c r="BI64" i="68" s="1"/>
  <c r="BJ64" i="68" s="1"/>
  <c r="AJ63" i="68"/>
  <c r="AL63" i="68" s="1"/>
  <c r="BI63" i="68" s="1"/>
  <c r="BJ63" i="68" s="1"/>
  <c r="AJ61" i="68"/>
  <c r="AL61" i="68" s="1"/>
  <c r="BI61" i="68" s="1"/>
  <c r="BJ61" i="68" s="1"/>
  <c r="AJ43" i="68"/>
  <c r="AL43" i="68" s="1"/>
  <c r="BI43" i="68" s="1"/>
  <c r="BJ43" i="68" s="1"/>
  <c r="AJ55" i="68"/>
  <c r="AL55" i="68" s="1"/>
  <c r="BI55" i="68" s="1"/>
  <c r="BJ55" i="68" s="1"/>
  <c r="AF26" i="68"/>
  <c r="AH20" i="68"/>
  <c r="AE28" i="83"/>
  <c r="AI46" i="32"/>
  <c r="AK38" i="32"/>
  <c r="AF46" i="68"/>
  <c r="AH38" i="68"/>
  <c r="AG36" i="68"/>
  <c r="AI34" i="68"/>
  <c r="AJ34" i="68"/>
  <c r="AL34" i="68" s="1"/>
  <c r="AJ30" i="68"/>
  <c r="AL30" i="68" s="1"/>
  <c r="BI30" i="68" s="1"/>
  <c r="BJ30" i="68" s="1"/>
  <c r="AJ40" i="68"/>
  <c r="AL40" i="68" s="1"/>
  <c r="BI40" i="68" s="1"/>
  <c r="BJ40" i="68" s="1"/>
  <c r="AJ45" i="68"/>
  <c r="AL45" i="68" s="1"/>
  <c r="BI45" i="68" s="1"/>
  <c r="BJ45" i="68" s="1"/>
  <c r="AJ41" i="68"/>
  <c r="AL41" i="68" s="1"/>
  <c r="BI41" i="68" s="1"/>
  <c r="BJ41" i="68" s="1"/>
  <c r="AJ52" i="68"/>
  <c r="AL52" i="68" s="1"/>
  <c r="BI52" i="68" s="1"/>
  <c r="BJ52" i="68" s="1"/>
  <c r="AF56" i="68"/>
  <c r="AH48" i="68"/>
  <c r="AK34" i="32"/>
  <c r="AI36" i="32"/>
  <c r="AH56" i="32"/>
  <c r="AJ48" i="32"/>
  <c r="AJ56" i="32" s="1"/>
  <c r="AJ22" i="68"/>
  <c r="AL22" i="68" s="1"/>
  <c r="BI22" i="68" s="1"/>
  <c r="BJ22" i="68" s="1"/>
  <c r="AK58" i="32"/>
  <c r="AI65" i="32"/>
  <c r="AF36" i="68"/>
  <c r="AH28" i="68"/>
  <c r="AG56" i="68"/>
  <c r="AI48" i="68"/>
  <c r="AJ21" i="68"/>
  <c r="AL21" i="68" s="1"/>
  <c r="BI21" i="68" s="1"/>
  <c r="BJ21" i="68" s="1"/>
  <c r="AG46" i="68"/>
  <c r="AI38" i="68"/>
  <c r="AJ54" i="68"/>
  <c r="AL54" i="68" s="1"/>
  <c r="BI54" i="68" s="1"/>
  <c r="BJ54" i="68" s="1"/>
  <c r="AJ59" i="68"/>
  <c r="AL59" i="68" s="1"/>
  <c r="BI59" i="68" s="1"/>
  <c r="BJ59" i="68" s="1"/>
  <c r="AJ53" i="68"/>
  <c r="AL53" i="68" s="1"/>
  <c r="BI53" i="68" s="1"/>
  <c r="BJ53" i="68" s="1"/>
  <c r="AJ50" i="68"/>
  <c r="AL50" i="68" s="1"/>
  <c r="BI50" i="68" s="1"/>
  <c r="BJ50" i="68" s="1"/>
  <c r="AI56" i="32"/>
  <c r="AK48" i="32"/>
  <c r="Y28" i="87"/>
  <c r="Y37" i="87" s="1"/>
  <c r="AD22" i="87"/>
  <c r="BU28" i="31" l="1"/>
  <c r="BV28" i="31" s="1"/>
  <c r="AJ58" i="32"/>
  <c r="AJ65" i="32" s="1"/>
  <c r="AJ66" i="32" s="1"/>
  <c r="AI26" i="32"/>
  <c r="AF66" i="32"/>
  <c r="AF42" i="31"/>
  <c r="BU31" i="31"/>
  <c r="BV31" i="31" s="1"/>
  <c r="AL20" i="32"/>
  <c r="AL26" i="32" s="1"/>
  <c r="X51" i="83"/>
  <c r="AG66" i="32"/>
  <c r="AF34" i="31"/>
  <c r="BU38" i="31"/>
  <c r="BV38" i="31" s="1"/>
  <c r="BU40" i="31"/>
  <c r="BV40" i="31" s="1"/>
  <c r="BU29" i="31"/>
  <c r="BV29" i="31" s="1"/>
  <c r="AG48" i="31"/>
  <c r="AI48" i="31" s="1"/>
  <c r="AK48" i="31" s="1"/>
  <c r="AM48" i="31" s="1"/>
  <c r="BU48" i="31" s="1"/>
  <c r="BV48" i="31" s="1"/>
  <c r="BU32" i="31"/>
  <c r="BV32" i="31" s="1"/>
  <c r="AL28" i="32"/>
  <c r="BI28" i="32" s="1"/>
  <c r="BU37" i="31"/>
  <c r="BV37" i="31" s="1"/>
  <c r="AL41" i="31"/>
  <c r="BU41" i="31" s="1"/>
  <c r="BV41" i="31" s="1"/>
  <c r="AL26" i="31"/>
  <c r="BU30" i="31"/>
  <c r="BV30" i="31" s="1"/>
  <c r="AG34" i="31"/>
  <c r="AF66" i="68"/>
  <c r="AL38" i="32"/>
  <c r="AL39" i="31"/>
  <c r="BU39" i="31" s="1"/>
  <c r="BV39" i="31" s="1"/>
  <c r="BU27" i="31"/>
  <c r="BV27" i="31" s="1"/>
  <c r="AG42" i="31"/>
  <c r="AF50" i="31"/>
  <c r="AE48" i="83"/>
  <c r="AE50" i="83" s="1"/>
  <c r="AM38" i="32"/>
  <c r="AM46" i="32" s="1"/>
  <c r="AK46" i="32"/>
  <c r="AK48" i="68"/>
  <c r="AI56" i="68"/>
  <c r="AH42" i="31"/>
  <c r="AJ36" i="31"/>
  <c r="AJ42" i="31" s="1"/>
  <c r="AH56" i="68"/>
  <c r="AJ48" i="68"/>
  <c r="AJ56" i="68" s="1"/>
  <c r="AJ38" i="68"/>
  <c r="AJ46" i="68" s="1"/>
  <c r="AH46" i="68"/>
  <c r="AE34" i="83"/>
  <c r="AL48" i="32"/>
  <c r="AJ20" i="68"/>
  <c r="AJ26" i="68" s="1"/>
  <c r="AH26" i="68"/>
  <c r="AI42" i="31"/>
  <c r="AK36" i="31"/>
  <c r="AK26" i="32"/>
  <c r="AM23" i="32"/>
  <c r="AK58" i="68"/>
  <c r="AI65" i="68"/>
  <c r="AK44" i="31"/>
  <c r="AJ44" i="31"/>
  <c r="AJ50" i="31" s="1"/>
  <c r="AH50" i="31"/>
  <c r="AJ28" i="68"/>
  <c r="AJ36" i="68" s="1"/>
  <c r="AH36" i="68"/>
  <c r="AJ22" i="31"/>
  <c r="AJ34" i="31" s="1"/>
  <c r="AH34" i="31"/>
  <c r="AD34" i="83"/>
  <c r="AD51" i="83" s="1"/>
  <c r="AF17" i="83" s="1"/>
  <c r="C16" i="88"/>
  <c r="AK65" i="32"/>
  <c r="AM58" i="32"/>
  <c r="AM65" i="32" s="1"/>
  <c r="AM34" i="32"/>
  <c r="AK36" i="32"/>
  <c r="AK23" i="68"/>
  <c r="AI26" i="68"/>
  <c r="AH65" i="68"/>
  <c r="AJ58" i="68"/>
  <c r="AJ65" i="68" s="1"/>
  <c r="AI34" i="31"/>
  <c r="AK26" i="31"/>
  <c r="AH66" i="32"/>
  <c r="AK56" i="32"/>
  <c r="AM48" i="32"/>
  <c r="AM56" i="32" s="1"/>
  <c r="AK34" i="68"/>
  <c r="AI36" i="68"/>
  <c r="AD28" i="87"/>
  <c r="AD37" i="87" s="1"/>
  <c r="AF12" i="87" s="1"/>
  <c r="AI46" i="68"/>
  <c r="AK38" i="68"/>
  <c r="AG66" i="68"/>
  <c r="AI66" i="32" l="1"/>
  <c r="AG50" i="31"/>
  <c r="AG51" i="31" s="1"/>
  <c r="AL58" i="32"/>
  <c r="AL65" i="32" s="1"/>
  <c r="AL36" i="32"/>
  <c r="BI20" i="32"/>
  <c r="BJ20" i="32" s="1"/>
  <c r="AI50" i="31"/>
  <c r="AI51" i="31" s="1"/>
  <c r="B41" i="56" s="1"/>
  <c r="B44" i="56" s="1"/>
  <c r="AF51" i="31"/>
  <c r="AE51" i="83"/>
  <c r="AL38" i="68"/>
  <c r="AL46" i="68" s="1"/>
  <c r="BI38" i="32"/>
  <c r="BI46" i="32" s="1"/>
  <c r="AL46" i="32"/>
  <c r="AL58" i="68"/>
  <c r="AL65" i="68" s="1"/>
  <c r="AL36" i="31"/>
  <c r="AL42" i="31" s="1"/>
  <c r="AL22" i="31"/>
  <c r="BU22" i="31" s="1"/>
  <c r="AL28" i="68"/>
  <c r="BI28" i="68" s="1"/>
  <c r="AL20" i="68"/>
  <c r="BI20" i="68" s="1"/>
  <c r="AJ51" i="31"/>
  <c r="AL44" i="31"/>
  <c r="AL50" i="31" s="1"/>
  <c r="AM36" i="32"/>
  <c r="BI34" i="32"/>
  <c r="BJ34" i="32" s="1"/>
  <c r="AG35" i="87"/>
  <c r="AI35" i="87" s="1"/>
  <c r="AK35" i="87" s="1"/>
  <c r="AM35" i="87" s="1"/>
  <c r="AF18" i="87"/>
  <c r="AH18" i="87" s="1"/>
  <c r="AG17" i="87"/>
  <c r="AG31" i="87"/>
  <c r="AI31" i="87" s="1"/>
  <c r="AK31" i="87" s="1"/>
  <c r="AM31" i="87" s="1"/>
  <c r="AF23" i="87"/>
  <c r="AH23" i="87" s="1"/>
  <c r="AG33" i="87"/>
  <c r="AI33" i="87" s="1"/>
  <c r="AK33" i="87" s="1"/>
  <c r="AM33" i="87" s="1"/>
  <c r="AF17" i="87"/>
  <c r="AG32" i="87"/>
  <c r="AI32" i="87" s="1"/>
  <c r="AK32" i="87" s="1"/>
  <c r="AM32" i="87" s="1"/>
  <c r="AG20" i="87"/>
  <c r="AI20" i="87" s="1"/>
  <c r="AK20" i="87" s="1"/>
  <c r="AM20" i="87" s="1"/>
  <c r="AF21" i="87"/>
  <c r="AH21" i="87" s="1"/>
  <c r="AG30" i="87"/>
  <c r="AF20" i="87"/>
  <c r="AH20" i="87" s="1"/>
  <c r="AG18" i="87"/>
  <c r="AI18" i="87" s="1"/>
  <c r="AK18" i="87" s="1"/>
  <c r="AM18" i="87" s="1"/>
  <c r="AG34" i="87"/>
  <c r="AI34" i="87" s="1"/>
  <c r="AK34" i="87" s="1"/>
  <c r="AM34" i="87" s="1"/>
  <c r="AF26" i="87"/>
  <c r="AH26" i="87" s="1"/>
  <c r="AF19" i="87"/>
  <c r="AH19" i="87" s="1"/>
  <c r="AG27" i="87"/>
  <c r="AI27" i="87" s="1"/>
  <c r="AK27" i="87" s="1"/>
  <c r="AM27" i="87" s="1"/>
  <c r="AF24" i="87"/>
  <c r="AH24" i="87" s="1"/>
  <c r="AG19" i="87"/>
  <c r="AI19" i="87" s="1"/>
  <c r="AK19" i="87" s="1"/>
  <c r="AM19" i="87" s="1"/>
  <c r="AF27" i="87"/>
  <c r="AH27" i="87" s="1"/>
  <c r="AF33" i="87"/>
  <c r="AH33" i="87" s="1"/>
  <c r="AG24" i="87"/>
  <c r="AI24" i="87" s="1"/>
  <c r="AK24" i="87" s="1"/>
  <c r="AM24" i="87" s="1"/>
  <c r="AF30" i="87"/>
  <c r="AF32" i="87"/>
  <c r="AH32" i="87" s="1"/>
  <c r="AF35" i="87"/>
  <c r="AH35" i="87" s="1"/>
  <c r="AF31" i="87"/>
  <c r="AH31" i="87" s="1"/>
  <c r="AG26" i="87"/>
  <c r="AI26" i="87" s="1"/>
  <c r="AK26" i="87" s="1"/>
  <c r="AM26" i="87" s="1"/>
  <c r="AF25" i="87"/>
  <c r="AH25" i="87" s="1"/>
  <c r="AF34" i="87"/>
  <c r="AH34" i="87" s="1"/>
  <c r="AG23" i="87"/>
  <c r="AI23" i="87" s="1"/>
  <c r="AK23" i="87" s="1"/>
  <c r="AM23" i="87" s="1"/>
  <c r="AG21" i="87"/>
  <c r="AI21" i="87" s="1"/>
  <c r="AK21" i="87" s="1"/>
  <c r="AM21" i="87" s="1"/>
  <c r="AG25" i="87"/>
  <c r="AI25" i="87" s="1"/>
  <c r="AK25" i="87" s="1"/>
  <c r="AM25" i="87" s="1"/>
  <c r="AG22" i="87"/>
  <c r="AI22" i="87" s="1"/>
  <c r="AK22" i="87" s="1"/>
  <c r="AM22" i="87" s="1"/>
  <c r="AI66" i="68"/>
  <c r="AK50" i="31"/>
  <c r="AM44" i="31"/>
  <c r="AM50" i="31" s="1"/>
  <c r="AK66" i="32"/>
  <c r="AL56" i="32"/>
  <c r="BI48" i="32"/>
  <c r="AM48" i="68"/>
  <c r="AM56" i="68" s="1"/>
  <c r="AK56" i="68"/>
  <c r="AG41" i="83"/>
  <c r="AI41" i="83" s="1"/>
  <c r="AK41" i="83" s="1"/>
  <c r="AM41" i="83" s="1"/>
  <c r="AF28" i="83"/>
  <c r="AH28" i="83" s="1"/>
  <c r="AG44" i="83"/>
  <c r="AF31" i="83"/>
  <c r="AH31" i="83" s="1"/>
  <c r="AF24" i="83"/>
  <c r="AH24" i="83" s="1"/>
  <c r="AF22" i="83"/>
  <c r="AF40" i="83"/>
  <c r="AH40" i="83" s="1"/>
  <c r="AG37" i="83"/>
  <c r="AI37" i="83" s="1"/>
  <c r="AK37" i="83" s="1"/>
  <c r="AM37" i="83" s="1"/>
  <c r="AF38" i="83"/>
  <c r="AH38" i="83" s="1"/>
  <c r="AF29" i="83"/>
  <c r="AH29" i="83" s="1"/>
  <c r="AG39" i="83"/>
  <c r="AI39" i="83" s="1"/>
  <c r="AK39" i="83" s="1"/>
  <c r="AM39" i="83" s="1"/>
  <c r="AF36" i="83"/>
  <c r="AF37" i="83"/>
  <c r="AH37" i="83" s="1"/>
  <c r="AG49" i="83"/>
  <c r="AI49" i="83" s="1"/>
  <c r="AK49" i="83" s="1"/>
  <c r="AM49" i="83" s="1"/>
  <c r="BU49" i="83" s="1"/>
  <c r="BV49" i="83" s="1"/>
  <c r="AG40" i="83"/>
  <c r="AI40" i="83" s="1"/>
  <c r="AK40" i="83" s="1"/>
  <c r="AM40" i="83" s="1"/>
  <c r="AF41" i="83"/>
  <c r="AH41" i="83" s="1"/>
  <c r="AG31" i="83"/>
  <c r="AI31" i="83" s="1"/>
  <c r="AK31" i="83" s="1"/>
  <c r="AM31" i="83" s="1"/>
  <c r="AF23" i="83"/>
  <c r="AH23" i="83" s="1"/>
  <c r="AG38" i="83"/>
  <c r="AI38" i="83" s="1"/>
  <c r="AK38" i="83" s="1"/>
  <c r="AM38" i="83" s="1"/>
  <c r="AG48" i="83"/>
  <c r="AI48" i="83" s="1"/>
  <c r="AK48" i="83" s="1"/>
  <c r="AM48" i="83" s="1"/>
  <c r="BU48" i="83" s="1"/>
  <c r="BV48" i="83" s="1"/>
  <c r="AF46" i="83"/>
  <c r="AH46" i="83" s="1"/>
  <c r="AG32" i="83"/>
  <c r="AI32" i="83" s="1"/>
  <c r="AK32" i="83" s="1"/>
  <c r="AM32" i="83" s="1"/>
  <c r="AG47" i="83"/>
  <c r="AI47" i="83" s="1"/>
  <c r="AK47" i="83" s="1"/>
  <c r="AM47" i="83" s="1"/>
  <c r="BU47" i="83" s="1"/>
  <c r="BV47" i="83" s="1"/>
  <c r="AF39" i="83"/>
  <c r="AH39" i="83" s="1"/>
  <c r="AF45" i="83"/>
  <c r="AH45" i="83" s="1"/>
  <c r="AF32" i="83"/>
  <c r="AH32" i="83" s="1"/>
  <c r="AF44" i="83"/>
  <c r="AF30" i="83"/>
  <c r="AH30" i="83" s="1"/>
  <c r="AG30" i="83"/>
  <c r="AI30" i="83" s="1"/>
  <c r="AK30" i="83" s="1"/>
  <c r="AM30" i="83" s="1"/>
  <c r="AG36" i="83"/>
  <c r="AF25" i="83"/>
  <c r="AH25" i="83" s="1"/>
  <c r="AG29" i="83"/>
  <c r="AI29" i="83" s="1"/>
  <c r="AK29" i="83" s="1"/>
  <c r="AM29" i="83" s="1"/>
  <c r="AF26" i="83"/>
  <c r="AH26" i="83" s="1"/>
  <c r="AG26" i="83"/>
  <c r="AG27" i="83"/>
  <c r="AI27" i="83" s="1"/>
  <c r="AK27" i="83" s="1"/>
  <c r="AM27" i="83" s="1"/>
  <c r="AM26" i="32"/>
  <c r="BI23" i="32"/>
  <c r="BJ23" i="32" s="1"/>
  <c r="AK42" i="31"/>
  <c r="AM36" i="31"/>
  <c r="AM42" i="31" s="1"/>
  <c r="AG28" i="83"/>
  <c r="AI28" i="83" s="1"/>
  <c r="AK28" i="83" s="1"/>
  <c r="AM28" i="83" s="1"/>
  <c r="AM34" i="68"/>
  <c r="AK36" i="68"/>
  <c r="AK26" i="68"/>
  <c r="AM23" i="68"/>
  <c r="BJ28" i="32"/>
  <c r="AF27" i="83"/>
  <c r="AH27" i="83" s="1"/>
  <c r="AH66" i="68"/>
  <c r="AK34" i="31"/>
  <c r="AM26" i="31"/>
  <c r="AM38" i="68"/>
  <c r="AM46" i="68" s="1"/>
  <c r="AK46" i="68"/>
  <c r="AF22" i="87"/>
  <c r="AH22" i="87" s="1"/>
  <c r="AH51" i="31"/>
  <c r="AM58" i="68"/>
  <c r="AM65" i="68" s="1"/>
  <c r="AK65" i="68"/>
  <c r="AJ66" i="68"/>
  <c r="AL48" i="68"/>
  <c r="BJ38" i="32" l="1"/>
  <c r="BI58" i="32"/>
  <c r="AL34" i="31"/>
  <c r="AL51" i="31" s="1"/>
  <c r="BI36" i="32"/>
  <c r="AL26" i="68"/>
  <c r="AL36" i="68"/>
  <c r="AM66" i="32"/>
  <c r="AL66" i="32"/>
  <c r="BI26" i="32"/>
  <c r="AK51" i="31"/>
  <c r="AK66" i="68"/>
  <c r="BI38" i="68"/>
  <c r="BJ38" i="68" s="1"/>
  <c r="AJ26" i="83"/>
  <c r="AL26" i="83" s="1"/>
  <c r="AJ46" i="83"/>
  <c r="AL46" i="83" s="1"/>
  <c r="BU46" i="83" s="1"/>
  <c r="BV46" i="83" s="1"/>
  <c r="AJ24" i="83"/>
  <c r="AL24" i="83" s="1"/>
  <c r="BU24" i="83" s="1"/>
  <c r="BV24" i="83" s="1"/>
  <c r="B40" i="56"/>
  <c r="B43" i="56" s="1"/>
  <c r="B39" i="56"/>
  <c r="B42" i="56" s="1"/>
  <c r="BJ28" i="68"/>
  <c r="BU36" i="31"/>
  <c r="AI44" i="83"/>
  <c r="AG50" i="83"/>
  <c r="AL56" i="68"/>
  <c r="BI48" i="68"/>
  <c r="BV22" i="31"/>
  <c r="AM26" i="68"/>
  <c r="BI23" i="68"/>
  <c r="BJ23" i="68" s="1"/>
  <c r="AM36" i="68"/>
  <c r="BI34" i="68"/>
  <c r="BJ34" i="68" s="1"/>
  <c r="AG34" i="83"/>
  <c r="AI26" i="83"/>
  <c r="AG42" i="83"/>
  <c r="AI36" i="83"/>
  <c r="AJ32" i="83"/>
  <c r="AL32" i="83" s="1"/>
  <c r="BU32" i="83" s="1"/>
  <c r="BV32" i="83" s="1"/>
  <c r="AJ23" i="83"/>
  <c r="AL23" i="83" s="1"/>
  <c r="BU23" i="83" s="1"/>
  <c r="BV23" i="83" s="1"/>
  <c r="AJ29" i="83"/>
  <c r="AL29" i="83" s="1"/>
  <c r="BU29" i="83" s="1"/>
  <c r="BV29" i="83" s="1"/>
  <c r="AF34" i="83"/>
  <c r="AH22" i="83"/>
  <c r="AJ28" i="83"/>
  <c r="AL28" i="83" s="1"/>
  <c r="BU28" i="83" s="1"/>
  <c r="BV28" i="83" s="1"/>
  <c r="AJ25" i="87"/>
  <c r="AL25" i="87" s="1"/>
  <c r="BQ25" i="87" s="1"/>
  <c r="BR25" i="87" s="1"/>
  <c r="AJ32" i="87"/>
  <c r="AL32" i="87" s="1"/>
  <c r="BQ32" i="87" s="1"/>
  <c r="BR32" i="87" s="1"/>
  <c r="AJ27" i="87"/>
  <c r="AL27" i="87" s="1"/>
  <c r="BQ27" i="87" s="1"/>
  <c r="BR27" i="87" s="1"/>
  <c r="AJ19" i="87"/>
  <c r="AL19" i="87" s="1"/>
  <c r="BQ19" i="87" s="1"/>
  <c r="BR19" i="87" s="1"/>
  <c r="AJ20" i="87"/>
  <c r="AL20" i="87" s="1"/>
  <c r="BQ20" i="87" s="1"/>
  <c r="BR20" i="87" s="1"/>
  <c r="AJ37" i="83"/>
  <c r="AL37" i="83" s="1"/>
  <c r="BU37" i="83" s="1"/>
  <c r="BV37" i="83" s="1"/>
  <c r="AJ38" i="83"/>
  <c r="AL38" i="83" s="1"/>
  <c r="BU38" i="83" s="1"/>
  <c r="BV38" i="83" s="1"/>
  <c r="AF36" i="87"/>
  <c r="AH30" i="87"/>
  <c r="AJ26" i="87"/>
  <c r="AL26" i="87" s="1"/>
  <c r="BQ26" i="87" s="1"/>
  <c r="BR26" i="87" s="1"/>
  <c r="AG36" i="87"/>
  <c r="AI30" i="87"/>
  <c r="AF28" i="87"/>
  <c r="AH17" i="87"/>
  <c r="AI17" i="87"/>
  <c r="AG28" i="87"/>
  <c r="AJ22" i="87"/>
  <c r="AL22" i="87" s="1"/>
  <c r="BQ22" i="87" s="1"/>
  <c r="BR22" i="87" s="1"/>
  <c r="AM34" i="31"/>
  <c r="AM51" i="31" s="1"/>
  <c r="BU26" i="31"/>
  <c r="BV26" i="31" s="1"/>
  <c r="BU44" i="31"/>
  <c r="AJ30" i="83"/>
  <c r="AL30" i="83" s="1"/>
  <c r="BU30" i="83" s="1"/>
  <c r="BV30" i="83" s="1"/>
  <c r="AJ39" i="83"/>
  <c r="AL39" i="83" s="1"/>
  <c r="BU39" i="83" s="1"/>
  <c r="BV39" i="83" s="1"/>
  <c r="AJ41" i="83"/>
  <c r="AL41" i="83" s="1"/>
  <c r="BU41" i="83" s="1"/>
  <c r="BV41" i="83" s="1"/>
  <c r="AF42" i="83"/>
  <c r="AH36" i="83"/>
  <c r="AJ31" i="83"/>
  <c r="AL31" i="83" s="1"/>
  <c r="BU31" i="83" s="1"/>
  <c r="BV31" i="83" s="1"/>
  <c r="BI56" i="32"/>
  <c r="BJ48" i="32"/>
  <c r="AJ31" i="87"/>
  <c r="AL31" i="87" s="1"/>
  <c r="BQ31" i="87" s="1"/>
  <c r="BR31" i="87" s="1"/>
  <c r="AJ24" i="87"/>
  <c r="AL24" i="87" s="1"/>
  <c r="BQ24" i="87" s="1"/>
  <c r="BR24" i="87" s="1"/>
  <c r="AJ21" i="87"/>
  <c r="AL21" i="87" s="1"/>
  <c r="BQ21" i="87" s="1"/>
  <c r="BR21" i="87" s="1"/>
  <c r="AJ18" i="87"/>
  <c r="AL18" i="87" s="1"/>
  <c r="BQ18" i="87" s="1"/>
  <c r="BR18" i="87" s="1"/>
  <c r="BI58" i="68"/>
  <c r="AJ27" i="83"/>
  <c r="AL27" i="83" s="1"/>
  <c r="BU27" i="83" s="1"/>
  <c r="BV27" i="83" s="1"/>
  <c r="AJ45" i="83"/>
  <c r="AL45" i="83" s="1"/>
  <c r="BU45" i="83" s="1"/>
  <c r="BV45" i="83" s="1"/>
  <c r="AJ25" i="83"/>
  <c r="AL25" i="83" s="1"/>
  <c r="BU25" i="83" s="1"/>
  <c r="BV25" i="83" s="1"/>
  <c r="AF50" i="83"/>
  <c r="AH44" i="83"/>
  <c r="AJ40" i="83"/>
  <c r="AL40" i="83" s="1"/>
  <c r="BU40" i="83" s="1"/>
  <c r="BV40" i="83" s="1"/>
  <c r="AJ34" i="87"/>
  <c r="AL34" i="87" s="1"/>
  <c r="BQ34" i="87" s="1"/>
  <c r="BR34" i="87" s="1"/>
  <c r="AJ35" i="87"/>
  <c r="AL35" i="87" s="1"/>
  <c r="BQ35" i="87" s="1"/>
  <c r="BR35" i="87" s="1"/>
  <c r="AJ33" i="87"/>
  <c r="AL33" i="87" s="1"/>
  <c r="BQ33" i="87" s="1"/>
  <c r="BR33" i="87" s="1"/>
  <c r="AJ23" i="87"/>
  <c r="AL23" i="87" s="1"/>
  <c r="BQ23" i="87" s="1"/>
  <c r="BR23" i="87" s="1"/>
  <c r="BJ20" i="68"/>
  <c r="BJ58" i="32" l="1"/>
  <c r="BI65" i="32"/>
  <c r="BI66" i="32" s="1"/>
  <c r="BI46" i="68"/>
  <c r="AL66" i="68"/>
  <c r="B12" i="56"/>
  <c r="B30" i="56" s="1"/>
  <c r="BI26" i="68"/>
  <c r="BI36" i="68"/>
  <c r="AG51" i="83"/>
  <c r="AK17" i="87"/>
  <c r="AI28" i="87"/>
  <c r="AH28" i="87"/>
  <c r="AJ17" i="87"/>
  <c r="AJ28" i="87" s="1"/>
  <c r="AJ22" i="83"/>
  <c r="AJ34" i="83" s="1"/>
  <c r="AH34" i="83"/>
  <c r="AI42" i="83"/>
  <c r="AK36" i="83"/>
  <c r="BJ48" i="68"/>
  <c r="BI56" i="68"/>
  <c r="BU42" i="31"/>
  <c r="BV36" i="31"/>
  <c r="AH50" i="83"/>
  <c r="AJ44" i="83"/>
  <c r="AJ50" i="83" s="1"/>
  <c r="AJ36" i="83"/>
  <c r="AJ42" i="83" s="1"/>
  <c r="AH42" i="83"/>
  <c r="AF37" i="87"/>
  <c r="AF51" i="83"/>
  <c r="AM66" i="68"/>
  <c r="BU34" i="31"/>
  <c r="BU50" i="31"/>
  <c r="BV44" i="31"/>
  <c r="AK44" i="83"/>
  <c r="AI50" i="83"/>
  <c r="BJ58" i="68"/>
  <c r="BI65" i="68"/>
  <c r="AG37" i="87"/>
  <c r="AI36" i="87"/>
  <c r="AK30" i="87"/>
  <c r="AJ30" i="87"/>
  <c r="AJ36" i="87" s="1"/>
  <c r="AH36" i="87"/>
  <c r="AK26" i="83"/>
  <c r="AI34" i="83"/>
  <c r="C12" i="56" l="1"/>
  <c r="AI51" i="83"/>
  <c r="B41" i="84" s="1"/>
  <c r="B44" i="84" s="1"/>
  <c r="AL17" i="87"/>
  <c r="AL28" i="87" s="1"/>
  <c r="BI66" i="68"/>
  <c r="AL30" i="87"/>
  <c r="AL36" i="87" s="1"/>
  <c r="AK50" i="83"/>
  <c r="AM44" i="83"/>
  <c r="AM50" i="83" s="1"/>
  <c r="BU51" i="31"/>
  <c r="AL36" i="83"/>
  <c r="AM36" i="83"/>
  <c r="AM42" i="83" s="1"/>
  <c r="AK42" i="83"/>
  <c r="AJ51" i="83"/>
  <c r="AJ37" i="87"/>
  <c r="AI37" i="87"/>
  <c r="B39" i="88" s="1"/>
  <c r="B42" i="88" s="1"/>
  <c r="AH51" i="83"/>
  <c r="AL44" i="83"/>
  <c r="AH37" i="87"/>
  <c r="AK28" i="87"/>
  <c r="AM17" i="87"/>
  <c r="AM28" i="87" s="1"/>
  <c r="AM26" i="83"/>
  <c r="AK34" i="83"/>
  <c r="AM30" i="87"/>
  <c r="AM36" i="87" s="1"/>
  <c r="AK36" i="87"/>
  <c r="AL22" i="83"/>
  <c r="C30" i="56"/>
  <c r="B31" i="56"/>
  <c r="B32" i="56" s="1"/>
  <c r="AL37" i="87" l="1"/>
  <c r="BQ17" i="87"/>
  <c r="BR17" i="87" s="1"/>
  <c r="B35" i="56"/>
  <c r="D15" i="56"/>
  <c r="D14" i="56"/>
  <c r="D13" i="56"/>
  <c r="D26" i="56"/>
  <c r="D29" i="56"/>
  <c r="B33" i="56"/>
  <c r="D20" i="56"/>
  <c r="C32" i="56"/>
  <c r="D28" i="56"/>
  <c r="B34" i="56"/>
  <c r="D27" i="56"/>
  <c r="D23" i="56"/>
  <c r="D24" i="56"/>
  <c r="D18" i="56"/>
  <c r="D19" i="56"/>
  <c r="D25" i="56"/>
  <c r="D17" i="56"/>
  <c r="D22" i="56"/>
  <c r="D21" i="56"/>
  <c r="D16" i="56"/>
  <c r="D12" i="56"/>
  <c r="D30" i="56"/>
  <c r="AK37" i="87"/>
  <c r="B39" i="84"/>
  <c r="B42" i="84" s="1"/>
  <c r="B40" i="84"/>
  <c r="B43" i="84" s="1"/>
  <c r="BU36" i="83"/>
  <c r="AL42" i="83"/>
  <c r="AL50" i="83"/>
  <c r="BU44" i="83"/>
  <c r="AL34" i="83"/>
  <c r="BU22" i="83"/>
  <c r="AK51" i="83"/>
  <c r="B38" i="88"/>
  <c r="B41" i="88" s="1"/>
  <c r="B37" i="88"/>
  <c r="B40" i="88" s="1"/>
  <c r="BQ30" i="87"/>
  <c r="D31" i="56"/>
  <c r="C31" i="56"/>
  <c r="AM34" i="83"/>
  <c r="AM51" i="83" s="1"/>
  <c r="BU26" i="83"/>
  <c r="BV26" i="83" s="1"/>
  <c r="AM37" i="87"/>
  <c r="BQ28" i="87" l="1"/>
  <c r="B12" i="88"/>
  <c r="C12" i="88" s="1"/>
  <c r="AL51" i="83"/>
  <c r="B12" i="84" s="1"/>
  <c r="D32" i="56"/>
  <c r="BU34" i="83"/>
  <c r="BV22" i="83"/>
  <c r="BU50" i="83"/>
  <c r="BV44" i="83"/>
  <c r="BR30" i="87"/>
  <c r="BQ36" i="87"/>
  <c r="BU42" i="83"/>
  <c r="BV36" i="83"/>
  <c r="BQ37" i="87" l="1"/>
  <c r="B29" i="88"/>
  <c r="C29" i="88" s="1"/>
  <c r="B28" i="88"/>
  <c r="C28" i="88" s="1"/>
  <c r="C12" i="84"/>
  <c r="B30" i="84"/>
  <c r="BU51" i="83"/>
  <c r="B30" i="88" l="1"/>
  <c r="D14" i="88" s="1"/>
  <c r="B31" i="84"/>
  <c r="B32" i="84" s="1"/>
  <c r="D30" i="84" s="1"/>
  <c r="C30" i="84"/>
  <c r="D24" i="88" l="1"/>
  <c r="D13" i="88"/>
  <c r="D26" i="88"/>
  <c r="D12" i="88"/>
  <c r="D27" i="88"/>
  <c r="D16" i="88"/>
  <c r="D18" i="88"/>
  <c r="B32" i="88"/>
  <c r="B31" i="88"/>
  <c r="D20" i="88"/>
  <c r="D19" i="88"/>
  <c r="D22" i="88"/>
  <c r="B33" i="88"/>
  <c r="D25" i="88"/>
  <c r="D17" i="88"/>
  <c r="D21" i="88"/>
  <c r="D23" i="88"/>
  <c r="D15" i="88"/>
  <c r="C30" i="88"/>
  <c r="D28" i="88"/>
  <c r="D29" i="88"/>
  <c r="D26" i="84"/>
  <c r="D28" i="84"/>
  <c r="D20" i="84"/>
  <c r="D14" i="84"/>
  <c r="D29" i="84"/>
  <c r="B35" i="84"/>
  <c r="D15" i="84"/>
  <c r="B34" i="84"/>
  <c r="C32" i="84"/>
  <c r="B33" i="84"/>
  <c r="D13" i="84"/>
  <c r="D27" i="84"/>
  <c r="D19" i="84"/>
  <c r="D18" i="84"/>
  <c r="D24" i="84"/>
  <c r="D23" i="84"/>
  <c r="D22" i="84"/>
  <c r="D17" i="84"/>
  <c r="D25" i="84"/>
  <c r="D16" i="84"/>
  <c r="D21" i="84"/>
  <c r="D12" i="84"/>
  <c r="C31" i="84"/>
  <c r="D31" i="84"/>
  <c r="D32" i="84" s="1"/>
  <c r="D30" i="88" l="1"/>
  <c r="C21" i="104" l="1"/>
  <c r="M27" i="104"/>
  <c r="M41" i="104" s="1"/>
  <c r="O21" i="104"/>
  <c r="R21" i="104" l="1"/>
  <c r="BW21" i="104"/>
  <c r="L27" i="104"/>
  <c r="L41" i="104" s="1"/>
  <c r="BY21" i="104"/>
  <c r="BO21" i="104" s="1"/>
  <c r="BK21" i="104"/>
  <c r="BK27" i="104" s="1"/>
  <c r="BK41" i="104" s="1"/>
  <c r="B21" i="105" s="1"/>
  <c r="BM21" i="104"/>
  <c r="BM27" i="104" s="1"/>
  <c r="BM41" i="104" s="1"/>
  <c r="B22" i="105" s="1"/>
  <c r="O27" i="104"/>
  <c r="O41" i="104" s="1"/>
  <c r="B37" i="105" s="1"/>
  <c r="BT27" i="104"/>
  <c r="BT41" i="104" s="1"/>
  <c r="B25" i="105" s="1"/>
  <c r="B38" i="105" l="1"/>
  <c r="AA21" i="104"/>
  <c r="AA27" i="104" s="1"/>
  <c r="AA41" i="104" s="1"/>
  <c r="C21" i="105"/>
  <c r="B20" i="105"/>
  <c r="C25" i="105"/>
  <c r="W21" i="104"/>
  <c r="W27" i="104" s="1"/>
  <c r="W41" i="104" s="1"/>
  <c r="BW27" i="104"/>
  <c r="BW41" i="104" s="1"/>
  <c r="C22" i="105"/>
  <c r="BY27" i="104"/>
  <c r="BY41" i="104" s="1"/>
  <c r="BO27" i="104"/>
  <c r="BO41" i="104" s="1"/>
  <c r="BQ21" i="104"/>
  <c r="BQ27" i="104" s="1"/>
  <c r="BQ41" i="104" s="1"/>
  <c r="BS21" i="104"/>
  <c r="BS27" i="104" s="1"/>
  <c r="BS41" i="104" s="1"/>
  <c r="Y21" i="104" l="1"/>
  <c r="Y27" i="104" s="1"/>
  <c r="Y41" i="104" s="1"/>
  <c r="B24" i="105"/>
  <c r="C20" i="105"/>
  <c r="AD21" i="104" l="1"/>
  <c r="AD27" i="104" s="1"/>
  <c r="AD41" i="104" s="1"/>
  <c r="AF16" i="104" s="1"/>
  <c r="C24" i="105"/>
  <c r="B23" i="105"/>
  <c r="C23" i="105" l="1"/>
  <c r="B19" i="105"/>
  <c r="Z49" i="104"/>
  <c r="AF29" i="104" l="1"/>
  <c r="AG26" i="104"/>
  <c r="AI26" i="104" s="1"/>
  <c r="AK26" i="104" s="1"/>
  <c r="AM26" i="104" s="1"/>
  <c r="AG33" i="104"/>
  <c r="AI33" i="104" s="1"/>
  <c r="AK33" i="104" s="1"/>
  <c r="AM33" i="104" s="1"/>
  <c r="BU33" i="104" s="1"/>
  <c r="BV33" i="104" s="1"/>
  <c r="AF30" i="104"/>
  <c r="AH30" i="104" s="1"/>
  <c r="AG24" i="104"/>
  <c r="AI24" i="104" s="1"/>
  <c r="AK24" i="104" s="1"/>
  <c r="AM24" i="104" s="1"/>
  <c r="AF39" i="104"/>
  <c r="AF40" i="104" s="1"/>
  <c r="AG25" i="104"/>
  <c r="AI25" i="104" s="1"/>
  <c r="AK25" i="104" s="1"/>
  <c r="AM25" i="104" s="1"/>
  <c r="BU25" i="104" s="1"/>
  <c r="BV25" i="104" s="1"/>
  <c r="AG31" i="104"/>
  <c r="AF26" i="104"/>
  <c r="AH26" i="104" s="1"/>
  <c r="AF32" i="104"/>
  <c r="AH32" i="104" s="1"/>
  <c r="AG23" i="104"/>
  <c r="AI23" i="104" s="1"/>
  <c r="AK23" i="104" s="1"/>
  <c r="AM23" i="104" s="1"/>
  <c r="AF23" i="104"/>
  <c r="AH23" i="104" s="1"/>
  <c r="AF24" i="104"/>
  <c r="AH24" i="104" s="1"/>
  <c r="AG39" i="104"/>
  <c r="AF22" i="104"/>
  <c r="AH22" i="104" s="1"/>
  <c r="AF36" i="104"/>
  <c r="AG22" i="104"/>
  <c r="AF21" i="104"/>
  <c r="C19" i="105"/>
  <c r="AJ22" i="104" l="1"/>
  <c r="AL22" i="104" s="1"/>
  <c r="AJ26" i="104"/>
  <c r="AL26" i="104" s="1"/>
  <c r="BU26" i="104" s="1"/>
  <c r="BV26" i="104" s="1"/>
  <c r="AF27" i="104"/>
  <c r="AH21" i="104"/>
  <c r="AF37" i="104"/>
  <c r="AH36" i="104"/>
  <c r="AG40" i="104"/>
  <c r="AI39" i="104"/>
  <c r="AJ23" i="104"/>
  <c r="AL23" i="104" s="1"/>
  <c r="BU23" i="104" s="1"/>
  <c r="BV23" i="104" s="1"/>
  <c r="AJ32" i="104"/>
  <c r="AL32" i="104" s="1"/>
  <c r="BU32" i="104" s="1"/>
  <c r="BV32" i="104" s="1"/>
  <c r="AG34" i="104"/>
  <c r="AI31" i="104"/>
  <c r="AJ30" i="104"/>
  <c r="AL30" i="104" s="1"/>
  <c r="BU30" i="104" s="1"/>
  <c r="BV30" i="104" s="1"/>
  <c r="AG27" i="104"/>
  <c r="AI22" i="104"/>
  <c r="AJ24" i="104"/>
  <c r="AL24" i="104" s="1"/>
  <c r="BU24" i="104" s="1"/>
  <c r="BV24" i="104" s="1"/>
  <c r="AF34" i="104"/>
  <c r="AH29" i="104"/>
  <c r="AG41" i="104" l="1"/>
  <c r="AH34" i="104"/>
  <c r="AJ29" i="104"/>
  <c r="AJ34" i="104" s="1"/>
  <c r="AI27" i="104"/>
  <c r="AK22" i="104"/>
  <c r="AI34" i="104"/>
  <c r="AK31" i="104"/>
  <c r="AI40" i="104"/>
  <c r="AK39" i="104"/>
  <c r="AH37" i="104"/>
  <c r="AJ36" i="104"/>
  <c r="AJ37" i="104" s="1"/>
  <c r="AH27" i="104"/>
  <c r="AJ21" i="104"/>
  <c r="AJ27" i="104" s="1"/>
  <c r="AF41" i="104"/>
  <c r="AJ41" i="104" l="1"/>
  <c r="AH41" i="104"/>
  <c r="B41" i="105" s="1"/>
  <c r="AL21" i="104"/>
  <c r="BU21" i="104" s="1"/>
  <c r="AK40" i="104"/>
  <c r="AM39" i="104"/>
  <c r="AK34" i="104"/>
  <c r="AM31" i="104"/>
  <c r="AK27" i="104"/>
  <c r="AM22" i="104"/>
  <c r="AL36" i="104"/>
  <c r="AI41" i="104"/>
  <c r="B42" i="105" s="1"/>
  <c r="AL29" i="104"/>
  <c r="B44" i="105" l="1"/>
  <c r="AK41" i="104"/>
  <c r="AL27" i="104"/>
  <c r="AL34" i="104"/>
  <c r="BU29" i="104"/>
  <c r="AL37" i="104"/>
  <c r="BU36" i="104"/>
  <c r="AM27" i="104"/>
  <c r="BU22" i="104"/>
  <c r="BV22" i="104" s="1"/>
  <c r="BU31" i="104"/>
  <c r="BV31" i="104" s="1"/>
  <c r="AM34" i="104"/>
  <c r="AM40" i="104"/>
  <c r="BU39" i="104"/>
  <c r="BV21" i="104"/>
  <c r="AL41" i="104" l="1"/>
  <c r="BU27" i="104"/>
  <c r="BV27" i="104"/>
  <c r="BV39" i="104"/>
  <c r="BV40" i="104" s="1"/>
  <c r="BU40" i="104"/>
  <c r="BV36" i="104"/>
  <c r="BV37" i="104" s="1"/>
  <c r="BU37" i="104"/>
  <c r="BV29" i="104"/>
  <c r="BV34" i="104" s="1"/>
  <c r="BU34" i="104"/>
  <c r="AM41" i="104"/>
  <c r="B45" i="105" s="1"/>
  <c r="B43" i="105" l="1"/>
  <c r="BU41" i="104"/>
  <c r="BV41" i="104"/>
  <c r="B15" i="105"/>
  <c r="C15" i="105" l="1"/>
  <c r="B30" i="105"/>
  <c r="B31" i="105" s="1"/>
  <c r="B32" i="105" l="1"/>
  <c r="C30" i="105"/>
  <c r="B34" i="105" l="1"/>
  <c r="B33" i="105"/>
  <c r="D31" i="105"/>
  <c r="C31" i="105"/>
  <c r="D29" i="105"/>
  <c r="D26" i="105"/>
  <c r="D17" i="105"/>
  <c r="D28" i="105"/>
  <c r="D27" i="105"/>
  <c r="D16" i="105"/>
  <c r="D18" i="105"/>
  <c r="C32" i="105"/>
  <c r="D32" i="105"/>
  <c r="D21" i="105"/>
  <c r="D25" i="105"/>
  <c r="D22" i="105"/>
  <c r="D20" i="105"/>
  <c r="D24" i="105"/>
  <c r="D23" i="105"/>
  <c r="D19" i="105"/>
  <c r="D15" i="105"/>
  <c r="D30" i="105"/>
</calcChain>
</file>

<file path=xl/comments1.xml><?xml version="1.0" encoding="utf-8"?>
<comments xmlns="http://schemas.openxmlformats.org/spreadsheetml/2006/main">
  <authors>
    <author>Любовь</author>
    <author>Егоров Роман Васильевич</author>
  </authors>
  <commentList>
    <comment ref="B59" authorId="0">
      <text>
        <r>
          <rPr>
            <b/>
            <sz val="9"/>
            <color indexed="81"/>
            <rFont val="Tahoma"/>
            <family val="2"/>
            <charset val="204"/>
          </rPr>
          <t>Любовь:</t>
        </r>
        <r>
          <rPr>
            <sz val="9"/>
            <color indexed="81"/>
            <rFont val="Tahoma"/>
            <family val="2"/>
            <charset val="204"/>
          </rPr>
          <t xml:space="preserve">
26950 руб за 216,5 л
124,5 руб за 1л
136,8 руб за 1 кг
13680 руб за 1 ц</t>
        </r>
      </text>
    </comment>
    <comment ref="B61" authorId="0">
      <text>
        <r>
          <rPr>
            <b/>
            <sz val="9"/>
            <color indexed="81"/>
            <rFont val="Tahoma"/>
            <family val="2"/>
            <charset val="204"/>
          </rPr>
          <t>Любовь:</t>
        </r>
        <r>
          <rPr>
            <sz val="9"/>
            <color indexed="81"/>
            <rFont val="Tahoma"/>
            <family val="2"/>
            <charset val="204"/>
          </rPr>
          <t xml:space="preserve">
220 за 1 кг</t>
        </r>
      </text>
    </comment>
    <comment ref="L82" authorId="0">
      <text>
        <r>
          <rPr>
            <b/>
            <sz val="9"/>
            <color indexed="81"/>
            <rFont val="Tahoma"/>
            <family val="2"/>
            <charset val="204"/>
          </rPr>
          <t>Любовь:</t>
        </r>
        <r>
          <rPr>
            <sz val="9"/>
            <color indexed="81"/>
            <rFont val="Tahoma"/>
            <family val="2"/>
            <charset val="204"/>
          </rPr>
          <t xml:space="preserve">
Приказ об утв метод реком по сост техкарт от 30.12.2016 №867</t>
        </r>
      </text>
    </comment>
    <comment ref="A97" authorId="0">
      <text>
        <r>
          <rPr>
            <b/>
            <sz val="9"/>
            <color indexed="81"/>
            <rFont val="Tahoma"/>
            <family val="2"/>
            <charset val="204"/>
          </rPr>
          <t>Любовь:</t>
        </r>
        <r>
          <rPr>
            <sz val="9"/>
            <color indexed="81"/>
            <rFont val="Tahoma"/>
            <family val="2"/>
            <charset val="204"/>
          </rPr>
          <t xml:space="preserve">
Приказ об утв метод реком по сост техкарт от 30.12.2016 №867</t>
        </r>
      </text>
    </comment>
    <comment ref="L97" authorId="0">
      <text>
        <r>
          <rPr>
            <b/>
            <sz val="9"/>
            <color indexed="81"/>
            <rFont val="Tahoma"/>
            <family val="2"/>
            <charset val="204"/>
          </rPr>
          <t>Любовь:</t>
        </r>
        <r>
          <rPr>
            <sz val="9"/>
            <color indexed="81"/>
            <rFont val="Tahoma"/>
            <family val="2"/>
            <charset val="204"/>
          </rPr>
          <t xml:space="preserve">
Статистика Цены 2021, стр 68</t>
        </r>
      </text>
    </comment>
    <comment ref="L102" authorId="0">
      <text>
        <r>
          <rPr>
            <b/>
            <sz val="9"/>
            <color indexed="81"/>
            <rFont val="Tahoma"/>
            <family val="2"/>
            <charset val="204"/>
          </rPr>
          <t>Любовь:</t>
        </r>
        <r>
          <rPr>
            <sz val="9"/>
            <color indexed="81"/>
            <rFont val="Tahoma"/>
            <family val="2"/>
            <charset val="204"/>
          </rPr>
          <t xml:space="preserve">
Статистика Цены в РС (Я), 2021, стр.72</t>
        </r>
      </text>
    </comment>
    <comment ref="C138" authorId="1">
      <text>
        <r>
          <rPr>
            <b/>
            <sz val="9"/>
            <color indexed="81"/>
            <rFont val="Tahoma"/>
            <family val="2"/>
            <charset val="204"/>
          </rPr>
          <t>Протопопова Л.Д.:</t>
        </r>
        <r>
          <rPr>
            <sz val="9"/>
            <color indexed="81"/>
            <rFont val="Tahoma"/>
            <family val="2"/>
            <charset val="204"/>
          </rPr>
          <t xml:space="preserve">
Данные ПАО Якутскэнерго на 2022 Цены (тарифы) на электрическую энергию для НАСЕЛЕНИЯ и приравненных к нему категориях потребителей по Республике Саха (Якутия) на 2022 год</t>
        </r>
      </text>
    </comment>
  </commentList>
</comments>
</file>

<file path=xl/comments10.xml><?xml version="1.0" encoding="utf-8"?>
<comments xmlns="http://schemas.openxmlformats.org/spreadsheetml/2006/main">
  <authors>
    <author>Любовь</author>
  </authors>
  <commentList>
    <comment ref="B7" authorId="0">
      <text>
        <r>
          <rPr>
            <b/>
            <sz val="9"/>
            <color indexed="81"/>
            <rFont val="Tahoma"/>
            <family val="2"/>
            <charset val="204"/>
          </rPr>
          <t>Любовь:</t>
        </r>
        <r>
          <rPr>
            <sz val="9"/>
            <color indexed="81"/>
            <rFont val="Tahoma"/>
            <family val="2"/>
            <charset val="204"/>
          </rPr>
          <t xml:space="preserve">
26950 руб за 216,5 л
124,5 руб за 1л
136,8 руб за 1 кг
13680 руб за 1 ц</t>
        </r>
      </text>
    </comment>
    <comment ref="B9" authorId="0">
      <text>
        <r>
          <rPr>
            <b/>
            <sz val="9"/>
            <color indexed="81"/>
            <rFont val="Tahoma"/>
            <family val="2"/>
            <charset val="204"/>
          </rPr>
          <t>Любовь:</t>
        </r>
        <r>
          <rPr>
            <sz val="9"/>
            <color indexed="81"/>
            <rFont val="Tahoma"/>
            <family val="2"/>
            <charset val="204"/>
          </rPr>
          <t xml:space="preserve">
220 за 1 кг</t>
        </r>
      </text>
    </comment>
    <comment ref="A45" authorId="0">
      <text>
        <r>
          <rPr>
            <b/>
            <sz val="9"/>
            <color indexed="81"/>
            <rFont val="Tahoma"/>
            <family val="2"/>
            <charset val="204"/>
          </rPr>
          <t>Любовь:</t>
        </r>
        <r>
          <rPr>
            <sz val="9"/>
            <color indexed="81"/>
            <rFont val="Tahoma"/>
            <family val="2"/>
            <charset val="204"/>
          </rPr>
          <t xml:space="preserve">
Приказ об утв метод реком по сост техкарт от 30.12.2016 №867</t>
        </r>
      </text>
    </comment>
  </commentList>
</comments>
</file>

<file path=xl/comments2.xml><?xml version="1.0" encoding="utf-8"?>
<comments xmlns="http://schemas.openxmlformats.org/spreadsheetml/2006/main">
  <authors>
    <author>Максимов Р.М.</author>
  </authors>
  <commentList>
    <comment ref="F44" authorId="0">
      <text>
        <r>
          <rPr>
            <sz val="8"/>
            <color indexed="81"/>
            <rFont val="Tahoma"/>
            <family val="2"/>
            <charset val="204"/>
          </rPr>
          <t xml:space="preserve">Среднем 95 смен полива за вегетационный период по 7ч.
</t>
        </r>
      </text>
    </comment>
    <comment ref="F45" authorId="0">
      <text>
        <r>
          <rPr>
            <sz val="8"/>
            <color indexed="81"/>
            <rFont val="Tahoma"/>
            <family val="2"/>
            <charset val="204"/>
          </rPr>
          <t>Сборник нормативных материалов на работы, выполняемые машинно-технологическими станциями (мтс). — М.: ФГНУ “Росинформагротех”, 2001. — 190 с.</t>
        </r>
      </text>
    </comment>
    <comment ref="F86" authorId="0">
      <text>
        <r>
          <rPr>
            <sz val="8"/>
            <color indexed="81"/>
            <rFont val="Tahoma"/>
            <family val="2"/>
            <charset val="204"/>
          </rPr>
          <t xml:space="preserve">За 1 смену 70 тонн
Годовая закрузка (с 15 августа по 1 октября 45 дней) 315 ч.
</t>
        </r>
      </text>
    </comment>
  </commentList>
</comments>
</file>

<file path=xl/comments3.xml><?xml version="1.0" encoding="utf-8"?>
<comments xmlns="http://schemas.openxmlformats.org/spreadsheetml/2006/main">
  <authors>
    <author>1</author>
    <author>Максимов Р.М.</author>
  </authors>
  <commentList>
    <comment ref="E3"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E4"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E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E6"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E7"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8"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9" authorId="0">
      <text>
        <r>
          <rPr>
            <b/>
            <sz val="8"/>
            <color indexed="81"/>
            <rFont val="Tahoma"/>
            <family val="2"/>
            <charset val="204"/>
          </rPr>
          <t xml:space="preserve">1:Типовые нормы выработки и нормативы времени на ручные с/х работы М.-1992, стр.528
</t>
        </r>
        <r>
          <rPr>
            <sz val="8"/>
            <color indexed="81"/>
            <rFont val="Tahoma"/>
            <family val="2"/>
            <charset val="204"/>
          </rPr>
          <t xml:space="preserve">
</t>
        </r>
      </text>
    </comment>
    <comment ref="E10" authorId="0">
      <text>
        <r>
          <rPr>
            <b/>
            <sz val="8"/>
            <color indexed="81"/>
            <rFont val="Tahoma"/>
            <family val="2"/>
            <charset val="204"/>
          </rPr>
          <t xml:space="preserve">1:Типовые нормы выработки и нормативы времени на ручные с/х работы М.-1992, стр.531
</t>
        </r>
        <r>
          <rPr>
            <sz val="8"/>
            <color indexed="81"/>
            <rFont val="Tahoma"/>
            <family val="2"/>
            <charset val="204"/>
          </rPr>
          <t xml:space="preserve">
</t>
        </r>
      </text>
    </comment>
    <comment ref="E11"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12" authorId="0">
      <text>
        <r>
          <rPr>
            <b/>
            <sz val="8"/>
            <color indexed="81"/>
            <rFont val="Tahoma"/>
            <family val="2"/>
            <charset val="204"/>
          </rPr>
          <t xml:space="preserve">1:Типовые нормы выработки и нормативы времени на ручные с/х работы М.-1992, стр.532
</t>
        </r>
        <r>
          <rPr>
            <sz val="8"/>
            <color indexed="81"/>
            <rFont val="Tahoma"/>
            <family val="2"/>
            <charset val="204"/>
          </rPr>
          <t xml:space="preserve">
</t>
        </r>
      </text>
    </comment>
    <comment ref="E1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t>
        </r>
        <r>
          <rPr>
            <b/>
            <sz val="8"/>
            <color indexed="81"/>
            <rFont val="Tahoma"/>
            <family val="2"/>
            <charset val="204"/>
          </rPr>
          <t>15 КПС-5Г</t>
        </r>
        <r>
          <rPr>
            <sz val="8"/>
            <color indexed="81"/>
            <rFont val="Tahoma"/>
            <family val="2"/>
            <charset val="204"/>
          </rPr>
          <t xml:space="preserve">
</t>
        </r>
      </text>
    </comment>
    <comment ref="E16"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17"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18"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19"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22"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E23"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E2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E2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E26"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27"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28" authorId="0">
      <text>
        <r>
          <rPr>
            <b/>
            <sz val="8"/>
            <color indexed="81"/>
            <rFont val="Tahoma"/>
            <family val="2"/>
            <charset val="204"/>
          </rPr>
          <t xml:space="preserve">1:Типовые нормы выработки и нормативы времени на ручные с/х работы М.-1992, стр.528
</t>
        </r>
        <r>
          <rPr>
            <sz val="8"/>
            <color indexed="81"/>
            <rFont val="Tahoma"/>
            <family val="2"/>
            <charset val="204"/>
          </rPr>
          <t xml:space="preserve">
</t>
        </r>
      </text>
    </comment>
    <comment ref="E29" authorId="0">
      <text>
        <r>
          <rPr>
            <b/>
            <sz val="8"/>
            <color indexed="81"/>
            <rFont val="Tahoma"/>
            <family val="2"/>
            <charset val="204"/>
          </rPr>
          <t xml:space="preserve">1:Типовые нормы выработки и нормативы времени на ручные с/х работы М.-1992, стр.531
</t>
        </r>
        <r>
          <rPr>
            <sz val="8"/>
            <color indexed="81"/>
            <rFont val="Tahoma"/>
            <family val="2"/>
            <charset val="204"/>
          </rPr>
          <t xml:space="preserve">
</t>
        </r>
      </text>
    </comment>
    <comment ref="E30"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31" authorId="0">
      <text>
        <r>
          <rPr>
            <b/>
            <sz val="8"/>
            <color indexed="81"/>
            <rFont val="Tahoma"/>
            <family val="2"/>
            <charset val="204"/>
          </rPr>
          <t xml:space="preserve">1:Типовые нормы выработки и нормативы времени на ручные с/х работы М.-1992, стр.532
</t>
        </r>
        <r>
          <rPr>
            <sz val="8"/>
            <color indexed="81"/>
            <rFont val="Tahoma"/>
            <family val="2"/>
            <charset val="204"/>
          </rPr>
          <t xml:space="preserve">
</t>
        </r>
      </text>
    </comment>
    <comment ref="E34" authorId="1">
      <text>
        <r>
          <rPr>
            <sz val="8"/>
            <color indexed="81"/>
            <rFont val="Tahoma"/>
            <family val="2"/>
            <charset val="204"/>
          </rPr>
          <t>Справочник овощевода Якутии Сост. Т.А. Перлова. - Якутск-1984 г. Стр. 38</t>
        </r>
      </text>
    </comment>
    <comment ref="E35" authorId="1">
      <text>
        <r>
          <rPr>
            <sz val="8"/>
            <color indexed="81"/>
            <rFont val="Tahoma"/>
            <family val="2"/>
            <charset val="204"/>
          </rPr>
          <t>Справочник овощевода Якутии Сост. Т.А. Перлова. - Якутск-1984 г. Стр. 38</t>
        </r>
      </text>
    </comment>
    <comment ref="E37"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t>
        </r>
        <r>
          <rPr>
            <b/>
            <sz val="8"/>
            <color indexed="81"/>
            <rFont val="Tahoma"/>
            <family val="2"/>
            <charset val="204"/>
          </rPr>
          <t>15 КПС-5Г</t>
        </r>
        <r>
          <rPr>
            <sz val="8"/>
            <color indexed="81"/>
            <rFont val="Tahoma"/>
            <family val="2"/>
            <charset val="204"/>
          </rPr>
          <t xml:space="preserve">
</t>
        </r>
      </text>
    </comment>
    <comment ref="E38"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39"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40"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41"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E44"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E45"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ч.1, стр. 83</t>
        </r>
        <r>
          <rPr>
            <sz val="8"/>
            <color indexed="81"/>
            <rFont val="Tahoma"/>
            <family val="2"/>
            <charset val="204"/>
          </rPr>
          <t xml:space="preserve">
</t>
        </r>
      </text>
    </comment>
    <comment ref="E46" authorId="0">
      <text>
        <r>
          <rPr>
            <b/>
            <sz val="8"/>
            <color indexed="81"/>
            <rFont val="Tahoma"/>
            <family val="2"/>
            <charset val="204"/>
          </rPr>
          <t>1:</t>
        </r>
        <r>
          <rPr>
            <sz val="8"/>
            <color indexed="81"/>
            <rFont val="Tahoma"/>
            <family val="2"/>
            <charset val="204"/>
          </rPr>
          <t xml:space="preserve">"Типовые нормы выроботки и расход топлива на с/х мех. Работы" М.-1994, ч.1, стр. 53
</t>
        </r>
      </text>
    </comment>
    <comment ref="E47" authorId="0">
      <text>
        <r>
          <rPr>
            <b/>
            <sz val="8"/>
            <color indexed="81"/>
            <rFont val="Tahoma"/>
            <family val="2"/>
            <charset val="204"/>
          </rPr>
          <t xml:space="preserve">1:"Типовые нормы выроботки и расход топлива на с/х мех. Работы" М.-1994, ч.1, стр. 37
</t>
        </r>
        <r>
          <rPr>
            <sz val="8"/>
            <color indexed="81"/>
            <rFont val="Tahoma"/>
            <family val="2"/>
            <charset val="204"/>
          </rPr>
          <t xml:space="preserve">
</t>
        </r>
      </text>
    </comment>
    <comment ref="E48" authorId="0">
      <text>
        <r>
          <rPr>
            <b/>
            <sz val="8"/>
            <color indexed="81"/>
            <rFont val="Tahoma"/>
            <family val="2"/>
            <charset val="204"/>
          </rPr>
          <t xml:space="preserve">1:Типовые нормы выработки и нормативы времени на ручные с/х работы М.-1992, стр.531
</t>
        </r>
        <r>
          <rPr>
            <sz val="8"/>
            <color indexed="81"/>
            <rFont val="Tahoma"/>
            <family val="2"/>
            <charset val="204"/>
          </rPr>
          <t xml:space="preserve">
</t>
        </r>
      </text>
    </comment>
    <comment ref="E49"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50" authorId="0">
      <text>
        <r>
          <rPr>
            <b/>
            <sz val="8"/>
            <color indexed="81"/>
            <rFont val="Tahoma"/>
            <family val="2"/>
            <charset val="204"/>
          </rPr>
          <t xml:space="preserve">1:Типовые нормы выработки и нормативы времени на ручные с/х работы М.-1992, стр.532
</t>
        </r>
        <r>
          <rPr>
            <sz val="8"/>
            <color indexed="81"/>
            <rFont val="Tahoma"/>
            <family val="2"/>
            <charset val="204"/>
          </rPr>
          <t xml:space="preserve">
</t>
        </r>
      </text>
    </comment>
    <comment ref="E51"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52"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E53" authorId="0">
      <text>
        <r>
          <rPr>
            <b/>
            <sz val="8"/>
            <color indexed="81"/>
            <rFont val="Tahoma"/>
            <family val="2"/>
            <charset val="204"/>
          </rPr>
          <t xml:space="preserve">1:Типовые нормы выработки и нормативы времени на ручные с/х работы М.-1992, стр.528
</t>
        </r>
        <r>
          <rPr>
            <sz val="8"/>
            <color indexed="81"/>
            <rFont val="Tahoma"/>
            <family val="2"/>
            <charset val="204"/>
          </rPr>
          <t xml:space="preserve">
</t>
        </r>
      </text>
    </comment>
    <comment ref="E55" authorId="0">
      <text>
        <r>
          <rPr>
            <b/>
            <sz val="8"/>
            <color indexed="81"/>
            <rFont val="Tahoma"/>
            <family val="2"/>
            <charset val="204"/>
          </rPr>
          <t xml:space="preserve">1:"Типовые нормы выработки и расход топлива на мех. Работы по внесению мин.удобр." М.-1994,  стр. 195
</t>
        </r>
        <r>
          <rPr>
            <sz val="8"/>
            <color indexed="81"/>
            <rFont val="Tahoma"/>
            <family val="2"/>
            <charset val="204"/>
          </rPr>
          <t xml:space="preserve">
</t>
        </r>
      </text>
    </comment>
    <comment ref="E57"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r>
          <rPr>
            <b/>
            <sz val="8"/>
            <color indexed="81"/>
            <rFont val="Tahoma"/>
            <family val="2"/>
            <charset val="204"/>
          </rPr>
          <t>Максимов Р.М.:</t>
        </r>
        <r>
          <rPr>
            <sz val="8"/>
            <color indexed="81"/>
            <rFont val="Tahoma"/>
            <family val="2"/>
            <charset val="204"/>
          </rPr>
          <t xml:space="preserve">
</t>
        </r>
      </text>
    </comment>
    <comment ref="E58" authorId="1">
      <text>
        <r>
          <rPr>
            <b/>
            <sz val="8"/>
            <color indexed="81"/>
            <rFont val="Tahoma"/>
            <family val="2"/>
            <charset val="204"/>
          </rPr>
          <t>Поликарпов А.Р.</t>
        </r>
        <r>
          <rPr>
            <sz val="8"/>
            <color indexed="81"/>
            <rFont val="Tahoma"/>
            <family val="2"/>
            <charset val="204"/>
          </rPr>
          <t xml:space="preserve">
4 рейса за 7 часов, один рейс 4 тонны, зерновые коэф перевода 0,8 тонн.
</t>
        </r>
      </text>
    </comment>
    <comment ref="E59"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E60"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E61" authorId="1">
      <text>
        <r>
          <rPr>
            <b/>
            <sz val="8"/>
            <color indexed="81"/>
            <rFont val="Tahoma"/>
            <family val="2"/>
            <charset val="204"/>
          </rPr>
          <t>Максимов Р.М.:</t>
        </r>
        <r>
          <rPr>
            <sz val="8"/>
            <color indexed="81"/>
            <rFont val="Tahoma"/>
            <family val="2"/>
            <charset val="204"/>
          </rPr>
          <t xml:space="preserve">
"Типовые нормы выроботки и нормативы времени на ручные с/х работы" М-1992 стр. 93-94</t>
        </r>
      </text>
    </comment>
    <comment ref="E62" authorId="1">
      <text>
        <r>
          <rPr>
            <b/>
            <sz val="8"/>
            <color indexed="81"/>
            <rFont val="Tahoma"/>
            <family val="2"/>
            <charset val="204"/>
          </rPr>
          <t>Максимов Р.М.:</t>
        </r>
        <r>
          <rPr>
            <sz val="8"/>
            <color indexed="81"/>
            <rFont val="Tahoma"/>
            <family val="2"/>
            <charset val="204"/>
          </rPr>
          <t xml:space="preserve">
"Нормативы выработки и расценки на конно-ручные сельскохозяйственные работы" М-1982 стр. 39</t>
        </r>
      </text>
    </comment>
    <comment ref="E64"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E65"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E66"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E67"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E68"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69"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70"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71"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72"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73"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E76" authorId="1">
      <text>
        <r>
          <rPr>
            <sz val="8"/>
            <color indexed="81"/>
            <rFont val="Tahoma"/>
            <family val="2"/>
            <charset val="204"/>
          </rPr>
          <t>Справочник овощевода Якутии Сост. Т.А. Перлова. - Якутск-1984 г. Стр. 38</t>
        </r>
      </text>
    </comment>
    <comment ref="E77" authorId="1">
      <text>
        <r>
          <rPr>
            <sz val="8"/>
            <color indexed="81"/>
            <rFont val="Tahoma"/>
            <family val="2"/>
            <charset val="204"/>
          </rPr>
          <t>Справочник овощевода Якутии Сост. Т.А. Перлова. - Якутск-1984 г. Стр. 38</t>
        </r>
      </text>
    </comment>
    <comment ref="E78" authorId="1">
      <text>
        <r>
          <rPr>
            <sz val="8"/>
            <color indexed="81"/>
            <rFont val="Tahoma"/>
            <family val="2"/>
            <charset val="204"/>
          </rPr>
          <t>Справочник овощевода Якутии Сост. Т.А. Перлова. - Якутск-1984 г. Стр. 38</t>
        </r>
      </text>
    </comment>
    <comment ref="E79" authorId="1">
      <text>
        <r>
          <rPr>
            <sz val="8"/>
            <color indexed="81"/>
            <rFont val="Tahoma"/>
            <family val="2"/>
            <charset val="204"/>
          </rPr>
          <t>Справочник овощевода Якутии Сост. Т.А. Перлова. - Якутск-1984 г. Стр. 38</t>
        </r>
      </text>
    </comment>
    <comment ref="E80" authorId="1">
      <text>
        <r>
          <rPr>
            <sz val="8"/>
            <color indexed="81"/>
            <rFont val="Tahoma"/>
            <family val="2"/>
            <charset val="204"/>
          </rPr>
          <t>Справочник овощевода Якутии Сост. Т.А. Перлова. - Якутск-1984 г. Стр. 38</t>
        </r>
      </text>
    </comment>
    <comment ref="E81" authorId="1">
      <text>
        <r>
          <rPr>
            <sz val="8"/>
            <color indexed="81"/>
            <rFont val="Tahoma"/>
            <family val="2"/>
            <charset val="204"/>
          </rPr>
          <t>Справочник овощевода Якутии Сост. Т.А. Перлова. - Якутск-1984 г. Стр. 38</t>
        </r>
      </text>
    </comment>
    <comment ref="E83"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r>
          <rPr>
            <b/>
            <sz val="8"/>
            <color indexed="81"/>
            <rFont val="Tahoma"/>
            <family val="2"/>
            <charset val="204"/>
          </rPr>
          <t>Максимов Р.М.:</t>
        </r>
        <r>
          <rPr>
            <sz val="8"/>
            <color indexed="81"/>
            <rFont val="Tahoma"/>
            <family val="2"/>
            <charset val="204"/>
          </rPr>
          <t xml:space="preserve">
</t>
        </r>
      </text>
    </comment>
    <comment ref="E84" authorId="1">
      <text>
        <r>
          <rPr>
            <b/>
            <sz val="8"/>
            <color indexed="81"/>
            <rFont val="Tahoma"/>
            <family val="2"/>
            <charset val="204"/>
          </rPr>
          <t>Поликарпов А.Р.</t>
        </r>
        <r>
          <rPr>
            <sz val="8"/>
            <color indexed="81"/>
            <rFont val="Tahoma"/>
            <family val="2"/>
            <charset val="204"/>
          </rPr>
          <t xml:space="preserve">
4 рейса за 7 часов, один рейс 4 тонны, зерновые коэф перевода 0,8 тонн.
</t>
        </r>
      </text>
    </comment>
    <comment ref="E85"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E86"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E87" authorId="1">
      <text>
        <r>
          <rPr>
            <b/>
            <sz val="8"/>
            <color indexed="81"/>
            <rFont val="Tahoma"/>
            <family val="2"/>
            <charset val="204"/>
          </rPr>
          <t>Максимов Р.М.:</t>
        </r>
        <r>
          <rPr>
            <sz val="8"/>
            <color indexed="81"/>
            <rFont val="Tahoma"/>
            <family val="2"/>
            <charset val="204"/>
          </rPr>
          <t xml:space="preserve">
"Типовые нормы выроботки и нормативы времени на ручные с/х работы" М-1992 стр. 93-94</t>
        </r>
      </text>
    </comment>
    <comment ref="E88" authorId="1">
      <text>
        <r>
          <rPr>
            <b/>
            <sz val="8"/>
            <color indexed="81"/>
            <rFont val="Tahoma"/>
            <family val="2"/>
            <charset val="204"/>
          </rPr>
          <t>Максимов Р.М.:</t>
        </r>
        <r>
          <rPr>
            <sz val="8"/>
            <color indexed="81"/>
            <rFont val="Tahoma"/>
            <family val="2"/>
            <charset val="204"/>
          </rPr>
          <t xml:space="preserve">
"Нормативы выработки и расценки на конно-ручные сельскохозяйственные работы" М-1982 стр. 39</t>
        </r>
      </text>
    </comment>
    <comment ref="E89" authorId="1">
      <text>
        <r>
          <rPr>
            <sz val="8"/>
            <color indexed="81"/>
            <rFont val="Tahoma"/>
            <family val="2"/>
            <charset val="204"/>
          </rPr>
          <t>"Типовые нормы выроботки и расход топлива на с/х мех. Работы" ч. 2 М.-1994 стр. 11</t>
        </r>
      </text>
    </comment>
    <comment ref="E90"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E91"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2"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3"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E96"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E97"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8"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99"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100"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101"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102"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103"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E10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E10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E106" authorId="0">
      <text>
        <r>
          <rPr>
            <sz val="8"/>
            <color indexed="81"/>
            <rFont val="Tahoma"/>
            <family val="2"/>
            <charset val="204"/>
          </rPr>
          <t xml:space="preserve">1:Типовые нормы выработки и нормативы времени на ручные с/х работы: М.1992, стр.90
</t>
        </r>
      </text>
    </comment>
    <comment ref="E107" authorId="0">
      <text>
        <r>
          <rPr>
            <sz val="8"/>
            <color indexed="81"/>
            <rFont val="Tahoma"/>
            <family val="2"/>
            <charset val="204"/>
          </rPr>
          <t xml:space="preserve">1:Типовые нормы выработки и нормативы времени на ручные с/х работы: М.1992, стр.90
</t>
        </r>
      </text>
    </comment>
    <comment ref="E108" authorId="0">
      <text>
        <r>
          <rPr>
            <sz val="8"/>
            <color indexed="81"/>
            <rFont val="Tahoma"/>
            <family val="2"/>
            <charset val="204"/>
          </rPr>
          <t xml:space="preserve">1:Типовые нормы выработки и нормативы времени на ручные с/х работы: М.1992, стр.90
</t>
        </r>
      </text>
    </comment>
    <comment ref="E109" authorId="0">
      <text>
        <r>
          <rPr>
            <sz val="8"/>
            <color indexed="81"/>
            <rFont val="Tahoma"/>
            <family val="2"/>
            <charset val="204"/>
          </rPr>
          <t xml:space="preserve">1:Типовые нормы выработки и нормативы времени на ручные с/х работы: М.1992, стр.90
</t>
        </r>
      </text>
    </comment>
    <comment ref="E110" authorId="0">
      <text>
        <r>
          <rPr>
            <sz val="8"/>
            <color indexed="81"/>
            <rFont val="Tahoma"/>
            <family val="2"/>
            <charset val="204"/>
          </rPr>
          <t xml:space="preserve">1:Типовые нормы выработки и нормативы времени на ручные с/х работы: М.1992, стр.91
</t>
        </r>
      </text>
    </comment>
    <comment ref="E111" authorId="0">
      <text>
        <r>
          <rPr>
            <sz val="8"/>
            <color indexed="81"/>
            <rFont val="Tahoma"/>
            <family val="2"/>
            <charset val="204"/>
          </rPr>
          <t xml:space="preserve">1:Типовые нормы выработки и нормативы времени на ручные с/х работы: М.1992, стр.86
</t>
        </r>
      </text>
    </comment>
    <comment ref="E112" authorId="0">
      <text>
        <r>
          <rPr>
            <sz val="8"/>
            <color indexed="81"/>
            <rFont val="Tahoma"/>
            <family val="2"/>
            <charset val="204"/>
          </rPr>
          <t xml:space="preserve">1:Типовые нормы выработки и нормативы времени на ручные с/х работы: М.1992, стр.89
</t>
        </r>
      </text>
    </comment>
    <comment ref="E113" authorId="0">
      <text>
        <r>
          <rPr>
            <sz val="8"/>
            <color indexed="81"/>
            <rFont val="Tahoma"/>
            <family val="2"/>
            <charset val="204"/>
          </rPr>
          <t xml:space="preserve">1:Типовые нормы выработки и нормативы времени на ручные с/х работы: М.1992, стр.86
</t>
        </r>
      </text>
    </comment>
    <comment ref="E114" authorId="0">
      <text>
        <r>
          <rPr>
            <sz val="8"/>
            <color indexed="81"/>
            <rFont val="Tahoma"/>
            <family val="2"/>
            <charset val="204"/>
          </rPr>
          <t xml:space="preserve">1:Типовые нормы выработки и нормативы времени на ручные с/х работы: М.1992, стр.90
</t>
        </r>
      </text>
    </comment>
    <comment ref="E115" authorId="0">
      <text>
        <r>
          <rPr>
            <sz val="8"/>
            <color indexed="81"/>
            <rFont val="Tahoma"/>
            <family val="2"/>
            <charset val="204"/>
          </rPr>
          <t xml:space="preserve">1:Типовые нормы выработки и нормативы времени на ручные с/х работы: М.1992, стр.90
</t>
        </r>
      </text>
    </comment>
    <comment ref="E116" authorId="0">
      <text>
        <r>
          <rPr>
            <sz val="8"/>
            <color indexed="81"/>
            <rFont val="Tahoma"/>
            <family val="2"/>
            <charset val="204"/>
          </rPr>
          <t xml:space="preserve">1:Типовые нормы выработки и нормативы времени на ручные с/х работы: М.1992, стр.90
</t>
        </r>
      </text>
    </comment>
    <comment ref="E117" authorId="0">
      <text>
        <r>
          <rPr>
            <sz val="8"/>
            <color indexed="81"/>
            <rFont val="Tahoma"/>
            <family val="2"/>
            <charset val="204"/>
          </rPr>
          <t xml:space="preserve">1:Типовые нормы выработки и нормативы времени на ручные с/х работы: М.1992, стр.90
</t>
        </r>
      </text>
    </comment>
    <comment ref="E118" authorId="0">
      <text>
        <r>
          <rPr>
            <sz val="8"/>
            <color indexed="81"/>
            <rFont val="Tahoma"/>
            <family val="2"/>
            <charset val="204"/>
          </rPr>
          <t xml:space="preserve">1:Типовые нормы выработки и нормативы времени на ручные с/х работы: М.1992, стр.91
</t>
        </r>
      </text>
    </comment>
    <comment ref="E119" authorId="1">
      <text>
        <r>
          <rPr>
            <sz val="8"/>
            <color indexed="81"/>
            <rFont val="Tahoma"/>
            <family val="2"/>
            <charset val="204"/>
          </rPr>
          <t xml:space="preserve">Сборник зональных норм и расценок на сх работы: Я.1966, стр.171
</t>
        </r>
      </text>
    </comment>
    <comment ref="E120" authorId="0">
      <text>
        <r>
          <rPr>
            <sz val="8"/>
            <color indexed="81"/>
            <rFont val="Tahoma"/>
            <family val="2"/>
            <charset val="204"/>
          </rPr>
          <t xml:space="preserve">Сборник зональных норм и расценок на сх работы: Я.1966, стр.173
</t>
        </r>
      </text>
    </comment>
    <comment ref="E121" authorId="0">
      <text>
        <r>
          <rPr>
            <sz val="8"/>
            <color indexed="81"/>
            <rFont val="Tahoma"/>
            <family val="2"/>
            <charset val="204"/>
          </rPr>
          <t xml:space="preserve">Сборник зональных норм и расценок на сх работы: Я.1966, стр.172
</t>
        </r>
      </text>
    </comment>
    <comment ref="E122" authorId="0">
      <text>
        <r>
          <rPr>
            <sz val="8"/>
            <color indexed="81"/>
            <rFont val="Tahoma"/>
            <family val="2"/>
            <charset val="204"/>
          </rPr>
          <t xml:space="preserve">Сборник зональных норм и расценок на сх работы: Я.1966, стр.173
</t>
        </r>
      </text>
    </comment>
    <comment ref="E123" authorId="0">
      <text>
        <r>
          <rPr>
            <sz val="8"/>
            <color indexed="81"/>
            <rFont val="Tahoma"/>
            <family val="2"/>
            <charset val="204"/>
          </rPr>
          <t xml:space="preserve">Сборник зональных норм и расценок на сх работы: Я.1966, стр.173
</t>
        </r>
      </text>
    </comment>
    <comment ref="E124" authorId="0">
      <text>
        <r>
          <rPr>
            <sz val="8"/>
            <color indexed="81"/>
            <rFont val="Tahoma"/>
            <family val="2"/>
            <charset val="204"/>
          </rPr>
          <t xml:space="preserve">Сборник зональных норм и расценок на сх работы: Я.1966, стр.173
</t>
        </r>
      </text>
    </comment>
    <comment ref="E125" authorId="0">
      <text>
        <r>
          <rPr>
            <sz val="8"/>
            <color indexed="81"/>
            <rFont val="Tahoma"/>
            <family val="2"/>
            <charset val="204"/>
          </rPr>
          <t xml:space="preserve">Сборник зональных норм и расценок на сх работы: Я.1966, стр.173
</t>
        </r>
      </text>
    </comment>
  </commentList>
</comments>
</file>

<file path=xl/comments4.xml><?xml version="1.0" encoding="utf-8"?>
<comments xmlns="http://schemas.openxmlformats.org/spreadsheetml/2006/main">
  <authors>
    <author>Любовь</author>
    <author>econ03</author>
  </authors>
  <commentList>
    <comment ref="K25" authorId="0">
      <text>
        <r>
          <rPr>
            <b/>
            <sz val="9"/>
            <color indexed="81"/>
            <rFont val="Tahoma"/>
            <family val="2"/>
            <charset val="204"/>
          </rPr>
          <t>Любовь:</t>
        </r>
        <r>
          <rPr>
            <sz val="9"/>
            <color indexed="81"/>
            <rFont val="Tahoma"/>
            <family val="2"/>
            <charset val="204"/>
          </rPr>
          <t xml:space="preserve">
Типовые нормы выработки, нормы времени на работы, выполняемые в лесных питомниках
ФЕДЕРАЛЬНАЯ СЛУЖБА ЛЕСНОГО ХОЗЯЙСТВА РОССИИ
ПРИКАЗ
от 27 апреля 1995 года N 67 
</t>
        </r>
      </text>
    </comment>
    <comment ref="AV26" authorId="1">
      <text>
        <r>
          <rPr>
            <b/>
            <sz val="9"/>
            <color indexed="81"/>
            <rFont val="Tahoma"/>
            <family val="2"/>
            <charset val="204"/>
          </rPr>
          <t>econ03:</t>
        </r>
        <r>
          <rPr>
            <sz val="9"/>
            <color indexed="81"/>
            <rFont val="Tahoma"/>
            <family val="2"/>
            <charset val="204"/>
          </rPr>
          <t xml:space="preserve">
по данным ДРМТО в 2013г. семена зерновых закупали по 18-28 руб.</t>
        </r>
      </text>
    </comment>
  </commentList>
</comments>
</file>

<file path=xl/comments5.xml><?xml version="1.0" encoding="utf-8"?>
<comments xmlns="http://schemas.openxmlformats.org/spreadsheetml/2006/main">
  <authors>
    <author>1</author>
    <author>Максимов Р.М.</author>
  </authors>
  <commentList>
    <comment ref="K17"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K18"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K19"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K20"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K21"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2"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K23" authorId="0">
      <text>
        <r>
          <rPr>
            <b/>
            <sz val="8"/>
            <color indexed="81"/>
            <rFont val="Tahoma"/>
            <family val="2"/>
            <charset val="204"/>
          </rPr>
          <t xml:space="preserve">1:Типовые нормы выработки и нормативы времени на ручные с/х работы М.-1992, стр.528
</t>
        </r>
        <r>
          <rPr>
            <sz val="8"/>
            <color indexed="81"/>
            <rFont val="Tahoma"/>
            <family val="2"/>
            <charset val="204"/>
          </rPr>
          <t xml:space="preserve">
</t>
        </r>
      </text>
    </comment>
    <comment ref="K24" authorId="0">
      <text>
        <r>
          <rPr>
            <b/>
            <sz val="8"/>
            <color indexed="81"/>
            <rFont val="Tahoma"/>
            <family val="2"/>
            <charset val="204"/>
          </rPr>
          <t xml:space="preserve">1:Типовые нормы выработки и нормативы времени на ручные с/х работы М.-1992, стр.531
</t>
        </r>
        <r>
          <rPr>
            <sz val="8"/>
            <color indexed="81"/>
            <rFont val="Tahoma"/>
            <family val="2"/>
            <charset val="204"/>
          </rPr>
          <t xml:space="preserve">
</t>
        </r>
      </text>
    </comment>
    <comment ref="K25" authorId="0">
      <text>
        <r>
          <rPr>
            <b/>
            <sz val="8"/>
            <color indexed="81"/>
            <rFont val="Tahoma"/>
            <family val="2"/>
            <charset val="204"/>
          </rPr>
          <t>1:Типовые нормы выработки и расхода топлива на тракторно-транспортные работы, М.-2000, стр.25</t>
        </r>
        <r>
          <rPr>
            <sz val="8"/>
            <color indexed="81"/>
            <rFont val="Tahoma"/>
            <family val="2"/>
            <charset val="204"/>
          </rPr>
          <t xml:space="preserve">
</t>
        </r>
      </text>
    </comment>
    <comment ref="K26" authorId="0">
      <text>
        <r>
          <rPr>
            <b/>
            <sz val="8"/>
            <color indexed="81"/>
            <rFont val="Tahoma"/>
            <family val="2"/>
            <charset val="204"/>
          </rPr>
          <t xml:space="preserve">1:Типовые нормы выработки и нормативы времени на ручные с/х работы М.-1992, стр.532
</t>
        </r>
        <r>
          <rPr>
            <sz val="8"/>
            <color indexed="81"/>
            <rFont val="Tahoma"/>
            <family val="2"/>
            <charset val="204"/>
          </rPr>
          <t xml:space="preserve">
</t>
        </r>
      </text>
    </comment>
    <comment ref="K30"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t>
        </r>
        <r>
          <rPr>
            <b/>
            <sz val="8"/>
            <color indexed="81"/>
            <rFont val="Tahoma"/>
            <family val="2"/>
            <charset val="204"/>
          </rPr>
          <t>15 КПС-5Г</t>
        </r>
        <r>
          <rPr>
            <sz val="8"/>
            <color indexed="81"/>
            <rFont val="Tahoma"/>
            <family val="2"/>
            <charset val="204"/>
          </rPr>
          <t xml:space="preserve">
</t>
        </r>
      </text>
    </comment>
    <comment ref="K31"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AN31" authorId="1">
      <text>
        <r>
          <rPr>
            <sz val="8"/>
            <color indexed="81"/>
            <rFont val="Tahoma"/>
            <family val="2"/>
            <charset val="204"/>
          </rPr>
          <t>Расчет сделан на основании расхода топлива на 1 усл.га</t>
        </r>
      </text>
    </comment>
    <comment ref="K32"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AN32" authorId="1">
      <text>
        <r>
          <rPr>
            <sz val="8"/>
            <color indexed="81"/>
            <rFont val="Tahoma"/>
            <family val="2"/>
            <charset val="204"/>
          </rPr>
          <t>Расчет сделан на основании расхода топлива на 1 усл.га</t>
        </r>
      </text>
    </comment>
    <comment ref="K33"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AN33" authorId="1">
      <text>
        <r>
          <rPr>
            <sz val="8"/>
            <color indexed="81"/>
            <rFont val="Tahoma"/>
            <family val="2"/>
            <charset val="204"/>
          </rPr>
          <t xml:space="preserve">Расчет сделан на основании расхода топлива на 1 усл.га
</t>
        </r>
      </text>
    </comment>
    <comment ref="K34" authorId="1">
      <text>
        <r>
          <rPr>
            <b/>
            <sz val="8"/>
            <color indexed="81"/>
            <rFont val="Tahoma"/>
            <family val="2"/>
            <charset val="204"/>
          </rPr>
          <t>Максимов Р.М.:</t>
        </r>
        <r>
          <rPr>
            <sz val="8"/>
            <color indexed="81"/>
            <rFont val="Tahoma"/>
            <family val="2"/>
            <charset val="204"/>
          </rPr>
          <t xml:space="preserve">
По данным завода изготовителя</t>
        </r>
      </text>
    </comment>
    <comment ref="AN34" authorId="1">
      <text>
        <r>
          <rPr>
            <sz val="8"/>
            <color indexed="81"/>
            <rFont val="Tahoma"/>
            <family val="2"/>
            <charset val="204"/>
          </rPr>
          <t>Расчет сделан на основании расхода топлива на 1 усл.га</t>
        </r>
      </text>
    </comment>
  </commentList>
</comments>
</file>

<file path=xl/comments6.xml><?xml version="1.0" encoding="utf-8"?>
<comments xmlns="http://schemas.openxmlformats.org/spreadsheetml/2006/main">
  <authors>
    <author>1</author>
    <author>Максимов Р.М.</author>
    <author>Гаврильев Вячеслав Владимирович</author>
    <author>gurieva.am</author>
  </authors>
  <commentList>
    <comment ref="K22"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K23"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K2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K2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K26"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7"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8"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9"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0"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1"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2" authorId="2">
      <text>
        <r>
          <rPr>
            <b/>
            <sz val="9"/>
            <color indexed="81"/>
            <rFont val="Tahoma"/>
            <family val="2"/>
            <charset val="204"/>
          </rPr>
          <t>Гаврильев Вячеслав Владимирович:</t>
        </r>
        <r>
          <rPr>
            <sz val="9"/>
            <color indexed="81"/>
            <rFont val="Tahoma"/>
            <family val="2"/>
            <charset val="204"/>
          </rPr>
          <t xml:space="preserve">
http://www.eridon-tech.com.ua/lemken-solitair/</t>
        </r>
      </text>
    </comment>
    <comment ref="AT32" authorId="2">
      <text>
        <r>
          <rPr>
            <b/>
            <sz val="9"/>
            <color indexed="81"/>
            <rFont val="Tahoma"/>
            <family val="2"/>
            <charset val="204"/>
          </rPr>
          <t>Гаврильев Вячеслав Владимирович:</t>
        </r>
        <r>
          <rPr>
            <sz val="9"/>
            <color indexed="81"/>
            <rFont val="Tahoma"/>
            <family val="2"/>
            <charset val="204"/>
          </rPr>
          <t xml:space="preserve">
1 центнер овса + 0,05 рапса</t>
        </r>
      </text>
    </comment>
    <comment ref="AV32" authorId="3">
      <text>
        <r>
          <rPr>
            <b/>
            <sz val="9"/>
            <color indexed="81"/>
            <rFont val="Tahoma"/>
            <family val="2"/>
            <charset val="204"/>
          </rPr>
          <t>gurieva.am:</t>
        </r>
        <r>
          <rPr>
            <sz val="9"/>
            <color indexed="81"/>
            <rFont val="Tahoma"/>
            <family val="2"/>
            <charset val="204"/>
          </rPr>
          <t xml:space="preserve">
20+40</t>
        </r>
      </text>
    </comment>
    <comment ref="K33" authorId="0">
      <text>
        <r>
          <rPr>
            <b/>
            <sz val="8"/>
            <color indexed="81"/>
            <rFont val="Tahoma"/>
            <family val="2"/>
            <charset val="204"/>
          </rPr>
          <t xml:space="preserve">1:"Типовые нормы выработки и расход топлива на мех. Работы по внесению мин.удобр." М.-1994,  стр. 195
</t>
        </r>
        <r>
          <rPr>
            <sz val="8"/>
            <color indexed="81"/>
            <rFont val="Tahoma"/>
            <family val="2"/>
            <charset val="204"/>
          </rPr>
          <t xml:space="preserve">
</t>
        </r>
      </text>
    </comment>
    <comment ref="K36" authorId="1">
      <text>
        <r>
          <rPr>
            <sz val="8"/>
            <color indexed="81"/>
            <rFont val="Tahoma"/>
            <family val="2"/>
            <charset val="204"/>
          </rPr>
          <t>Справочник овощевода Якутии Сост. Т.А. Перлова. - Якутск-1984 г. Стр. 38</t>
        </r>
      </text>
    </comment>
    <comment ref="AN36" authorId="1">
      <text>
        <r>
          <rPr>
            <sz val="8"/>
            <color indexed="81"/>
            <rFont val="Tahoma"/>
            <family val="2"/>
            <charset val="204"/>
          </rPr>
          <t xml:space="preserve">СНП -50/80 расход ГСМ 16,8л/ч
16,8 л/ч*24ч=403,2 л за сутки
1 полив: Полив 6 дней*406,2л=2419л
2 полив: Полив 6 дней*403,2л=2419л
3 полив: Полив 9 дней*403,2л=3628,8л
Итого расход  ГСМ за 21 дней = 8466,8 л
</t>
        </r>
      </text>
    </comment>
    <comment ref="K37" authorId="1">
      <text>
        <r>
          <rPr>
            <sz val="8"/>
            <color indexed="81"/>
            <rFont val="Tahoma"/>
            <family val="2"/>
            <charset val="204"/>
          </rPr>
          <t>Справочник овощевода Якутии Сост. Т.А. Перлова. - Якутск-1984 г. Стр. 38</t>
        </r>
      </text>
    </comment>
    <comment ref="AN37" authorId="1">
      <text>
        <r>
          <rPr>
            <sz val="8"/>
            <color indexed="81"/>
            <rFont val="Tahoma"/>
            <family val="2"/>
            <charset val="204"/>
          </rPr>
          <t>Расчет сделан на основании расхода топлива на 1 усл.га 12,2 кг.</t>
        </r>
      </text>
    </comment>
    <comment ref="K38" authorId="1">
      <text>
        <r>
          <rPr>
            <sz val="8"/>
            <color indexed="81"/>
            <rFont val="Tahoma"/>
            <family val="2"/>
            <charset val="204"/>
          </rPr>
          <t>Справочник овощевода Якутии Сост. Т.А. Перлова. - Якутск-1984 г. Стр. 38</t>
        </r>
      </text>
    </comment>
    <comment ref="AN38" authorId="1">
      <text>
        <r>
          <rPr>
            <sz val="8"/>
            <color indexed="81"/>
            <rFont val="Tahoma"/>
            <family val="2"/>
            <charset val="204"/>
          </rPr>
          <t xml:space="preserve">СНП -50/80 расход ГСМ 16,8л/ч
16,8 л/ч*24ч=403,2 л за сутки
1 полив: Полив 6 дней*406,2л=2419л
2 полив: Полив 6 дней*403,2л=2419л
3 полив: Полив 9 дней*403,2л=3628,8л
Итого расход  ГСМ за 21 дней = 8466,8 л
</t>
        </r>
      </text>
    </comment>
    <comment ref="K39" authorId="1">
      <text>
        <r>
          <rPr>
            <sz val="8"/>
            <color indexed="81"/>
            <rFont val="Tahoma"/>
            <family val="2"/>
            <charset val="204"/>
          </rPr>
          <t>Справочник овощевода Якутии Сост. Т.А. Перлова. - Якутск-1984 г. Стр. 38</t>
        </r>
      </text>
    </comment>
    <comment ref="AN39" authorId="1">
      <text>
        <r>
          <rPr>
            <sz val="8"/>
            <color indexed="81"/>
            <rFont val="Tahoma"/>
            <family val="2"/>
            <charset val="204"/>
          </rPr>
          <t>Расчет сделан на основании расхода топлива на 1 усл.га 12,2 кг.</t>
        </r>
      </text>
    </comment>
    <comment ref="K40" authorId="1">
      <text>
        <r>
          <rPr>
            <sz val="8"/>
            <color indexed="81"/>
            <rFont val="Tahoma"/>
            <family val="2"/>
            <charset val="204"/>
          </rPr>
          <t>Справочник овощевода Якутии Сост. Т.А. Перлова. - Якутск-1984 г. Стр. 38</t>
        </r>
      </text>
    </comment>
    <comment ref="AN40" authorId="1">
      <text>
        <r>
          <rPr>
            <sz val="8"/>
            <color indexed="81"/>
            <rFont val="Tahoma"/>
            <family val="2"/>
            <charset val="204"/>
          </rPr>
          <t xml:space="preserve">Технические характеристики 
Подача воды, л/с ........................................ 30-140 
Напор воды, м ............................................ 25-85 
Удельный расход топлива, кг/тыс.куб.м ..................... 1,26 
Мощность двигателя эксплуатационная, л.с. ................... 95 
Масса, кг.................................................. 2065 
2400 куб.м./га
1000 куб.м.----------1,26 кг.
</t>
        </r>
      </text>
    </comment>
    <comment ref="K41" authorId="1">
      <text>
        <r>
          <rPr>
            <sz val="8"/>
            <color indexed="81"/>
            <rFont val="Tahoma"/>
            <family val="2"/>
            <charset val="204"/>
          </rPr>
          <t>Справочник овощевода Якутии Сост. Т.А. Перлова. - Якутск-1984 г. Стр. 38</t>
        </r>
      </text>
    </comment>
    <comment ref="AN41" authorId="1">
      <text>
        <r>
          <rPr>
            <sz val="8"/>
            <color indexed="81"/>
            <rFont val="Tahoma"/>
            <family val="2"/>
            <charset val="204"/>
          </rPr>
          <t>Расчет сделан на основании расхода топлива на 1 усл.га 12,2 кг.</t>
        </r>
      </text>
    </comment>
    <comment ref="K4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r>
          <rPr>
            <b/>
            <sz val="8"/>
            <color indexed="81"/>
            <rFont val="Tahoma"/>
            <family val="2"/>
            <charset val="204"/>
          </rPr>
          <t>Максимов Р.М.:</t>
        </r>
        <r>
          <rPr>
            <sz val="8"/>
            <color indexed="81"/>
            <rFont val="Tahoma"/>
            <family val="2"/>
            <charset val="204"/>
          </rPr>
          <t xml:space="preserve">
</t>
        </r>
      </text>
    </comment>
    <comment ref="AN44" authorId="2">
      <text>
        <r>
          <rPr>
            <b/>
            <sz val="9"/>
            <color indexed="81"/>
            <rFont val="Tahoma"/>
            <family val="2"/>
            <charset val="204"/>
          </rPr>
          <t>Гаврильев Вячеслав Владимирович:</t>
        </r>
        <r>
          <rPr>
            <sz val="9"/>
            <color indexed="81"/>
            <rFont val="Tahoma"/>
            <family val="2"/>
            <charset val="204"/>
          </rPr>
          <t xml:space="preserve">
12,5 кг/га/0,84</t>
        </r>
      </text>
    </comment>
    <comment ref="K45" authorId="1">
      <text>
        <r>
          <rPr>
            <b/>
            <sz val="8"/>
            <color indexed="81"/>
            <rFont val="Tahoma"/>
            <family val="2"/>
            <charset val="204"/>
          </rPr>
          <t xml:space="preserve">4 рейса за 7 часов, один рейс 20 тонны, </t>
        </r>
      </text>
    </comment>
    <comment ref="K46"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K47"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AN47" authorId="1">
      <text>
        <r>
          <rPr>
            <sz val="8"/>
            <color indexed="81"/>
            <rFont val="Tahoma"/>
            <family val="2"/>
            <charset val="204"/>
          </rPr>
          <t>Расчет сделан на основании расхода топлива на 1 усл.га</t>
        </r>
      </text>
    </comment>
    <comment ref="K48" authorId="1">
      <text>
        <r>
          <rPr>
            <b/>
            <sz val="8"/>
            <color indexed="81"/>
            <rFont val="Tahoma"/>
            <family val="2"/>
            <charset val="204"/>
          </rPr>
          <t>Максимов Р.М.:</t>
        </r>
        <r>
          <rPr>
            <sz val="8"/>
            <color indexed="81"/>
            <rFont val="Tahoma"/>
            <family val="2"/>
            <charset val="204"/>
          </rPr>
          <t xml:space="preserve">
"Типовые нормы выроботки и нормативы времени на ручные с/х работы" М-1992 стр. 93-94</t>
        </r>
      </text>
    </comment>
    <comment ref="K49" authorId="1">
      <text>
        <r>
          <rPr>
            <b/>
            <sz val="8"/>
            <color indexed="81"/>
            <rFont val="Tahoma"/>
            <family val="2"/>
            <charset val="204"/>
          </rPr>
          <t>Максимов Р.М.:</t>
        </r>
        <r>
          <rPr>
            <sz val="8"/>
            <color indexed="81"/>
            <rFont val="Tahoma"/>
            <family val="2"/>
            <charset val="204"/>
          </rPr>
          <t xml:space="preserve">
"Нормативы выработки и расценки на конно-ручные сельскохозяйственные работы" М-1982 стр. 39</t>
        </r>
      </text>
    </comment>
  </commentList>
</comments>
</file>

<file path=xl/comments7.xml><?xml version="1.0" encoding="utf-8"?>
<comments xmlns="http://schemas.openxmlformats.org/spreadsheetml/2006/main">
  <authors>
    <author>1</author>
    <author>Максимов Р.М.</author>
    <author>Гаврильев Вячеслав Владимирович</author>
  </authors>
  <commentList>
    <comment ref="K22" authorId="0">
      <text>
        <r>
          <rPr>
            <b/>
            <sz val="8"/>
            <color indexed="81"/>
            <rFont val="Tahoma"/>
            <family val="2"/>
            <charset val="204"/>
          </rPr>
          <t>1:</t>
        </r>
        <r>
          <rPr>
            <sz val="8"/>
            <color indexed="81"/>
            <rFont val="Tahoma"/>
            <family val="2"/>
            <charset val="204"/>
          </rPr>
          <t>"Типовые нормы выроботки и расход топлива на с/х мех. Работы" М.-1994 стр. 25</t>
        </r>
        <r>
          <rPr>
            <sz val="8"/>
            <color indexed="81"/>
            <rFont val="Tahoma"/>
            <family val="2"/>
            <charset val="204"/>
          </rPr>
          <t xml:space="preserve">
</t>
        </r>
      </text>
    </comment>
    <comment ref="K23" authorId="1">
      <text>
        <r>
          <rPr>
            <b/>
            <sz val="8"/>
            <color indexed="81"/>
            <rFont val="Tahoma"/>
            <family val="2"/>
            <charset val="204"/>
          </rPr>
          <t xml:space="preserve">Максимов Р.М.:
</t>
        </r>
        <r>
          <rPr>
            <sz val="8"/>
            <color indexed="81"/>
            <rFont val="Tahoma"/>
            <family val="2"/>
            <charset val="204"/>
          </rPr>
          <t>"Типовые нормы выроботки и расход топлива на с/х мех. Работы" М.-1994 стр. 83</t>
        </r>
      </text>
    </comment>
    <comment ref="K2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52</t>
        </r>
      </text>
    </comment>
    <comment ref="K25"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М.-1994 стр. 53</t>
        </r>
      </text>
    </comment>
    <comment ref="K26"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7"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8"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29"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0"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1" authorId="0">
      <text>
        <r>
          <rPr>
            <b/>
            <sz val="8"/>
            <color indexed="81"/>
            <rFont val="Tahoma"/>
            <family val="2"/>
            <charset val="204"/>
          </rPr>
          <t xml:space="preserve">1:Типовые нормы выработки и нормативы времени на ручные с/х работы М.-1992, стр.527
</t>
        </r>
        <r>
          <rPr>
            <sz val="8"/>
            <color indexed="81"/>
            <rFont val="Tahoma"/>
            <family val="2"/>
            <charset val="204"/>
          </rPr>
          <t xml:space="preserve">
</t>
        </r>
      </text>
    </comment>
    <comment ref="K32" authorId="2">
      <text>
        <r>
          <rPr>
            <b/>
            <sz val="9"/>
            <color indexed="81"/>
            <rFont val="Tahoma"/>
            <family val="2"/>
            <charset val="204"/>
          </rPr>
          <t>Гаврильев Вячеслав Владимирович:</t>
        </r>
        <r>
          <rPr>
            <sz val="9"/>
            <color indexed="81"/>
            <rFont val="Tahoma"/>
            <family val="2"/>
            <charset val="204"/>
          </rPr>
          <t xml:space="preserve">
http://www.eridon-tech.com.ua/lemken-solitair/</t>
        </r>
      </text>
    </comment>
    <comment ref="K33" authorId="0">
      <text>
        <r>
          <rPr>
            <b/>
            <sz val="8"/>
            <color indexed="81"/>
            <rFont val="Tahoma"/>
            <family val="2"/>
            <charset val="204"/>
          </rPr>
          <t xml:space="preserve">1:"Типовые нормы выработки и расход топлива на мех. Работы по внесению мин.удобр." М.-1994,  стр. 195
</t>
        </r>
        <r>
          <rPr>
            <sz val="8"/>
            <color indexed="81"/>
            <rFont val="Tahoma"/>
            <family val="2"/>
            <charset val="204"/>
          </rPr>
          <t xml:space="preserve">
</t>
        </r>
      </text>
    </comment>
    <comment ref="K36" authorId="1">
      <text>
        <r>
          <rPr>
            <sz val="8"/>
            <color indexed="81"/>
            <rFont val="Tahoma"/>
            <family val="2"/>
            <charset val="204"/>
          </rPr>
          <t>Справочник овощевода Якутии Сост. Т.А. Перлова. - Якутск-1984 г. Стр. 38</t>
        </r>
      </text>
    </comment>
    <comment ref="AN36" authorId="1">
      <text>
        <r>
          <rPr>
            <sz val="8"/>
            <color indexed="81"/>
            <rFont val="Tahoma"/>
            <family val="2"/>
            <charset val="204"/>
          </rPr>
          <t xml:space="preserve">СНП -50/80 расход ГСМ 16,8л/ч
16,8 л/ч*24ч=403,2 л за сутки
1 полив: Полив 6 дней*406,2л=2419л
2 полив: Полив 6 дней*403,2л=2419л
3 полив: Полив 9 дней*403,2л=3628,8л
Итого расход  ГСМ за 21 дней = 8466,8 л
</t>
        </r>
      </text>
    </comment>
    <comment ref="K37" authorId="1">
      <text>
        <r>
          <rPr>
            <sz val="8"/>
            <color indexed="81"/>
            <rFont val="Tahoma"/>
            <family val="2"/>
            <charset val="204"/>
          </rPr>
          <t>Справочник овощевода Якутии Сост. Т.А. Перлова. - Якутск-1984 г. Стр. 38</t>
        </r>
      </text>
    </comment>
    <comment ref="AN37" authorId="1">
      <text>
        <r>
          <rPr>
            <sz val="8"/>
            <color indexed="81"/>
            <rFont val="Tahoma"/>
            <family val="2"/>
            <charset val="204"/>
          </rPr>
          <t>Расчет сделан на основании расхода топлива на 1 усл.га 12,2 кг.</t>
        </r>
      </text>
    </comment>
    <comment ref="K38" authorId="1">
      <text>
        <r>
          <rPr>
            <sz val="8"/>
            <color indexed="81"/>
            <rFont val="Tahoma"/>
            <family val="2"/>
            <charset val="204"/>
          </rPr>
          <t>Справочник овощевода Якутии Сост. Т.А. Перлова. - Якутск-1984 г. Стр. 38</t>
        </r>
      </text>
    </comment>
    <comment ref="AN38" authorId="1">
      <text>
        <r>
          <rPr>
            <sz val="8"/>
            <color indexed="81"/>
            <rFont val="Tahoma"/>
            <family val="2"/>
            <charset val="204"/>
          </rPr>
          <t xml:space="preserve">СНП -50/80 расход ГСМ 16,8л/ч
16,8 л/ч*24ч=403,2 л за сутки
1 полив: Полив 6 дней*406,2л=2419л
2 полив: Полив 6 дней*403,2л=2419л
3 полив: Полив 9 дней*403,2л=3628,8л
Итого расход  ГСМ за 21 дней = 8466,8 л
</t>
        </r>
      </text>
    </comment>
    <comment ref="K39" authorId="1">
      <text>
        <r>
          <rPr>
            <sz val="8"/>
            <color indexed="81"/>
            <rFont val="Tahoma"/>
            <family val="2"/>
            <charset val="204"/>
          </rPr>
          <t>Справочник овощевода Якутии Сост. Т.А. Перлова. - Якутск-1984 г. Стр. 38</t>
        </r>
      </text>
    </comment>
    <comment ref="AN39" authorId="1">
      <text>
        <r>
          <rPr>
            <sz val="8"/>
            <color indexed="81"/>
            <rFont val="Tahoma"/>
            <family val="2"/>
            <charset val="204"/>
          </rPr>
          <t>Расчет сделан на основании расхода топлива на 1 усл.га 12,2 кг.</t>
        </r>
      </text>
    </comment>
    <comment ref="K40" authorId="1">
      <text>
        <r>
          <rPr>
            <sz val="8"/>
            <color indexed="81"/>
            <rFont val="Tahoma"/>
            <family val="2"/>
            <charset val="204"/>
          </rPr>
          <t>Справочник овощевода Якутии Сост. Т.А. Перлова. - Якутск-1984 г. Стр. 38</t>
        </r>
      </text>
    </comment>
    <comment ref="AN40" authorId="1">
      <text>
        <r>
          <rPr>
            <sz val="8"/>
            <color indexed="81"/>
            <rFont val="Tahoma"/>
            <family val="2"/>
            <charset val="204"/>
          </rPr>
          <t xml:space="preserve">Технические характеристики 
Подача воды, л/с ........................................ 30-140 
Напор воды, м ............................................ 25-85 
Удельный расход топлива, кг/тыс.куб.м ..................... 1,26 
Мощность двигателя эксплуатационная, л.с. ................... 95 
Масса, кг.................................................. 2065 
2400 куб.м./га
1000 куб.м.----------1,26 кг.
</t>
        </r>
      </text>
    </comment>
    <comment ref="K41" authorId="1">
      <text>
        <r>
          <rPr>
            <sz val="8"/>
            <color indexed="81"/>
            <rFont val="Tahoma"/>
            <family val="2"/>
            <charset val="204"/>
          </rPr>
          <t>Справочник овощевода Якутии Сост. Т.А. Перлова. - Якутск-1984 г. Стр. 38</t>
        </r>
      </text>
    </comment>
    <comment ref="AN41" authorId="1">
      <text>
        <r>
          <rPr>
            <sz val="8"/>
            <color indexed="81"/>
            <rFont val="Tahoma"/>
            <family val="2"/>
            <charset val="204"/>
          </rPr>
          <t>Расчет сделан на основании расхода топлива на 1 усл.га 12,2 кг.</t>
        </r>
      </text>
    </comment>
    <comment ref="K44" authorId="1">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r>
          <rPr>
            <b/>
            <sz val="8"/>
            <color indexed="81"/>
            <rFont val="Tahoma"/>
            <family val="2"/>
            <charset val="204"/>
          </rPr>
          <t>Максимов Р.М.:</t>
        </r>
        <r>
          <rPr>
            <sz val="8"/>
            <color indexed="81"/>
            <rFont val="Tahoma"/>
            <family val="2"/>
            <charset val="204"/>
          </rPr>
          <t xml:space="preserve">
</t>
        </r>
      </text>
    </comment>
    <comment ref="AN44" authorId="2">
      <text>
        <r>
          <rPr>
            <b/>
            <sz val="9"/>
            <color indexed="81"/>
            <rFont val="Tahoma"/>
            <family val="2"/>
            <charset val="204"/>
          </rPr>
          <t>Гаврильев Вячеслав Владимирович:</t>
        </r>
        <r>
          <rPr>
            <sz val="9"/>
            <color indexed="81"/>
            <rFont val="Tahoma"/>
            <family val="2"/>
            <charset val="204"/>
          </rPr>
          <t xml:space="preserve">
12,5 кг/га/0,84</t>
        </r>
      </text>
    </comment>
    <comment ref="K45" authorId="1">
      <text>
        <r>
          <rPr>
            <b/>
            <sz val="8"/>
            <color indexed="81"/>
            <rFont val="Tahoma"/>
            <family val="2"/>
            <charset val="204"/>
          </rPr>
          <t xml:space="preserve">4 рейса за 7 часов, один рейс 20 тонны, </t>
        </r>
      </text>
    </comment>
    <comment ref="K46"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K47" authorId="0">
      <text>
        <r>
          <rPr>
            <b/>
            <sz val="8"/>
            <color indexed="81"/>
            <rFont val="Tahoma"/>
            <family val="2"/>
            <charset val="204"/>
          </rPr>
          <t>1:Типовые нормы выработки и нормативы времени на ручные с/х работы:М.-1992, стр.93</t>
        </r>
        <r>
          <rPr>
            <sz val="8"/>
            <color indexed="81"/>
            <rFont val="Tahoma"/>
            <family val="2"/>
            <charset val="204"/>
          </rPr>
          <t xml:space="preserve">
</t>
        </r>
      </text>
    </comment>
    <comment ref="AN47" authorId="1">
      <text>
        <r>
          <rPr>
            <sz val="8"/>
            <color indexed="81"/>
            <rFont val="Tahoma"/>
            <family val="2"/>
            <charset val="204"/>
          </rPr>
          <t>Расчет сделан на основании расхода топлива на 1 усл.га</t>
        </r>
      </text>
    </comment>
    <comment ref="K48" authorId="1">
      <text>
        <r>
          <rPr>
            <b/>
            <sz val="8"/>
            <color indexed="81"/>
            <rFont val="Tahoma"/>
            <family val="2"/>
            <charset val="204"/>
          </rPr>
          <t>Максимов Р.М.:</t>
        </r>
        <r>
          <rPr>
            <sz val="8"/>
            <color indexed="81"/>
            <rFont val="Tahoma"/>
            <family val="2"/>
            <charset val="204"/>
          </rPr>
          <t xml:space="preserve">
"Типовые нормы выроботки и нормативы времени на ручные с/х работы" М-1992 стр. 93-94</t>
        </r>
      </text>
    </comment>
    <comment ref="K49" authorId="1">
      <text>
        <r>
          <rPr>
            <b/>
            <sz val="8"/>
            <color indexed="81"/>
            <rFont val="Tahoma"/>
            <family val="2"/>
            <charset val="204"/>
          </rPr>
          <t>Максимов Р.М.:</t>
        </r>
        <r>
          <rPr>
            <sz val="8"/>
            <color indexed="81"/>
            <rFont val="Tahoma"/>
            <family val="2"/>
            <charset val="204"/>
          </rPr>
          <t xml:space="preserve">
"Нормативы выработки и расценки на конно-ручные сельскохозяйственные работы" М-1982 стр. 39</t>
        </r>
      </text>
    </comment>
  </commentList>
</comments>
</file>

<file path=xl/comments8.xml><?xml version="1.0" encoding="utf-8"?>
<comments xmlns="http://schemas.openxmlformats.org/spreadsheetml/2006/main">
  <authors>
    <author>Максимов Р.М.</author>
    <author>1</author>
    <author>gurieva.am</author>
  </authors>
  <commentList>
    <comment ref="K20" authorId="0">
      <text>
        <r>
          <rPr>
            <sz val="8"/>
            <color indexed="81"/>
            <rFont val="Tahoma"/>
            <family val="2"/>
            <charset val="204"/>
          </rPr>
          <t>"Типовые нормы выроботки и расход топлива на с/х мех. Работы" ч. 2 М.-1994 стр. 11</t>
        </r>
      </text>
    </comment>
    <comment ref="K21"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22"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3"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4"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5"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8"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K29"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30"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1"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2"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3"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4"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5"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8"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K39"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40"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41" authorId="1">
      <text>
        <r>
          <rPr>
            <sz val="8"/>
            <color indexed="81"/>
            <rFont val="Tahoma"/>
            <family val="2"/>
            <charset val="204"/>
          </rPr>
          <t xml:space="preserve">1:Типовые нормы выработки и нормативы времени на ручные с/х работы: М.1992, стр.90
</t>
        </r>
      </text>
    </comment>
    <comment ref="K42" authorId="1">
      <text>
        <r>
          <rPr>
            <sz val="8"/>
            <color indexed="81"/>
            <rFont val="Tahoma"/>
            <family val="2"/>
            <charset val="204"/>
          </rPr>
          <t xml:space="preserve">1:Типовые нормы выработки и нормативы времени на ручные с/х работы: М.1992, стр.90
</t>
        </r>
      </text>
    </comment>
    <comment ref="K43" authorId="1">
      <text>
        <r>
          <rPr>
            <sz val="8"/>
            <color indexed="81"/>
            <rFont val="Tahoma"/>
            <family val="2"/>
            <charset val="204"/>
          </rPr>
          <t xml:space="preserve">1:Типовые нормы выработки и нормативы времени на ручные с/х работы: М.1992, стр.90
</t>
        </r>
      </text>
    </comment>
    <comment ref="K44" authorId="1">
      <text>
        <r>
          <rPr>
            <sz val="8"/>
            <color indexed="81"/>
            <rFont val="Tahoma"/>
            <family val="2"/>
            <charset val="204"/>
          </rPr>
          <t xml:space="preserve">1:Типовые нормы выработки и нормативы времени на ручные с/х работы: М.1992, стр.90
</t>
        </r>
      </text>
    </comment>
    <comment ref="K45" authorId="1">
      <text>
        <r>
          <rPr>
            <sz val="8"/>
            <color indexed="81"/>
            <rFont val="Tahoma"/>
            <family val="2"/>
            <charset val="204"/>
          </rPr>
          <t xml:space="preserve">1:Типовые нормы выработки и нормативы времени на ручные с/х работы: М.1992, стр.91
</t>
        </r>
      </text>
    </comment>
    <comment ref="K48" authorId="1">
      <text>
        <r>
          <rPr>
            <sz val="8"/>
            <color indexed="81"/>
            <rFont val="Tahoma"/>
            <family val="2"/>
            <charset val="204"/>
          </rPr>
          <t xml:space="preserve">1:Типовые нормы выработки и нормативы времени на ручные с/х работы: М.1992, стр.86
</t>
        </r>
      </text>
    </comment>
    <comment ref="AN48" authorId="2">
      <text>
        <r>
          <rPr>
            <b/>
            <sz val="9"/>
            <color indexed="81"/>
            <rFont val="Tahoma"/>
            <family val="2"/>
            <charset val="204"/>
          </rPr>
          <t>gurieva.am:</t>
        </r>
        <r>
          <rPr>
            <sz val="9"/>
            <color indexed="81"/>
            <rFont val="Tahoma"/>
            <family val="2"/>
            <charset val="204"/>
          </rPr>
          <t xml:space="preserve">
0,251г*20л.с.*0,75квт/ч*0,54</t>
        </r>
      </text>
    </comment>
    <comment ref="K49" authorId="1">
      <text>
        <r>
          <rPr>
            <sz val="8"/>
            <color indexed="81"/>
            <rFont val="Tahoma"/>
            <family val="2"/>
            <charset val="204"/>
          </rPr>
          <t xml:space="preserve">1:Типовые нормы выработки и нормативы времени на ручные с/х работы: М.1992, стр.89
</t>
        </r>
      </text>
    </comment>
    <comment ref="AN49" authorId="2">
      <text>
        <r>
          <rPr>
            <b/>
            <sz val="9"/>
            <color indexed="81"/>
            <rFont val="Tahoma"/>
            <family val="2"/>
            <charset val="204"/>
          </rPr>
          <t>gurieva.am:</t>
        </r>
        <r>
          <rPr>
            <sz val="9"/>
            <color indexed="81"/>
            <rFont val="Tahoma"/>
            <family val="2"/>
            <charset val="204"/>
          </rPr>
          <t xml:space="preserve">
0,251г*20л.с.*0,75квт.ч.*0,63
</t>
        </r>
      </text>
    </comment>
    <comment ref="K50" authorId="1">
      <text>
        <r>
          <rPr>
            <sz val="8"/>
            <color indexed="81"/>
            <rFont val="Tahoma"/>
            <family val="2"/>
            <charset val="204"/>
          </rPr>
          <t xml:space="preserve">1:Типовые нормы выработки и нормативы времени на ручные с/х работы: М.1992, стр.86
</t>
        </r>
      </text>
    </comment>
    <comment ref="AN50" authorId="2">
      <text>
        <r>
          <rPr>
            <b/>
            <sz val="9"/>
            <color indexed="81"/>
            <rFont val="Tahoma"/>
            <family val="2"/>
            <charset val="204"/>
          </rPr>
          <t>gurieva.am:</t>
        </r>
        <r>
          <rPr>
            <sz val="9"/>
            <color indexed="81"/>
            <rFont val="Tahoma"/>
            <family val="2"/>
            <charset val="204"/>
          </rPr>
          <t xml:space="preserve">
0,251г*20л.с.*0,75квт.ч.*0,63</t>
        </r>
      </text>
    </comment>
    <comment ref="K51" authorId="1">
      <text>
        <r>
          <rPr>
            <sz val="8"/>
            <color indexed="81"/>
            <rFont val="Tahoma"/>
            <family val="2"/>
            <charset val="204"/>
          </rPr>
          <t xml:space="preserve">1:Типовые нормы выработки и нормативы времени на ручные с/х работы: М.1992, стр.90
</t>
        </r>
      </text>
    </comment>
    <comment ref="K52" authorId="1">
      <text>
        <r>
          <rPr>
            <sz val="8"/>
            <color indexed="81"/>
            <rFont val="Tahoma"/>
            <family val="2"/>
            <charset val="204"/>
          </rPr>
          <t xml:space="preserve">1:Типовые нормы выработки и нормативы времени на ручные с/х работы: М.1992, стр.90
</t>
        </r>
      </text>
    </comment>
    <comment ref="K53" authorId="1">
      <text>
        <r>
          <rPr>
            <sz val="8"/>
            <color indexed="81"/>
            <rFont val="Tahoma"/>
            <family val="2"/>
            <charset val="204"/>
          </rPr>
          <t xml:space="preserve">1:Типовые нормы выработки и нормативы времени на ручные с/х работы: М.1992, стр.90
</t>
        </r>
      </text>
    </comment>
    <comment ref="K54" authorId="1">
      <text>
        <r>
          <rPr>
            <sz val="8"/>
            <color indexed="81"/>
            <rFont val="Tahoma"/>
            <family val="2"/>
            <charset val="204"/>
          </rPr>
          <t xml:space="preserve">1:Типовые нормы выработки и нормативы времени на ручные с/х работы: М.1992, стр.90
</t>
        </r>
      </text>
    </comment>
    <comment ref="K55" authorId="1">
      <text>
        <r>
          <rPr>
            <sz val="8"/>
            <color indexed="81"/>
            <rFont val="Tahoma"/>
            <family val="2"/>
            <charset val="204"/>
          </rPr>
          <t xml:space="preserve">1:Типовые нормы выработки и нормативы времени на ручные с/х работы: М.1992, стр.91
</t>
        </r>
      </text>
    </comment>
    <comment ref="K58" authorId="0">
      <text>
        <r>
          <rPr>
            <sz val="8"/>
            <color indexed="81"/>
            <rFont val="Tahoma"/>
            <family val="2"/>
            <charset val="204"/>
          </rPr>
          <t xml:space="preserve">Сборник зональных норм и расценок на сх работы: Я.1966, стр.171
</t>
        </r>
      </text>
    </comment>
    <comment ref="K59" authorId="1">
      <text>
        <r>
          <rPr>
            <sz val="8"/>
            <color indexed="81"/>
            <rFont val="Tahoma"/>
            <family val="2"/>
            <charset val="204"/>
          </rPr>
          <t xml:space="preserve">Сборник зональных норм и расценок на сх работы: Я.1966, стр.173
</t>
        </r>
      </text>
    </comment>
    <comment ref="K60" authorId="1">
      <text>
        <r>
          <rPr>
            <sz val="8"/>
            <color indexed="81"/>
            <rFont val="Tahoma"/>
            <family val="2"/>
            <charset val="204"/>
          </rPr>
          <t xml:space="preserve">Сборник зональных норм и расценок на сх работы: Я.1966, стр.172
</t>
        </r>
      </text>
    </comment>
    <comment ref="K61" authorId="1">
      <text>
        <r>
          <rPr>
            <sz val="8"/>
            <color indexed="81"/>
            <rFont val="Tahoma"/>
            <family val="2"/>
            <charset val="204"/>
          </rPr>
          <t xml:space="preserve">Сборник зональных норм и расценок на сх работы: Я.1966, стр.173
</t>
        </r>
      </text>
    </comment>
    <comment ref="K62" authorId="1">
      <text>
        <r>
          <rPr>
            <sz val="8"/>
            <color indexed="81"/>
            <rFont val="Tahoma"/>
            <family val="2"/>
            <charset val="204"/>
          </rPr>
          <t xml:space="preserve">Сборник зональных норм и расценок на сх работы: Я.1966, стр.173
</t>
        </r>
      </text>
    </comment>
    <comment ref="K63" authorId="1">
      <text>
        <r>
          <rPr>
            <sz val="8"/>
            <color indexed="81"/>
            <rFont val="Tahoma"/>
            <family val="2"/>
            <charset val="204"/>
          </rPr>
          <t xml:space="preserve">Сборник зональных норм и расценок на сх работы: Я.1966, стр.173
</t>
        </r>
      </text>
    </comment>
    <comment ref="K64" authorId="1">
      <text>
        <r>
          <rPr>
            <sz val="8"/>
            <color indexed="81"/>
            <rFont val="Tahoma"/>
            <family val="2"/>
            <charset val="204"/>
          </rPr>
          <t xml:space="preserve">Сборник зональных норм и расценок на сх работы: Я.1966, стр.173
</t>
        </r>
      </text>
    </comment>
  </commentList>
</comments>
</file>

<file path=xl/comments9.xml><?xml version="1.0" encoding="utf-8"?>
<comments xmlns="http://schemas.openxmlformats.org/spreadsheetml/2006/main">
  <authors>
    <author>Максимов Р.М.</author>
    <author>1</author>
    <author>gurieva.am</author>
  </authors>
  <commentList>
    <comment ref="K20" authorId="0">
      <text>
        <r>
          <rPr>
            <sz val="8"/>
            <color indexed="81"/>
            <rFont val="Tahoma"/>
            <family val="2"/>
            <charset val="204"/>
          </rPr>
          <t>"Типовые нормы выроботки и расход топлива на с/х мех. Работы" ч. 2 М.-1994 стр. 11</t>
        </r>
      </text>
    </comment>
    <comment ref="K21"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22"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3"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4"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5"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28"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K29"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30"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1"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2"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3"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4"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5"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38"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11</t>
        </r>
      </text>
    </comment>
    <comment ref="K39"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27</t>
        </r>
      </text>
    </comment>
    <comment ref="K40" authorId="0">
      <text>
        <r>
          <rPr>
            <b/>
            <sz val="8"/>
            <color indexed="81"/>
            <rFont val="Tahoma"/>
            <family val="2"/>
            <charset val="204"/>
          </rPr>
          <t>Максимов Р.М.:</t>
        </r>
        <r>
          <rPr>
            <sz val="8"/>
            <color indexed="81"/>
            <rFont val="Tahoma"/>
            <family val="2"/>
            <charset val="204"/>
          </rPr>
          <t xml:space="preserve">
"Типовые нормы выроботки и расход топлива на с/х мех. Работы" ч. 2 М.-1994 стр. 29</t>
        </r>
      </text>
    </comment>
    <comment ref="K41" authorId="1">
      <text>
        <r>
          <rPr>
            <sz val="8"/>
            <color indexed="81"/>
            <rFont val="Tahoma"/>
            <family val="2"/>
            <charset val="204"/>
          </rPr>
          <t xml:space="preserve">1:Типовые нормы выработки и нормативы времени на ручные с/х работы: М.1992, стр.90
</t>
        </r>
      </text>
    </comment>
    <comment ref="K42" authorId="1">
      <text>
        <r>
          <rPr>
            <sz val="8"/>
            <color indexed="81"/>
            <rFont val="Tahoma"/>
            <family val="2"/>
            <charset val="204"/>
          </rPr>
          <t xml:space="preserve">1:Типовые нормы выработки и нормативы времени на ручные с/х работы: М.1992, стр.90
</t>
        </r>
      </text>
    </comment>
    <comment ref="K43" authorId="1">
      <text>
        <r>
          <rPr>
            <sz val="8"/>
            <color indexed="81"/>
            <rFont val="Tahoma"/>
            <family val="2"/>
            <charset val="204"/>
          </rPr>
          <t xml:space="preserve">1:Типовые нормы выработки и нормативы времени на ручные с/х работы: М.1992, стр.90
</t>
        </r>
      </text>
    </comment>
    <comment ref="K44" authorId="1">
      <text>
        <r>
          <rPr>
            <sz val="8"/>
            <color indexed="81"/>
            <rFont val="Tahoma"/>
            <family val="2"/>
            <charset val="204"/>
          </rPr>
          <t xml:space="preserve">1:Типовые нормы выработки и нормативы времени на ручные с/х работы: М.1992, стр.90
</t>
        </r>
      </text>
    </comment>
    <comment ref="K45" authorId="1">
      <text>
        <r>
          <rPr>
            <sz val="8"/>
            <color indexed="81"/>
            <rFont val="Tahoma"/>
            <family val="2"/>
            <charset val="204"/>
          </rPr>
          <t xml:space="preserve">1:Типовые нормы выработки и нормативы времени на ручные с/х работы: М.1992, стр.91
</t>
        </r>
      </text>
    </comment>
    <comment ref="K48" authorId="1">
      <text>
        <r>
          <rPr>
            <sz val="8"/>
            <color indexed="81"/>
            <rFont val="Tahoma"/>
            <family val="2"/>
            <charset val="204"/>
          </rPr>
          <t xml:space="preserve">1:Типовые нормы выработки и нормативы времени на ручные с/х работы: М.1992, стр.86
</t>
        </r>
      </text>
    </comment>
    <comment ref="AN48" authorId="2">
      <text>
        <r>
          <rPr>
            <b/>
            <sz val="9"/>
            <color indexed="81"/>
            <rFont val="Tahoma"/>
            <family val="2"/>
            <charset val="204"/>
          </rPr>
          <t>gurieva.am:</t>
        </r>
        <r>
          <rPr>
            <sz val="9"/>
            <color indexed="81"/>
            <rFont val="Tahoma"/>
            <family val="2"/>
            <charset val="204"/>
          </rPr>
          <t xml:space="preserve">
0,251г*20л.с.*0,75квт/ч*0,54</t>
        </r>
      </text>
    </comment>
    <comment ref="K49" authorId="1">
      <text>
        <r>
          <rPr>
            <sz val="8"/>
            <color indexed="81"/>
            <rFont val="Tahoma"/>
            <family val="2"/>
            <charset val="204"/>
          </rPr>
          <t xml:space="preserve">1:Типовые нормы выработки и нормативы времени на ручные с/х работы: М.1992, стр.89
</t>
        </r>
      </text>
    </comment>
    <comment ref="AN49" authorId="2">
      <text>
        <r>
          <rPr>
            <b/>
            <sz val="9"/>
            <color indexed="81"/>
            <rFont val="Tahoma"/>
            <family val="2"/>
            <charset val="204"/>
          </rPr>
          <t>gurieva.am:</t>
        </r>
        <r>
          <rPr>
            <sz val="9"/>
            <color indexed="81"/>
            <rFont val="Tahoma"/>
            <family val="2"/>
            <charset val="204"/>
          </rPr>
          <t xml:space="preserve">
0,251г*20л.с.*0,75квт.ч.*0,63
</t>
        </r>
      </text>
    </comment>
    <comment ref="K50" authorId="1">
      <text>
        <r>
          <rPr>
            <sz val="8"/>
            <color indexed="81"/>
            <rFont val="Tahoma"/>
            <family val="2"/>
            <charset val="204"/>
          </rPr>
          <t xml:space="preserve">1:Типовые нормы выработки и нормативы времени на ручные с/х работы: М.1992, стр.86
</t>
        </r>
      </text>
    </comment>
    <comment ref="AN50" authorId="2">
      <text>
        <r>
          <rPr>
            <b/>
            <sz val="9"/>
            <color indexed="81"/>
            <rFont val="Tahoma"/>
            <family val="2"/>
            <charset val="204"/>
          </rPr>
          <t>gurieva.am:</t>
        </r>
        <r>
          <rPr>
            <sz val="9"/>
            <color indexed="81"/>
            <rFont val="Tahoma"/>
            <family val="2"/>
            <charset val="204"/>
          </rPr>
          <t xml:space="preserve">
0,251г*20л.с.*0,75квт.ч.*0,63</t>
        </r>
      </text>
    </comment>
    <comment ref="K51" authorId="1">
      <text>
        <r>
          <rPr>
            <sz val="8"/>
            <color indexed="81"/>
            <rFont val="Tahoma"/>
            <family val="2"/>
            <charset val="204"/>
          </rPr>
          <t xml:space="preserve">1:Типовые нормы выработки и нормативы времени на ручные с/х работы: М.1992, стр.90
</t>
        </r>
      </text>
    </comment>
    <comment ref="K52" authorId="1">
      <text>
        <r>
          <rPr>
            <sz val="8"/>
            <color indexed="81"/>
            <rFont val="Tahoma"/>
            <family val="2"/>
            <charset val="204"/>
          </rPr>
          <t xml:space="preserve">1:Типовые нормы выработки и нормативы времени на ручные с/х работы: М.1992, стр.90
</t>
        </r>
      </text>
    </comment>
    <comment ref="K53" authorId="1">
      <text>
        <r>
          <rPr>
            <sz val="8"/>
            <color indexed="81"/>
            <rFont val="Tahoma"/>
            <family val="2"/>
            <charset val="204"/>
          </rPr>
          <t xml:space="preserve">1:Типовые нормы выработки и нормативы времени на ручные с/х работы: М.1992, стр.90
</t>
        </r>
      </text>
    </comment>
    <comment ref="K54" authorId="1">
      <text>
        <r>
          <rPr>
            <sz val="8"/>
            <color indexed="81"/>
            <rFont val="Tahoma"/>
            <family val="2"/>
            <charset val="204"/>
          </rPr>
          <t xml:space="preserve">1:Типовые нормы выработки и нормативы времени на ручные с/х работы: М.1992, стр.90
</t>
        </r>
      </text>
    </comment>
    <comment ref="K55" authorId="1">
      <text>
        <r>
          <rPr>
            <sz val="8"/>
            <color indexed="81"/>
            <rFont val="Tahoma"/>
            <family val="2"/>
            <charset val="204"/>
          </rPr>
          <t xml:space="preserve">1:Типовые нормы выработки и нормативы времени на ручные с/х работы: М.1992, стр.91
</t>
        </r>
      </text>
    </comment>
    <comment ref="K58" authorId="0">
      <text>
        <r>
          <rPr>
            <sz val="8"/>
            <color indexed="81"/>
            <rFont val="Tahoma"/>
            <family val="2"/>
            <charset val="204"/>
          </rPr>
          <t xml:space="preserve">Сборник зональных норм и расценок на сх работы: Я.1966, стр.171
</t>
        </r>
      </text>
    </comment>
    <comment ref="K59" authorId="1">
      <text>
        <r>
          <rPr>
            <sz val="8"/>
            <color indexed="81"/>
            <rFont val="Tahoma"/>
            <family val="2"/>
            <charset val="204"/>
          </rPr>
          <t xml:space="preserve">Сборник зональных норм и расценок на сх работы: Я.1966, стр.173
</t>
        </r>
      </text>
    </comment>
    <comment ref="K60" authorId="1">
      <text>
        <r>
          <rPr>
            <sz val="8"/>
            <color indexed="81"/>
            <rFont val="Tahoma"/>
            <family val="2"/>
            <charset val="204"/>
          </rPr>
          <t xml:space="preserve">Сборник зональных норм и расценок на сх работы: Я.1966, стр.172
</t>
        </r>
      </text>
    </comment>
    <comment ref="K61" authorId="1">
      <text>
        <r>
          <rPr>
            <sz val="8"/>
            <color indexed="81"/>
            <rFont val="Tahoma"/>
            <family val="2"/>
            <charset val="204"/>
          </rPr>
          <t xml:space="preserve">Сборник зональных норм и расценок на сх работы: Я.1966, стр.173
</t>
        </r>
      </text>
    </comment>
    <comment ref="K62" authorId="1">
      <text>
        <r>
          <rPr>
            <sz val="8"/>
            <color indexed="81"/>
            <rFont val="Tahoma"/>
            <family val="2"/>
            <charset val="204"/>
          </rPr>
          <t xml:space="preserve">Сборник зональных норм и расценок на сх работы: Я.1966, стр.173
</t>
        </r>
      </text>
    </comment>
    <comment ref="K63" authorId="1">
      <text>
        <r>
          <rPr>
            <sz val="8"/>
            <color indexed="81"/>
            <rFont val="Tahoma"/>
            <family val="2"/>
            <charset val="204"/>
          </rPr>
          <t xml:space="preserve">Сборник зональных норм и расценок на сх работы: Я.1966, стр.173
</t>
        </r>
      </text>
    </comment>
    <comment ref="K64" authorId="1">
      <text>
        <r>
          <rPr>
            <sz val="8"/>
            <color indexed="81"/>
            <rFont val="Tahoma"/>
            <family val="2"/>
            <charset val="204"/>
          </rPr>
          <t xml:space="preserve">Сборник зональных норм и расценок на сх работы: Я.1966, стр.173
</t>
        </r>
      </text>
    </comment>
  </commentList>
</comments>
</file>

<file path=xl/sharedStrings.xml><?xml version="1.0" encoding="utf-8"?>
<sst xmlns="http://schemas.openxmlformats.org/spreadsheetml/2006/main" count="2571" uniqueCount="665">
  <si>
    <t>Трактор МТЗ-1221</t>
  </si>
  <si>
    <t>Борона БДП-3,0</t>
  </si>
  <si>
    <t>Прицепной кормоуборочный комбайн</t>
  </si>
  <si>
    <t>Погрузчик ПМТ-0,1</t>
  </si>
  <si>
    <t>300руб</t>
  </si>
  <si>
    <t>138руб</t>
  </si>
  <si>
    <t>с НДС</t>
  </si>
  <si>
    <t>ДТЗ, ДТА</t>
  </si>
  <si>
    <t>вил.</t>
  </si>
  <si>
    <t>центр.</t>
  </si>
  <si>
    <t>масла</t>
  </si>
  <si>
    <t>Балансовая стоимость, (тыс.руб.)*</t>
  </si>
  <si>
    <t>Наименование работ</t>
  </si>
  <si>
    <t>Расход ГСМ</t>
  </si>
  <si>
    <t>за весь объем работ</t>
  </si>
  <si>
    <t>Единица измерения</t>
  </si>
  <si>
    <t>Трактористов-машинистов</t>
  </si>
  <si>
    <t>Прицепщиков и рабочих на ручных работах</t>
  </si>
  <si>
    <t>Северный и районный коэффициент</t>
  </si>
  <si>
    <t>Разряд оплаты труда</t>
  </si>
  <si>
    <t>Часовая ставка</t>
  </si>
  <si>
    <t>Итого</t>
  </si>
  <si>
    <t>Погрузка семян вручную</t>
  </si>
  <si>
    <t>Транспортировка семян к месту посева</t>
  </si>
  <si>
    <t>Разгрузка семян вручную</t>
  </si>
  <si>
    <t>Погрузка минеральных удобрений вручную</t>
  </si>
  <si>
    <t>Разгрузка минеральных удобрений вручную</t>
  </si>
  <si>
    <t>Посев зерна с внесением минеральных удобрений</t>
  </si>
  <si>
    <t>Послепосевное прикатывание</t>
  </si>
  <si>
    <t>Всего</t>
  </si>
  <si>
    <t>Сроки выполнения работ</t>
  </si>
  <si>
    <t>Дата начала</t>
  </si>
  <si>
    <t>Дата окончания</t>
  </si>
  <si>
    <t>Количество рабочих дней</t>
  </si>
  <si>
    <t>Объемы работ в физическом выражении</t>
  </si>
  <si>
    <t>Обслуживающий персонал  для выполнения нормы</t>
  </si>
  <si>
    <t>механизаторов</t>
  </si>
  <si>
    <t>разнорабочих</t>
  </si>
  <si>
    <t>Количество нормо-смен в объеме работы</t>
  </si>
  <si>
    <t>Норма выработки (норма смен / га; норма смен / тн)</t>
  </si>
  <si>
    <t>Требуется агрегатов</t>
  </si>
  <si>
    <t>количество</t>
  </si>
  <si>
    <t>коэфф.перевода, кг</t>
  </si>
  <si>
    <t>вид ГСМ</t>
  </si>
  <si>
    <t>Амортизация техники</t>
  </si>
  <si>
    <t>тракторов</t>
  </si>
  <si>
    <t>сельхозмашин</t>
  </si>
  <si>
    <t>на 1 час работы</t>
  </si>
  <si>
    <t>Прямые затраты</t>
  </si>
  <si>
    <t>всего (ц)</t>
  </si>
  <si>
    <t>за 7 часовую смену усл.эт.га</t>
  </si>
  <si>
    <t>Наименование работ и средства механизации</t>
  </si>
  <si>
    <t>марка сельхозмашин</t>
  </si>
  <si>
    <t>марка тракторов, комбайнов, автомашин</t>
  </si>
  <si>
    <t>НОРМАТИВНО-ТЕХНОЛОГИЧЕСКАЯ КАРТА</t>
  </si>
  <si>
    <t>№№ п/п</t>
  </si>
  <si>
    <t>Предпосевная подготовка почвы и посев</t>
  </si>
  <si>
    <t>по производству продукции растениеводства</t>
  </si>
  <si>
    <t>Эталонная выработка трактора, комбайна (усл.-эт.га)</t>
  </si>
  <si>
    <t>Погрузка минеральных удобрений</t>
  </si>
  <si>
    <t>Разгрузка минеральных удобрений</t>
  </si>
  <si>
    <t>Погрузка семян</t>
  </si>
  <si>
    <t>Разгрузка семян</t>
  </si>
  <si>
    <t>Транспортировка минеральных удобрений</t>
  </si>
  <si>
    <t>Транспортировка семян</t>
  </si>
  <si>
    <t>Уборка</t>
  </si>
  <si>
    <t>Кошение с одновременным плющением</t>
  </si>
  <si>
    <t>Вспушение и подвяливание</t>
  </si>
  <si>
    <t>Формирование валок</t>
  </si>
  <si>
    <t>Прессование рулонов с последующей их транспортировкой к месту упаковки и хранения</t>
  </si>
  <si>
    <t>Упаковка рулонов</t>
  </si>
  <si>
    <t>Культура: Зерновые на сенаж (без полива)</t>
  </si>
  <si>
    <t>Полив</t>
  </si>
  <si>
    <t>Подача воды в оросительную сеть</t>
  </si>
  <si>
    <t>Вегетационный полив</t>
  </si>
  <si>
    <t>Транспортировка минеральных удобрений к месту посева</t>
  </si>
  <si>
    <t>Кошение</t>
  </si>
  <si>
    <t>Транспортировка зеленой массы</t>
  </si>
  <si>
    <t>Утрамбовка</t>
  </si>
  <si>
    <t>Разбрасивание и перемешивание кормовой соли</t>
  </si>
  <si>
    <t>Укрытие зеленой массы пленкой</t>
  </si>
  <si>
    <t>Укрытие силосной массы сеном или соломой</t>
  </si>
  <si>
    <t>Уборка и закладка</t>
  </si>
  <si>
    <t>Культура: Сено</t>
  </si>
  <si>
    <t>Ворошение</t>
  </si>
  <si>
    <t>Сгребание в валки</t>
  </si>
  <si>
    <t>Прием и укладка сена в стогообразователь</t>
  </si>
  <si>
    <t>Сгребание сена после подбора стогообразователем</t>
  </si>
  <si>
    <t>Прессование</t>
  </si>
  <si>
    <t>Сгребание сена после пресс-подборщика</t>
  </si>
  <si>
    <t>Погрузка рулонов на транспортный прицеп</t>
  </si>
  <si>
    <t>Транспортировка рулонов к месту скирдования</t>
  </si>
  <si>
    <t>Укладка сена в штабеля</t>
  </si>
  <si>
    <t>Копнение</t>
  </si>
  <si>
    <t>Сгребание после копнения</t>
  </si>
  <si>
    <t>Подача сена на стог</t>
  </si>
  <si>
    <t>Укладка сена на стогу</t>
  </si>
  <si>
    <t>Вариант 3: Заготовка сена полумеханизированным способом</t>
  </si>
  <si>
    <t>Вариант 2: Заготовка сена механизированным способом с прессованием</t>
  </si>
  <si>
    <t>Вариант 1: Заготовка сена механизированным способом со стогообразователем</t>
  </si>
  <si>
    <t>Сгребание</t>
  </si>
  <si>
    <t>Поднос копны</t>
  </si>
  <si>
    <t>Вариант 5: Заготовка сена ручным способом</t>
  </si>
  <si>
    <t>ДТ-75</t>
  </si>
  <si>
    <t>СВУ-2,6</t>
  </si>
  <si>
    <t>МТЗ-82</t>
  </si>
  <si>
    <t>га</t>
  </si>
  <si>
    <t>Т-150</t>
  </si>
  <si>
    <t xml:space="preserve">Закрытие влаги </t>
  </si>
  <si>
    <t>тн</t>
  </si>
  <si>
    <t>СЗ-3,6</t>
  </si>
  <si>
    <t>БЗСС-1,0</t>
  </si>
  <si>
    <t>ОВТ-1А</t>
  </si>
  <si>
    <t>ПН-4-35</t>
  </si>
  <si>
    <t>Енисей</t>
  </si>
  <si>
    <t>2ПТС-4</t>
  </si>
  <si>
    <t>ЗАВ-10</t>
  </si>
  <si>
    <t>СЗ-6</t>
  </si>
  <si>
    <t>Вручную</t>
  </si>
  <si>
    <t>тн.</t>
  </si>
  <si>
    <t>БДТ-3,0</t>
  </si>
  <si>
    <t>КПГ-250</t>
  </si>
  <si>
    <t>шт</t>
  </si>
  <si>
    <t>кв.м.</t>
  </si>
  <si>
    <t>Бульд.</t>
  </si>
  <si>
    <t>ПФ-0,5</t>
  </si>
  <si>
    <t>ЛДГ-10 А</t>
  </si>
  <si>
    <t>РОУ-5</t>
  </si>
  <si>
    <t>ИСУ-4</t>
  </si>
  <si>
    <t>РМГ-4</t>
  </si>
  <si>
    <t>КРН-4,2</t>
  </si>
  <si>
    <t>СНП-50/80</t>
  </si>
  <si>
    <t>ДДН-70</t>
  </si>
  <si>
    <t>КИР-1,5</t>
  </si>
  <si>
    <t>КТН-2В</t>
  </si>
  <si>
    <t>СН-4Б</t>
  </si>
  <si>
    <t>КСМ-4</t>
  </si>
  <si>
    <t>ПБ-35</t>
  </si>
  <si>
    <t>Т-16</t>
  </si>
  <si>
    <t>ОЗГ-120А</t>
  </si>
  <si>
    <t>ФС-07</t>
  </si>
  <si>
    <t>ПРСМ-7</t>
  </si>
  <si>
    <t>Теплогенератор</t>
  </si>
  <si>
    <t>ЛДГ-5</t>
  </si>
  <si>
    <t>П-4</t>
  </si>
  <si>
    <t>Д-606</t>
  </si>
  <si>
    <t>ПТС-6</t>
  </si>
  <si>
    <t>РУМ-3</t>
  </si>
  <si>
    <t>СКН-6А</t>
  </si>
  <si>
    <t>АПР</t>
  </si>
  <si>
    <t>КПС-4</t>
  </si>
  <si>
    <t>ЗКВГ-1,4</t>
  </si>
  <si>
    <t>ДТЛ</t>
  </si>
  <si>
    <t>ДТЗ</t>
  </si>
  <si>
    <t>Тарифные разряды, ставки для оплаты труда работников сельскохозяйственных предприятий</t>
  </si>
  <si>
    <t>Профессия</t>
  </si>
  <si>
    <t>ставки</t>
  </si>
  <si>
    <t>разряды</t>
  </si>
  <si>
    <t>коэффициент</t>
  </si>
  <si>
    <t>месячная ставка, руб./коп</t>
  </si>
  <si>
    <t>дневная ставка (сменная) руб./коп</t>
  </si>
  <si>
    <t>часовая ставка, руб./коп</t>
  </si>
  <si>
    <t>Надбавка за стаж работы в данном хозяйстве</t>
  </si>
  <si>
    <t>Резерв отпусков</t>
  </si>
  <si>
    <t>Процент доплат за качественное и своевременное выполнение работ</t>
  </si>
  <si>
    <t>Вид работ</t>
  </si>
  <si>
    <t>За высококачественную подготовку почвы согласны агротехническим требованиям</t>
  </si>
  <si>
    <t>За качественное проведение сева, посадки культур в строго установленные сроки</t>
  </si>
  <si>
    <t>За своевременное и качественное проведение работ по обработке почвы, проведению работ по борьбе с вредителями, болезнями и уничтожению сорняков с применением гербецидов</t>
  </si>
  <si>
    <t>За высокое качество уборки урожая в установленные сроки без потерь</t>
  </si>
  <si>
    <t>Размер дополнительной оплаты, в% к заработной плате (не менее)</t>
  </si>
  <si>
    <t>За заготовку кормов высокого качества и в сжатые агротехнические сроки</t>
  </si>
  <si>
    <t>Трактористов-машинистов (1класс-20%, 2класс-10%)</t>
  </si>
  <si>
    <t>Прицепщиков и рабочих на ручных работах (мастер растениеводства 1 класса-20%, 2го класса-10%)</t>
  </si>
  <si>
    <t>Стаж работы в данном хозяйстве</t>
  </si>
  <si>
    <t>Размер надбавки за стаж работы (в% к заработку)</t>
  </si>
  <si>
    <t>от 2 до 5 лет</t>
  </si>
  <si>
    <t>от 5 до 10 лет</t>
  </si>
  <si>
    <t>от 10 до 15 лет</t>
  </si>
  <si>
    <t>от 15 до 20 лет</t>
  </si>
  <si>
    <t>свыше 20 лет</t>
  </si>
  <si>
    <t>Марка тракторов</t>
  </si>
  <si>
    <t>К-700</t>
  </si>
  <si>
    <t>МТЗ-1221</t>
  </si>
  <si>
    <t>Синтай-220</t>
  </si>
  <si>
    <t>СНП-50/79</t>
  </si>
  <si>
    <t>Расход семян</t>
  </si>
  <si>
    <t>всего (тн)</t>
  </si>
  <si>
    <t>Норма</t>
  </si>
  <si>
    <t>ЗКК-6А</t>
  </si>
  <si>
    <t>BRG 225/90</t>
  </si>
  <si>
    <t>GT 540 H</t>
  </si>
  <si>
    <t>GR 385 3 PS</t>
  </si>
  <si>
    <t>R 12 Super</t>
  </si>
  <si>
    <t>FW 10/2000</t>
  </si>
  <si>
    <t>КТП-6</t>
  </si>
  <si>
    <t>КСК-100</t>
  </si>
  <si>
    <t>бульд.</t>
  </si>
  <si>
    <t>КС-2,1</t>
  </si>
  <si>
    <t>ГВР-6</t>
  </si>
  <si>
    <t>Подбор валков сена стогообразователем</t>
  </si>
  <si>
    <t>СПТ-60</t>
  </si>
  <si>
    <t>Вилы</t>
  </si>
  <si>
    <t>ГПП-6</t>
  </si>
  <si>
    <t>ПРП-1,6</t>
  </si>
  <si>
    <t>ПКУ-0,8</t>
  </si>
  <si>
    <t>ППУ-0,5</t>
  </si>
  <si>
    <t>Грабли</t>
  </si>
  <si>
    <t>Кони</t>
  </si>
  <si>
    <t>КК-1,2</t>
  </si>
  <si>
    <t>ГК-4</t>
  </si>
  <si>
    <t>Носилки</t>
  </si>
  <si>
    <t>Коса</t>
  </si>
  <si>
    <t>на единицу, (цн/га)</t>
  </si>
  <si>
    <t>Расчет амортизации основных средств</t>
  </si>
  <si>
    <t>Наименование трактора (машины)</t>
  </si>
  <si>
    <t>Марка трактора (машины)</t>
  </si>
  <si>
    <t>Вариант 1</t>
  </si>
  <si>
    <t>Вариант 2</t>
  </si>
  <si>
    <t>Вариант 3</t>
  </si>
  <si>
    <t>Вариант 4</t>
  </si>
  <si>
    <t>Вариант 5</t>
  </si>
  <si>
    <t>Трактор ДТ-75</t>
  </si>
  <si>
    <t>КАМАЗ-5320</t>
  </si>
  <si>
    <t>Камаз</t>
  </si>
  <si>
    <t>ЗИЛ-130</t>
  </si>
  <si>
    <t>ЗИЛ</t>
  </si>
  <si>
    <t>Трактор МТЗ-82</t>
  </si>
  <si>
    <t>Трактор</t>
  </si>
  <si>
    <t>Комбайн «Енисей-1200»</t>
  </si>
  <si>
    <t>Китайский комбайн</t>
  </si>
  <si>
    <t>Рабочие лошади</t>
  </si>
  <si>
    <t>Гигант Петкус</t>
  </si>
  <si>
    <t>Петкус</t>
  </si>
  <si>
    <t>Семяочистительная машина</t>
  </si>
  <si>
    <t>СМ-4</t>
  </si>
  <si>
    <t>Зерноочистительный комплекс  ЗАВ-25</t>
  </si>
  <si>
    <t>Прицеп 2ПТС-4</t>
  </si>
  <si>
    <t>Роторная навесная косилка-плющилка</t>
  </si>
  <si>
    <t>Упаковщик рулонов</t>
  </si>
  <si>
    <t>Грабли волкообразователи</t>
  </si>
  <si>
    <t xml:space="preserve">Вспушиватель </t>
  </si>
  <si>
    <t>Пресс подборщик рулонный</t>
  </si>
  <si>
    <t>Автомат приготовления растворов</t>
  </si>
  <si>
    <t>Борона БДТ-3,0</t>
  </si>
  <si>
    <t>Борона БЗСС-1,0</t>
  </si>
  <si>
    <t>Борона БСО-4,0</t>
  </si>
  <si>
    <t>БСО-4,0</t>
  </si>
  <si>
    <t>Бульдозерный отвал</t>
  </si>
  <si>
    <t>Грабли (грабли валковые)</t>
  </si>
  <si>
    <t>ГВК</t>
  </si>
  <si>
    <t>Грабли-ворошилка</t>
  </si>
  <si>
    <t>Грабли конные</t>
  </si>
  <si>
    <t>Грабли поперечные</t>
  </si>
  <si>
    <t>Дожд. установка ДДН-70</t>
  </si>
  <si>
    <t>Каток ЗКВГ-1,4</t>
  </si>
  <si>
    <t>Каток ЗКК-6</t>
  </si>
  <si>
    <t>Измельчитель минеральных удобрений</t>
  </si>
  <si>
    <t>Косилка измель. ротац. КИР-1,5</t>
  </si>
  <si>
    <t>Косилка конная</t>
  </si>
  <si>
    <t>Картофелекомбайн ККУ-2А</t>
  </si>
  <si>
    <t>ККУ-2А</t>
  </si>
  <si>
    <t>Культиватор окучник КОН-2,8</t>
  </si>
  <si>
    <t>КОН-2,8</t>
  </si>
  <si>
    <t>Плоскорез КПГ-250</t>
  </si>
  <si>
    <t>Культиватор КПС-4</t>
  </si>
  <si>
    <t>Культиватор окучник навесной КРН-4,2</t>
  </si>
  <si>
    <t>Косилка тракторная</t>
  </si>
  <si>
    <t>Комбайн</t>
  </si>
  <si>
    <t>Картофелесажалка КСМ-4</t>
  </si>
  <si>
    <t>Картофелекопалка КТН-2В</t>
  </si>
  <si>
    <t>Косилка</t>
  </si>
  <si>
    <t>КТП-4</t>
  </si>
  <si>
    <t>Лущильник дисковый ЛДГ-10</t>
  </si>
  <si>
    <t>Лущильник дисковый ЛДГ-5</t>
  </si>
  <si>
    <t xml:space="preserve">Опрыскиватели </t>
  </si>
  <si>
    <t>Опрыскиватель для защищенного грунта</t>
  </si>
  <si>
    <t>Планировщик</t>
  </si>
  <si>
    <t>Погрузчик ПБ-35</t>
  </si>
  <si>
    <t>Погрузчик ковшевый универсальный</t>
  </si>
  <si>
    <t>Плуг навесной ПН-4-35</t>
  </si>
  <si>
    <t>Опрыскиватель вентиляторный ПОМ-603</t>
  </si>
  <si>
    <t>ПОМ-603</t>
  </si>
  <si>
    <t xml:space="preserve">Пресс-подборщики </t>
  </si>
  <si>
    <t>ПР-3</t>
  </si>
  <si>
    <t>Пресподборщик</t>
  </si>
  <si>
    <t>Сеялка</t>
  </si>
  <si>
    <t>Прицеп ПТС-6</t>
  </si>
  <si>
    <t>Погрузчик фронтальный</t>
  </si>
  <si>
    <t xml:space="preserve">Разбрасывателями минеральных удобрений </t>
  </si>
  <si>
    <t>Разбрасыватель органических удобрений РОУ-5</t>
  </si>
  <si>
    <t>Снегопах СВУ-2,6</t>
  </si>
  <si>
    <t xml:space="preserve">Сеялка зерновая СЗ-3,6 </t>
  </si>
  <si>
    <t>Сушилки зерна</t>
  </si>
  <si>
    <t>Рассадопосадочная машина СКН-6</t>
  </si>
  <si>
    <t>СКН-6</t>
  </si>
  <si>
    <t>Картофелесажалка навесная четырехрядная</t>
  </si>
  <si>
    <t>Дожд. установка СНП-50/80</t>
  </si>
  <si>
    <t>Дожд. установка СНП-75/100</t>
  </si>
  <si>
    <t>СНП-75/100</t>
  </si>
  <si>
    <t>Дожд. установка СНП-80/50</t>
  </si>
  <si>
    <t>СНП-80/50</t>
  </si>
  <si>
    <t>Подборщик-стогообразователь</t>
  </si>
  <si>
    <t>ТГ-1,5</t>
  </si>
  <si>
    <t>ТГ-150</t>
  </si>
  <si>
    <t>Фреза</t>
  </si>
  <si>
    <t>на 1 усл.-эт.га</t>
  </si>
  <si>
    <t>ремонт тракторов</t>
  </si>
  <si>
    <t>техническое обслуживание тракторов</t>
  </si>
  <si>
    <t>замена шин тракторов</t>
  </si>
  <si>
    <t>ремонт и тех.обслуживание сельхозмашин (руб)</t>
  </si>
  <si>
    <t>всего (руб)</t>
  </si>
  <si>
    <t xml:space="preserve">Текущий ремонт и тех.обслуживание </t>
  </si>
  <si>
    <t>на весь объем работ (руб)</t>
  </si>
  <si>
    <t>Тарифная ставка за норму (руб)</t>
  </si>
  <si>
    <t>Затраты труда на весь объем работ (чел-час)</t>
  </si>
  <si>
    <t>Дополнительная оплата за качественное и своевременное выполнение работ (руб)</t>
  </si>
  <si>
    <t>Доплата за продукцию (руб)</t>
  </si>
  <si>
    <t>Надбавка за классность, за звание (руб)</t>
  </si>
  <si>
    <t>Надбавка за стаж работы в данном хозяйстве (руб)</t>
  </si>
  <si>
    <t>Всего фонд заработной платы (руб)</t>
  </si>
  <si>
    <t>Отчисления на страховые взносы (руб)</t>
  </si>
  <si>
    <t>Итого Фонд заработной платы с отчислениями на страховые взносы (руб)</t>
  </si>
  <si>
    <t>стоимость 1 ц (руб)</t>
  </si>
  <si>
    <t>стоимость всего (руб)</t>
  </si>
  <si>
    <t>стоимость 1 кг (руб)</t>
  </si>
  <si>
    <t>Затраты труда на 1 га (чел-час)</t>
  </si>
  <si>
    <t>на 1 га (руб)</t>
  </si>
  <si>
    <t>на единицу, (литр/га; литр/тн)</t>
  </si>
  <si>
    <t>Расход удобрений</t>
  </si>
  <si>
    <t>Культура</t>
  </si>
  <si>
    <t>ГСМ</t>
  </si>
  <si>
    <t>амортизация</t>
  </si>
  <si>
    <t>текущий ремонт</t>
  </si>
  <si>
    <t>на 1 га</t>
  </si>
  <si>
    <t>на 1 цн</t>
  </si>
  <si>
    <t>трактористов-машинистов</t>
  </si>
  <si>
    <t>прицепщиков и рабочих на ручных работах</t>
  </si>
  <si>
    <t>Доля, %</t>
  </si>
  <si>
    <t>тракторы</t>
  </si>
  <si>
    <t>сельхозмашины</t>
  </si>
  <si>
    <t>Прочие затраты, руб</t>
  </si>
  <si>
    <t>Итого прямые затраты, руб</t>
  </si>
  <si>
    <t>Организация производства и управления, руб</t>
  </si>
  <si>
    <t>Всего затрат, руб</t>
  </si>
  <si>
    <t>Затраты на 1 га, руб</t>
  </si>
  <si>
    <t>Затраты труда всего, чел.-час</t>
  </si>
  <si>
    <t>Среднемесячная заработная плата на 1 работника, руб</t>
  </si>
  <si>
    <t>Семена и посадочный материал, руб</t>
  </si>
  <si>
    <t>Удобрения, руб</t>
  </si>
  <si>
    <t>Содержание основных средств, руб</t>
  </si>
  <si>
    <t>ФОТ с отчислениями, руб</t>
  </si>
  <si>
    <t>Урожайность, цн/га:</t>
  </si>
  <si>
    <t>Средняя заработная плата за 1 чел-час, руб</t>
  </si>
  <si>
    <t>ТЕХНОЛОГИЧЕСКАЯ КАРТА</t>
  </si>
  <si>
    <t>земельный налог (15,12руб/га)</t>
  </si>
  <si>
    <t xml:space="preserve">Валовый сбор основной продукции (цн):  </t>
  </si>
  <si>
    <t>Урожайность (цн/га):</t>
  </si>
  <si>
    <t>транспортный налог</t>
  </si>
  <si>
    <t>Донгфен, Синтай</t>
  </si>
  <si>
    <t>ремонт изгороди</t>
  </si>
  <si>
    <t xml:space="preserve">Площадь посева (га):           </t>
  </si>
  <si>
    <t>пленка</t>
  </si>
  <si>
    <t>Сорт: Овес</t>
  </si>
  <si>
    <t xml:space="preserve">Выход зеленой массы на сенаж (цн):  </t>
  </si>
  <si>
    <t>Выход готового сенажа (цн)</t>
  </si>
  <si>
    <t>Затраты на 1 цн зеленой массы, руб</t>
  </si>
  <si>
    <t>Затраты на 1 цн сенажа, руб</t>
  </si>
  <si>
    <t xml:space="preserve">Выход зеленой массы на силос (цн):  </t>
  </si>
  <si>
    <t>Выход готового силоса (цн)</t>
  </si>
  <si>
    <t>Разбрасывание и перемешивание кормовой соли</t>
  </si>
  <si>
    <t>Расход кормовой соли</t>
  </si>
  <si>
    <t>на единицу, (кг/тн)</t>
  </si>
  <si>
    <t>Кормовая соль, руб</t>
  </si>
  <si>
    <t>Затраты на 1 цн силоса, руб</t>
  </si>
  <si>
    <t xml:space="preserve">Площадь сенокосных угодий (га):           </t>
  </si>
  <si>
    <t>ПЛН-4-35</t>
  </si>
  <si>
    <t>Силосная траншея:</t>
  </si>
  <si>
    <t>глубина (м)</t>
  </si>
  <si>
    <t>ширина (м)</t>
  </si>
  <si>
    <t>длина (м)</t>
  </si>
  <si>
    <t>объем (м3)</t>
  </si>
  <si>
    <t>Расход пленки</t>
  </si>
  <si>
    <t>всего (кв.м)</t>
  </si>
  <si>
    <t>Рассадопосадочная машина СКН-6А</t>
  </si>
  <si>
    <t>Дожд. установка СНП-50/79</t>
  </si>
  <si>
    <t>Петкус-Селектра К-218</t>
  </si>
  <si>
    <t>2ПТС-4А</t>
  </si>
  <si>
    <t>Прицеп 2ПТС-4А</t>
  </si>
  <si>
    <t>БДН-3</t>
  </si>
  <si>
    <t>Борона БДН-3</t>
  </si>
  <si>
    <t>Плуг навесной ПЛН-4-35</t>
  </si>
  <si>
    <t>Китайский трактор</t>
  </si>
  <si>
    <t>Gushen 2000</t>
  </si>
  <si>
    <t>Расход вспомогательных материалов</t>
  </si>
  <si>
    <t>Вспомогательные материалы</t>
  </si>
  <si>
    <t xml:space="preserve">Амортизация </t>
  </si>
  <si>
    <t>силосной траншеи</t>
  </si>
  <si>
    <t>силосной траншеи (руб)</t>
  </si>
  <si>
    <t>Трактористы-машинисты для расчета расценок за продукцию (II группа)</t>
  </si>
  <si>
    <t>Трактористы-машинисты для расчета расценок за продукцию (III группа)</t>
  </si>
  <si>
    <t>Трактористы-машинисты для расчета расценок за продукцию (I группа)</t>
  </si>
  <si>
    <t>Рабочие реммастерских</t>
  </si>
  <si>
    <t>На работах в животноводстве и на ручных работах в растениеводстве для расчета расценок за продукцию</t>
  </si>
  <si>
    <t>на единицу, (шпагат/шт, пленки/шт)</t>
  </si>
  <si>
    <t>всего, шт (шпагат, пленка)</t>
  </si>
  <si>
    <t>стоимость 1 шпагата, пленки (руб)</t>
  </si>
  <si>
    <t>на единицу, (шпагат/шт)</t>
  </si>
  <si>
    <t>всего (шт шпагата)</t>
  </si>
  <si>
    <t>стоимость 1 шт шпагата (руб)</t>
  </si>
  <si>
    <t>Зяблевая вспашка (1 раз в 3 года)</t>
  </si>
  <si>
    <t>Дискование, прикатывание</t>
  </si>
  <si>
    <t>Предпосевная обработка 2 раза по мере всхода сорняков</t>
  </si>
  <si>
    <t>МТЗ1221</t>
  </si>
  <si>
    <t>БДП-3,0</t>
  </si>
  <si>
    <t>АПК-4,2</t>
  </si>
  <si>
    <t>Складирование</t>
  </si>
  <si>
    <t>ПМТ-0,1</t>
  </si>
  <si>
    <t>Дискование (выравнивание)</t>
  </si>
  <si>
    <t>Закрытие влаги</t>
  </si>
  <si>
    <t>Боронование допосевное</t>
  </si>
  <si>
    <t>Посев зерна с предпосевной обработкой, внесением минеральных удобрений, прикатыванием</t>
  </si>
  <si>
    <t>БДП-3х4</t>
  </si>
  <si>
    <t>Кошение с измельчением, погрузкой</t>
  </si>
  <si>
    <t>КСД-2,0</t>
  </si>
  <si>
    <t>Итого ФОТ с учетом северного и районного коэффициентов (руб)</t>
  </si>
  <si>
    <t>ЦЗ</t>
  </si>
  <si>
    <t>Центральная зона</t>
  </si>
  <si>
    <t>ЮЖНАЯ ЗОНА</t>
  </si>
  <si>
    <t>Анализ урожайности естественных сенокосных угодий  за 2011-2015 гг. в хозяйствах всех категорий Республики Саха (Якутия)</t>
  </si>
  <si>
    <t>тонн</t>
  </si>
  <si>
    <t>п/п</t>
  </si>
  <si>
    <t>Муниципальные образования</t>
  </si>
  <si>
    <t>2016 план</t>
  </si>
  <si>
    <t>среднее за 2011-2015</t>
  </si>
  <si>
    <t>Всего по РС (Я)</t>
  </si>
  <si>
    <t>Абыйский</t>
  </si>
  <si>
    <t>Алданский</t>
  </si>
  <si>
    <t>Аллаиховский</t>
  </si>
  <si>
    <t>Амгинский</t>
  </si>
  <si>
    <t xml:space="preserve">Анабарский  </t>
  </si>
  <si>
    <t>Булунский</t>
  </si>
  <si>
    <t>Верхневилюйский</t>
  </si>
  <si>
    <t>Верхнеколымский</t>
  </si>
  <si>
    <t>Верхоянский</t>
  </si>
  <si>
    <t>Вилюйский</t>
  </si>
  <si>
    <t>Горный</t>
  </si>
  <si>
    <t>Жиганский</t>
  </si>
  <si>
    <t>Кобяйский</t>
  </si>
  <si>
    <t>Ленский</t>
  </si>
  <si>
    <t>М-Кангаласский</t>
  </si>
  <si>
    <t>Мирнинский</t>
  </si>
  <si>
    <t>Момский</t>
  </si>
  <si>
    <t>Намский</t>
  </si>
  <si>
    <t>Нижнеколымский</t>
  </si>
  <si>
    <t>Нюрбинский</t>
  </si>
  <si>
    <t>Оймяконский</t>
  </si>
  <si>
    <t>Олекминский</t>
  </si>
  <si>
    <t>Оленекский</t>
  </si>
  <si>
    <t>Среднеколымский</t>
  </si>
  <si>
    <t>Сунтарский</t>
  </si>
  <si>
    <t>Таттинский</t>
  </si>
  <si>
    <t>Томпонский</t>
  </si>
  <si>
    <t xml:space="preserve">Усть-Алданский </t>
  </si>
  <si>
    <t xml:space="preserve">Усть-Майский </t>
  </si>
  <si>
    <t xml:space="preserve">Усть-Янский </t>
  </si>
  <si>
    <t>Хангаласский</t>
  </si>
  <si>
    <t>Чурапчинский</t>
  </si>
  <si>
    <t>Э-Бытантайский</t>
  </si>
  <si>
    <t>Нерюнгри</t>
  </si>
  <si>
    <t>Якутск</t>
  </si>
  <si>
    <t>п. Жатай</t>
  </si>
  <si>
    <t>Аркт Зона</t>
  </si>
  <si>
    <t>СевВостЗона</t>
  </si>
  <si>
    <t>Запад Зона</t>
  </si>
  <si>
    <t>Центральная Зона</t>
  </si>
  <si>
    <t>Южная Зона</t>
  </si>
  <si>
    <t>Вариант 4: Заготовка сена мини-трактором</t>
  </si>
  <si>
    <t> 9G-1.8</t>
  </si>
  <si>
    <t>9LCJ-2.1</t>
  </si>
  <si>
    <t>9LCJ-2.2</t>
  </si>
  <si>
    <t>АРКТИЧЕСКАЯ, СЕВЕРОВОСТОЧНАЯ ЗОНА</t>
  </si>
  <si>
    <t>БНЗ-5,7</t>
  </si>
  <si>
    <t>Обь-4-ЗТ</t>
  </si>
  <si>
    <t>Прицепной кормоуборочный комбайн Sterh 2000</t>
  </si>
  <si>
    <t>МТЗ-82 (автомобили самосвалы)</t>
  </si>
  <si>
    <t>Гусеничный трактор</t>
  </si>
  <si>
    <t>Транспортировка семян к месту посева (180кг/га)</t>
  </si>
  <si>
    <t xml:space="preserve">Пневматическая сеялка LEMKEN SOLITAIR 9/600 Кa-Ds </t>
  </si>
  <si>
    <t>Культура: РАПС на силос (с поливом)</t>
  </si>
  <si>
    <t>ДОН-680</t>
  </si>
  <si>
    <t>Комб.</t>
  </si>
  <si>
    <t>Посев зерна с предпосевной обработкой, внесением минеральных удобрений, прикатыванием, послепосевное прикатывание</t>
  </si>
  <si>
    <t>Культура: Кукуруза на силос (с поливом)</t>
  </si>
  <si>
    <t>2+СКП-2,1 (Омичка)</t>
  </si>
  <si>
    <t>2019 год</t>
  </si>
  <si>
    <t>Руководитель Департамента прогнозирвания, планирования, государствененых программ</t>
  </si>
  <si>
    <t>Попова В.В.</t>
  </si>
  <si>
    <t>Руководитель Отдела экономики сельского хозяйства и финансового оздоровления сельскохозяйственных организаций</t>
  </si>
  <si>
    <t>Халтанова Ф.Д.</t>
  </si>
  <si>
    <t>Чичигинаров В.В.</t>
  </si>
  <si>
    <t>Руководитель Департамента растениеводства, мелиорации, МТО и информатизации сельского хозяйства</t>
  </si>
  <si>
    <t>Исходные данные</t>
  </si>
  <si>
    <t>Размер минимальной заработной платы в РС (Я)</t>
  </si>
  <si>
    <t>рублей</t>
  </si>
  <si>
    <t>Норма рабочего времени в год (40-час. раб.нед.)</t>
  </si>
  <si>
    <t>часов</t>
  </si>
  <si>
    <t xml:space="preserve">Норма рабочего времени в месяц </t>
  </si>
  <si>
    <t>дней</t>
  </si>
  <si>
    <t xml:space="preserve">Количество рабочих дней в месяц </t>
  </si>
  <si>
    <t>Среднее количество часов в день</t>
  </si>
  <si>
    <t xml:space="preserve">Зерно </t>
  </si>
  <si>
    <t>Стоимость за 1 ед, рублей/тонна</t>
  </si>
  <si>
    <t>Норма внесения минеральных удобрений, цн/га</t>
  </si>
  <si>
    <t>Норма расхода пестицида, л/тн</t>
  </si>
  <si>
    <t>Улусы (районы)</t>
  </si>
  <si>
    <t>Срок службы, лет</t>
  </si>
  <si>
    <t>Трактор К-700, К-701</t>
  </si>
  <si>
    <t>Комбайн Нива</t>
  </si>
  <si>
    <t>Нива</t>
  </si>
  <si>
    <t>Комбайн "Вектор-410"</t>
  </si>
  <si>
    <t>Вектор</t>
  </si>
  <si>
    <t>Каток кольчото-шпоровый</t>
  </si>
  <si>
    <t>ЗККШ</t>
  </si>
  <si>
    <t xml:space="preserve">Посевная машина </t>
  </si>
  <si>
    <t>Послеубопрочная обработка почвы</t>
  </si>
  <si>
    <t>Охрана</t>
  </si>
  <si>
    <t>Охрана посевов</t>
  </si>
  <si>
    <t>Культура: Зерновые на зерно</t>
  </si>
  <si>
    <t>Побочная продукция: Зерноотходы</t>
  </si>
  <si>
    <t xml:space="preserve">Площадь (га):           </t>
  </si>
  <si>
    <t xml:space="preserve">Площадь посева (га):   </t>
  </si>
  <si>
    <t xml:space="preserve">Площадь пара (га):           </t>
  </si>
  <si>
    <t xml:space="preserve">Валовый сбор побочной продукции (цн): </t>
  </si>
  <si>
    <t>Расход средств защиты растений</t>
  </si>
  <si>
    <t>Расход электроэнергии</t>
  </si>
  <si>
    <t>на единицу, (л/тн)</t>
  </si>
  <si>
    <t>всего (л)</t>
  </si>
  <si>
    <t>стоимость 1 л (руб)</t>
  </si>
  <si>
    <t>на 1 час работы, (кВт/час)</t>
  </si>
  <si>
    <t>всего (кВт/час)</t>
  </si>
  <si>
    <t>на 1 усл.-эт.га (руб)</t>
  </si>
  <si>
    <t>ЛДГ-10А</t>
  </si>
  <si>
    <t xml:space="preserve">Погрузка семян </t>
  </si>
  <si>
    <t>вручную</t>
  </si>
  <si>
    <t xml:space="preserve">Разгрузка семян </t>
  </si>
  <si>
    <t>Протравливание семян</t>
  </si>
  <si>
    <t>Обь-4-3Т</t>
  </si>
  <si>
    <t>Уборка, очистка</t>
  </si>
  <si>
    <t>Прямое комбайнирование</t>
  </si>
  <si>
    <t>Вывозка зерна до 7 км</t>
  </si>
  <si>
    <t>Сушка с перелопачиванием</t>
  </si>
  <si>
    <t>Очистка</t>
  </si>
  <si>
    <t>Петкус-гигант</t>
  </si>
  <si>
    <t>Затарка с завязыванием и штабелевкой</t>
  </si>
  <si>
    <t>Лущение</t>
  </si>
  <si>
    <t>1.</t>
  </si>
  <si>
    <t>чел-дн</t>
  </si>
  <si>
    <t>Зерно</t>
  </si>
  <si>
    <t>в т.ч.полноценное зерно (цн)</t>
  </si>
  <si>
    <t>Средства защиты растений, руб</t>
  </si>
  <si>
    <t>Затраты на 1 цн основной продукции, руб</t>
  </si>
  <si>
    <t>Затраты на 1 цн побочной продукции, руб</t>
  </si>
  <si>
    <t>Электроэнергия</t>
  </si>
  <si>
    <t>руб/кВт ч</t>
  </si>
  <si>
    <t>Урожайность цн./га.</t>
  </si>
  <si>
    <t>Урожайность продукции растениеводства, цн/га</t>
  </si>
  <si>
    <t>Коэффициент перевода нефтепродуктов на кг</t>
  </si>
  <si>
    <t>Коэффициент</t>
  </si>
  <si>
    <t>Нормы расхода семян, удобрений и урожайности</t>
  </si>
  <si>
    <t>Основные показатели для расчета оплаты труда</t>
  </si>
  <si>
    <t>Норма высева семян,  ц/га</t>
  </si>
  <si>
    <t>Годовая норма амортизационных отчислений, (%)</t>
  </si>
  <si>
    <t>Годовая нормативная загрузка трактора (машины), (ч.)</t>
  </si>
  <si>
    <t>Часовая норма амортизационных отчислений (в руб.)</t>
  </si>
  <si>
    <t>Норма внесения органических удобрений,т/га</t>
  </si>
  <si>
    <t>Перечень таблиц типовой (примерной) технологической карты по производству зерновых культур на зерно</t>
  </si>
  <si>
    <t>2. ИСХОДНЫЕ ДАННЫЕ</t>
  </si>
  <si>
    <t>ДТ-75М</t>
  </si>
  <si>
    <t>Т-40</t>
  </si>
  <si>
    <t xml:space="preserve">Средняя стоимость 1 литра ДТ </t>
  </si>
  <si>
    <t>Амгинский, Нижний Бестях, Вилюйский</t>
  </si>
  <si>
    <t>Трансмиссионные масла (автол)</t>
  </si>
  <si>
    <t>Моторные масла (дизельное масло)</t>
  </si>
  <si>
    <t>К-700, К-701</t>
  </si>
  <si>
    <t>Т-150 К</t>
  </si>
  <si>
    <t>МТЗ-80, МТЗ-82</t>
  </si>
  <si>
    <t>Т-25</t>
  </si>
  <si>
    <t>Индустриальные масла (солидол)</t>
  </si>
  <si>
    <t>Зима</t>
  </si>
  <si>
    <t>Лето</t>
  </si>
  <si>
    <t>Нормы расхода смазочных масел в расчете на 1 ц основного горючего, кг.</t>
  </si>
  <si>
    <t>Отпускная цена дизельного топлива за 1 кг, руб. на 01.12.2021</t>
  </si>
  <si>
    <t xml:space="preserve"> ДТЗ (зима)</t>
  </si>
  <si>
    <t xml:space="preserve"> ДТЛ (лето)</t>
  </si>
  <si>
    <t>Виды смазочных материалов</t>
  </si>
  <si>
    <t>Цена за 1 ц</t>
  </si>
  <si>
    <t>Отпускная цена смазочных материалов на 1 ц, руб.</t>
  </si>
  <si>
    <t>Комплексная (укрупненная) цена топлива на 2021 год на 1 ц, руб.</t>
  </si>
  <si>
    <t>Всего, руб.</t>
  </si>
  <si>
    <t>Расчет комплексной (укрупненной) цены 1 ц основного горючего (дизельного топлива) для тракторов</t>
  </si>
  <si>
    <t>Расход смазочных масел на 1 ц основного горючего, руб.</t>
  </si>
  <si>
    <t>Ремонт</t>
  </si>
  <si>
    <t>из них</t>
  </si>
  <si>
    <t>запчасти</t>
  </si>
  <si>
    <t>оплата труда с отчислениями</t>
  </si>
  <si>
    <t>прочие</t>
  </si>
  <si>
    <t>Техническое обслуживание</t>
  </si>
  <si>
    <t>материалы</t>
  </si>
  <si>
    <t>Замена шин</t>
  </si>
  <si>
    <t>Расчет примерных нормативов затрат денежных средств на техническое обслуживание, ремонт и хранение тракторов на 1 условный эталонный гектар, в рублях (2016 года)</t>
  </si>
  <si>
    <t>Индексы цен на машины сельскохозяйственные для растениеводства</t>
  </si>
  <si>
    <t>Индексы цен на ремонт и монтаж машин и обрудований</t>
  </si>
  <si>
    <t>Эталонная выработка за 7 часовую смену, усл. эт. га.</t>
  </si>
  <si>
    <t>Гусеничные:</t>
  </si>
  <si>
    <t>ДТ-75 выпуска после 1972 г.</t>
  </si>
  <si>
    <t>Колесные:</t>
  </si>
  <si>
    <t>Т-25, Т-30</t>
  </si>
  <si>
    <t>МТЗ-80</t>
  </si>
  <si>
    <t>Донфен-304</t>
  </si>
  <si>
    <t>Синтай- 220</t>
  </si>
  <si>
    <t>Т-150К</t>
  </si>
  <si>
    <t>Эталонная выработка тракторов за смену</t>
  </si>
  <si>
    <t>Срок службы, год</t>
  </si>
  <si>
    <t>Поправочные коэффициенты по сроку службы, год</t>
  </si>
  <si>
    <t>Тракторы:</t>
  </si>
  <si>
    <t>К-700.</t>
  </si>
  <si>
    <t>Т-150К, МТЗ-80, МТЗ-82, МТЗ-1221.</t>
  </si>
  <si>
    <t>1Д</t>
  </si>
  <si>
    <t>Т-150К, ДТ-75 выпуска после 1972 г.</t>
  </si>
  <si>
    <t>Зерноуборочные комбайны</t>
  </si>
  <si>
    <t>Поправочные коэффициенты к годовой наработке в зависимости от срока службы техники</t>
  </si>
  <si>
    <t>«Дон- 1500»</t>
  </si>
  <si>
    <t>СКД-6 «Енисей»</t>
  </si>
  <si>
    <t>1-й</t>
  </si>
  <si>
    <t>2-й</t>
  </si>
  <si>
    <t>3-й</t>
  </si>
  <si>
    <t>4-й</t>
  </si>
  <si>
    <t>5-й</t>
  </si>
  <si>
    <t>6-й</t>
  </si>
  <si>
    <t>7-й</t>
  </si>
  <si>
    <t>8-й</t>
  </si>
  <si>
    <t>9-й</t>
  </si>
  <si>
    <t>10-й</t>
  </si>
  <si>
    <t>-</t>
  </si>
  <si>
    <t>11-й</t>
  </si>
  <si>
    <t>12-й</t>
  </si>
  <si>
    <t>Год эксплуатации</t>
  </si>
  <si>
    <t xml:space="preserve">Коэффициенты дифференцирования затрат на техническое обслуживание ремонт и хранение тракторов, комбайнов.
</t>
  </si>
  <si>
    <t>Расчет примерных нормативов затрат денежных средств на техническое обслуживание, ремонт и хранение тракторов на 1 условный эталонный гектар, в рублях (2020)</t>
  </si>
  <si>
    <t>К-700, К-701, МТЗ-1221, Т-150</t>
  </si>
  <si>
    <t>Т-150, МТЗ-1221</t>
  </si>
  <si>
    <t xml:space="preserve">Валовый сбор основной продукции (ц):  </t>
  </si>
  <si>
    <t xml:space="preserve">Зерно после доработки (ц):  </t>
  </si>
  <si>
    <t xml:space="preserve">Валовый сбор побочной продукции (ц): </t>
  </si>
  <si>
    <t>Полноценное зерно, всего (ц):</t>
  </si>
  <si>
    <t>в т.ч. полноценное зерно (ц):</t>
  </si>
  <si>
    <t>Затраты на 1 цн полноценного зерна, руб</t>
  </si>
  <si>
    <t>Тарифы</t>
  </si>
  <si>
    <t>Отпускная цена дизельного топлива за 1 кг, руб. на 01.12.2022</t>
  </si>
  <si>
    <t>Количество рабочих дней в году (без выходных и праздников) на 2023 год</t>
  </si>
  <si>
    <t>Размер минимальной заработной платы в РС (Я) без районного коэффициента и северной надбавки в 2023 году</t>
  </si>
  <si>
    <t>Нормы расхода семян, удобрения, пестицида</t>
  </si>
  <si>
    <t>Технологическая карта по производству зерновых культур на зерно</t>
  </si>
  <si>
    <t>Расчет себестоимости производства зерновых культур на зерно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</si>
</sst>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р_._-;\-* #,##0.00_р_._-;_-* &quot;-&quot;??_р_._-;_-@_-"/>
    <numFmt numFmtId="164" formatCode="#,##0_ ;[Red]\-#,##0\ "/>
    <numFmt numFmtId="165" formatCode="#,##0.00_ ;[Red]\-#,##0.00\ "/>
    <numFmt numFmtId="166" formatCode="0.0"/>
    <numFmt numFmtId="167" formatCode="#,##0.0_ ;[Red]\-#,##0.0\ "/>
    <numFmt numFmtId="168" formatCode="#,##0_ ;\-#,##0\ "/>
    <numFmt numFmtId="169" formatCode="#,##0.000_ ;[Red]\-#,##0.000\ "/>
    <numFmt numFmtId="170" formatCode="0.0%"/>
    <numFmt numFmtId="171" formatCode="#,##0.0"/>
    <numFmt numFmtId="172" formatCode="#,##0.0000_ ;[Red]\-#,##0.0000\ "/>
    <numFmt numFmtId="173" formatCode="#,##0.00_ ;\-#,##0.00\ "/>
    <numFmt numFmtId="174" formatCode="_-* #,##0.00\ _₽_-;\-* #,##0.00\ _₽_-;_-* &quot;-&quot;??\ _₽_-;_-@_-"/>
    <numFmt numFmtId="175" formatCode="_-* #,##0_р_._-;\-* #,##0_р_._-;_-* &quot;-&quot;??_р_._-;_-@_-"/>
    <numFmt numFmtId="176" formatCode="[$-419]d\ mmm;@"/>
    <numFmt numFmtId="177" formatCode="#,##0.0_ ;\-#,##0.0\ "/>
    <numFmt numFmtId="178" formatCode="_-* #,##0.0\ _₽_-;\-* #,##0.0\ _₽_-;_-* &quot;-&quot;??\ _₽_-;_-@_-"/>
  </numFmts>
  <fonts count="36" x14ac:knownFonts="1">
    <font>
      <sz val="10"/>
      <name val="Arial Cyr"/>
      <charset val="204"/>
    </font>
    <font>
      <sz val="11"/>
      <color theme="1"/>
      <name val="Calibri"/>
      <family val="2"/>
      <charset val="204"/>
      <scheme val="minor"/>
    </font>
    <font>
      <sz val="10"/>
      <name val="Arial Cyr"/>
      <charset val="204"/>
    </font>
    <font>
      <sz val="8"/>
      <name val="Times New Roman"/>
      <family val="1"/>
      <charset val="204"/>
    </font>
    <font>
      <sz val="8"/>
      <name val="Arial Cyr"/>
      <charset val="204"/>
    </font>
    <font>
      <b/>
      <sz val="10"/>
      <name val="Arial"/>
      <family val="2"/>
      <charset val="204"/>
    </font>
    <font>
      <b/>
      <sz val="8"/>
      <name val="Arial"/>
      <family val="2"/>
      <charset val="204"/>
    </font>
    <font>
      <sz val="8"/>
      <name val="Arial"/>
      <family val="2"/>
      <charset val="204"/>
    </font>
    <font>
      <b/>
      <sz val="12"/>
      <name val="Arial"/>
      <family val="2"/>
      <charset val="204"/>
    </font>
    <font>
      <b/>
      <sz val="11"/>
      <name val="Arial"/>
      <family val="2"/>
      <charset val="204"/>
    </font>
    <font>
      <sz val="8"/>
      <color indexed="81"/>
      <name val="Tahoma"/>
      <family val="2"/>
      <charset val="204"/>
    </font>
    <font>
      <b/>
      <sz val="8"/>
      <color indexed="81"/>
      <name val="Tahoma"/>
      <family val="2"/>
      <charset val="204"/>
    </font>
    <font>
      <b/>
      <sz val="12"/>
      <name val="Times New Roman"/>
      <family val="1"/>
      <charset val="204"/>
    </font>
    <font>
      <sz val="12"/>
      <name val="Times New Roman"/>
      <family val="1"/>
      <charset val="204"/>
    </font>
    <font>
      <b/>
      <sz val="10"/>
      <name val="Arial Cyr"/>
      <charset val="204"/>
    </font>
    <font>
      <sz val="9"/>
      <color indexed="81"/>
      <name val="Tahoma"/>
      <family val="2"/>
      <charset val="204"/>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0"/>
      <name val="Arial Cyr"/>
      <charset val="204"/>
    </font>
    <font>
      <sz val="11"/>
      <name val="Calibri"/>
      <family val="2"/>
      <charset val="204"/>
    </font>
    <font>
      <b/>
      <sz val="9"/>
      <color indexed="81"/>
      <name val="Tahoma"/>
      <family val="2"/>
      <charset val="204"/>
    </font>
    <font>
      <sz val="11"/>
      <color theme="1"/>
      <name val="Calibri"/>
      <family val="2"/>
      <charset val="204"/>
      <scheme val="minor"/>
    </font>
    <font>
      <b/>
      <sz val="10"/>
      <color rgb="FFFFFFFF"/>
      <name val="Times New Roman"/>
      <family val="1"/>
      <charset val="204"/>
    </font>
    <font>
      <sz val="10"/>
      <color rgb="FFFFFFFF"/>
      <name val="Times New Roman"/>
      <family val="1"/>
      <charset val="204"/>
    </font>
    <font>
      <b/>
      <sz val="11"/>
      <color rgb="FFFFFFFF"/>
      <name val="Times New Roman"/>
      <family val="1"/>
      <charset val="204"/>
    </font>
    <font>
      <i/>
      <sz val="10"/>
      <color rgb="FFFFFFFF"/>
      <name val="Times New Roman"/>
      <family val="1"/>
      <charset val="204"/>
    </font>
    <font>
      <sz val="8"/>
      <name val="Arial"/>
      <family val="2"/>
    </font>
    <font>
      <u/>
      <sz val="10"/>
      <color theme="10"/>
      <name val="Arial Cyr"/>
      <charset val="204"/>
    </font>
    <font>
      <sz val="12"/>
      <name val="Arial Cyr"/>
      <charset val="204"/>
    </font>
    <font>
      <sz val="12"/>
      <color theme="0"/>
      <name val="Times New Roman"/>
      <family val="1"/>
      <charset val="204"/>
    </font>
    <font>
      <sz val="12"/>
      <color theme="1"/>
      <name val="Times New Roman"/>
      <family val="1"/>
      <charset val="204"/>
    </font>
    <font>
      <sz val="10"/>
      <color rgb="FFFF0000"/>
      <name val="Arial"/>
      <family val="2"/>
      <charset val="204"/>
    </font>
    <font>
      <sz val="12"/>
      <color rgb="FFFF0000"/>
      <name val="Times New Roman"/>
      <family val="1"/>
      <charset val="204"/>
    </font>
    <font>
      <sz val="10"/>
      <color indexed="8"/>
      <name val="Times New Roman"/>
      <family val="1"/>
      <charset val="204"/>
    </font>
  </fonts>
  <fills count="12">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9">
    <xf numFmtId="0" fontId="0" fillId="0" borderId="0"/>
    <xf numFmtId="0" fontId="23" fillId="0" borderId="0"/>
    <xf numFmtId="43" fontId="2" fillId="0" borderId="0" applyFont="0" applyFill="0" applyBorder="0" applyAlignment="0" applyProtection="0"/>
    <xf numFmtId="43" fontId="20" fillId="0" borderId="0" applyFont="0" applyFill="0" applyBorder="0" applyAlignment="0" applyProtection="0"/>
    <xf numFmtId="0" fontId="28" fillId="0" borderId="0"/>
    <xf numFmtId="0" fontId="29" fillId="0" borderId="0" applyNumberFormat="0" applyFill="0" applyBorder="0" applyAlignment="0" applyProtection="0"/>
    <xf numFmtId="0" fontId="1" fillId="0" borderId="0"/>
    <xf numFmtId="0" fontId="2" fillId="0" borderId="0"/>
    <xf numFmtId="9" fontId="2" fillId="0" borderId="0" applyFont="0" applyFill="0" applyBorder="0" applyAlignment="0" applyProtection="0"/>
  </cellStyleXfs>
  <cellXfs count="564">
    <xf numFmtId="0" fontId="0" fillId="0" borderId="0" xfId="0"/>
    <xf numFmtId="0" fontId="5" fillId="0" borderId="0" xfId="0" applyFont="1" applyFill="1" applyAlignment="1" applyProtection="1">
      <alignment vertical="center"/>
      <protection locked="0"/>
    </xf>
    <xf numFmtId="0" fontId="5" fillId="0" borderId="0" xfId="0" applyFont="1" applyFill="1" applyAlignment="1" applyProtection="1">
      <alignment vertical="center" wrapText="1"/>
      <protection locked="0"/>
    </xf>
    <xf numFmtId="0" fontId="5" fillId="0" borderId="0" xfId="0" applyFont="1" applyFill="1" applyAlignment="1" applyProtection="1">
      <alignment horizontal="center" vertical="center"/>
      <protection locked="0"/>
    </xf>
    <xf numFmtId="164" fontId="5" fillId="0" borderId="0" xfId="0" applyNumberFormat="1" applyFont="1" applyFill="1" applyAlignment="1" applyProtection="1">
      <alignment vertical="center"/>
      <protection locked="0"/>
    </xf>
    <xf numFmtId="165" fontId="5" fillId="0" borderId="0" xfId="0" applyNumberFormat="1" applyFont="1" applyFill="1" applyAlignment="1" applyProtection="1">
      <alignment vertical="center"/>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vertical="center" wrapText="1"/>
      <protection locked="0"/>
    </xf>
    <xf numFmtId="164" fontId="6" fillId="0" borderId="0" xfId="0" applyNumberFormat="1" applyFont="1" applyFill="1" applyAlignment="1" applyProtection="1">
      <alignment vertical="center"/>
      <protection locked="0"/>
    </xf>
    <xf numFmtId="164" fontId="6" fillId="0" borderId="0" xfId="0" applyNumberFormat="1" applyFont="1" applyFill="1" applyAlignment="1" applyProtection="1">
      <alignment horizontal="center" vertical="center"/>
      <protection locked="0"/>
    </xf>
    <xf numFmtId="165" fontId="6" fillId="0" borderId="0" xfId="0" applyNumberFormat="1" applyFont="1" applyFill="1" applyAlignment="1" applyProtection="1">
      <alignment vertical="center"/>
      <protection locked="0"/>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vertical="center"/>
      <protection locked="0"/>
    </xf>
    <xf numFmtId="0" fontId="7" fillId="0" borderId="0" xfId="0" applyFont="1" applyFill="1" applyAlignment="1" applyProtection="1">
      <alignment vertical="center" wrapText="1"/>
      <protection locked="0"/>
    </xf>
    <xf numFmtId="0" fontId="7" fillId="0" borderId="0" xfId="0" applyFont="1" applyFill="1" applyAlignment="1" applyProtection="1">
      <alignment horizontal="center" vertical="center"/>
      <protection locked="0"/>
    </xf>
    <xf numFmtId="164" fontId="7" fillId="0" borderId="0" xfId="0" applyNumberFormat="1" applyFont="1" applyFill="1" applyAlignment="1" applyProtection="1">
      <alignment vertical="center"/>
      <protection locked="0"/>
    </xf>
    <xf numFmtId="165"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3" fontId="6" fillId="0" borderId="1" xfId="0" applyNumberFormat="1" applyFont="1" applyFill="1" applyBorder="1" applyAlignment="1" applyProtection="1">
      <alignment vertical="center"/>
      <protection locked="0"/>
    </xf>
    <xf numFmtId="164" fontId="6" fillId="0" borderId="1" xfId="0" applyNumberFormat="1" applyFont="1" applyFill="1" applyBorder="1" applyAlignment="1" applyProtection="1">
      <alignment vertical="center"/>
      <protection locked="0"/>
    </xf>
    <xf numFmtId="164" fontId="6"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xf>
    <xf numFmtId="0" fontId="7" fillId="0" borderId="1" xfId="0" applyFont="1" applyFill="1" applyBorder="1" applyAlignment="1" applyProtection="1">
      <alignment vertical="center"/>
      <protection locked="0"/>
    </xf>
    <xf numFmtId="168" fontId="7" fillId="0" borderId="1" xfId="2" applyNumberFormat="1" applyFont="1" applyFill="1" applyBorder="1" applyAlignment="1" applyProtection="1">
      <alignment vertical="center"/>
      <protection locked="0"/>
    </xf>
    <xf numFmtId="4" fontId="7" fillId="0" borderId="1" xfId="0" applyNumberFormat="1" applyFont="1" applyFill="1" applyBorder="1" applyAlignment="1" applyProtection="1">
      <alignment vertical="center"/>
      <protection locked="0"/>
    </xf>
    <xf numFmtId="4" fontId="7" fillId="0" borderId="1" xfId="0" applyNumberFormat="1" applyFont="1" applyFill="1" applyBorder="1" applyAlignment="1" applyProtection="1">
      <alignment vertical="center"/>
    </xf>
    <xf numFmtId="3" fontId="7" fillId="0" borderId="1"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xf>
    <xf numFmtId="164" fontId="7" fillId="0" borderId="1" xfId="0" applyNumberFormat="1" applyFont="1" applyFill="1" applyBorder="1" applyAlignment="1" applyProtection="1">
      <alignment vertical="center"/>
    </xf>
    <xf numFmtId="164" fontId="7" fillId="0" borderId="1" xfId="0" applyNumberFormat="1" applyFont="1" applyFill="1" applyBorder="1" applyAlignment="1" applyProtection="1">
      <alignment horizontal="center" vertical="center"/>
      <protection locked="0"/>
    </xf>
    <xf numFmtId="167" fontId="7" fillId="0" borderId="1" xfId="0" applyNumberFormat="1" applyFont="1" applyFill="1" applyBorder="1" applyAlignment="1" applyProtection="1">
      <alignment vertical="center"/>
    </xf>
    <xf numFmtId="166" fontId="7" fillId="0" borderId="1" xfId="0" applyNumberFormat="1" applyFont="1" applyFill="1" applyBorder="1" applyAlignment="1" applyProtection="1">
      <alignment vertical="center"/>
      <protection locked="0"/>
    </xf>
    <xf numFmtId="165" fontId="6" fillId="0" borderId="1" xfId="0" applyNumberFormat="1" applyFont="1" applyFill="1" applyBorder="1" applyAlignment="1" applyProtection="1">
      <alignment vertical="center"/>
    </xf>
    <xf numFmtId="3" fontId="6" fillId="0" borderId="1" xfId="0" applyNumberFormat="1" applyFont="1" applyFill="1" applyBorder="1" applyAlignment="1" applyProtection="1">
      <alignment vertical="center"/>
    </xf>
    <xf numFmtId="164" fontId="6" fillId="0" borderId="1" xfId="0" applyNumberFormat="1" applyFont="1" applyFill="1" applyBorder="1" applyAlignment="1" applyProtection="1">
      <alignment vertical="center"/>
    </xf>
    <xf numFmtId="164" fontId="7"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vertical="center"/>
      <protection locked="0"/>
    </xf>
    <xf numFmtId="0" fontId="6" fillId="2" borderId="0" xfId="0" applyFont="1" applyFill="1" applyAlignment="1" applyProtection="1">
      <alignment vertical="center"/>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6" fillId="3" borderId="0" xfId="0" applyFont="1" applyFill="1" applyAlignment="1" applyProtection="1">
      <alignment vertical="center"/>
      <protection locked="0"/>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vertical="center"/>
      <protection locked="0"/>
    </xf>
    <xf numFmtId="3" fontId="6" fillId="3" borderId="1" xfId="0" applyNumberFormat="1" applyFont="1" applyFill="1" applyBorder="1" applyAlignment="1" applyProtection="1">
      <alignment vertical="center"/>
    </xf>
    <xf numFmtId="0" fontId="6" fillId="2" borderId="1" xfId="0" applyFont="1" applyFill="1" applyBorder="1" applyAlignment="1" applyProtection="1">
      <alignment vertical="center" wrapText="1"/>
      <protection locked="0"/>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protection locked="0"/>
    </xf>
    <xf numFmtId="0" fontId="7" fillId="3" borderId="1" xfId="0" applyFont="1" applyFill="1" applyBorder="1" applyAlignment="1" applyProtection="1">
      <alignment vertical="center"/>
    </xf>
    <xf numFmtId="0" fontId="7" fillId="3" borderId="0" xfId="0" applyFont="1" applyFill="1" applyAlignment="1" applyProtection="1">
      <alignment vertical="center"/>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vertical="center"/>
    </xf>
    <xf numFmtId="3" fontId="6" fillId="3"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wrapText="1"/>
    </xf>
    <xf numFmtId="1" fontId="7" fillId="0" borderId="1" xfId="0" applyNumberFormat="1" applyFont="1" applyFill="1" applyBorder="1" applyAlignment="1" applyProtection="1">
      <alignment vertical="center"/>
      <protection locked="0"/>
    </xf>
    <xf numFmtId="9" fontId="6" fillId="0" borderId="1" xfId="0" applyNumberFormat="1" applyFont="1" applyFill="1" applyBorder="1" applyAlignment="1" applyProtection="1">
      <alignment horizontal="center" vertical="center" wrapText="1"/>
      <protection locked="0"/>
    </xf>
    <xf numFmtId="166" fontId="7" fillId="0" borderId="0" xfId="0" applyNumberFormat="1" applyFont="1" applyFill="1" applyAlignment="1" applyProtection="1">
      <alignment vertical="center"/>
      <protection locked="0"/>
    </xf>
    <xf numFmtId="3" fontId="6" fillId="2" borderId="1" xfId="0" applyNumberFormat="1" applyFont="1" applyFill="1" applyBorder="1" applyAlignment="1" applyProtection="1">
      <alignment vertical="center"/>
      <protection locked="0"/>
    </xf>
    <xf numFmtId="165" fontId="7" fillId="0" borderId="1" xfId="0" applyNumberFormat="1" applyFont="1" applyFill="1" applyBorder="1" applyAlignment="1" applyProtection="1">
      <alignment vertical="center"/>
    </xf>
    <xf numFmtId="0" fontId="0" fillId="0" borderId="0" xfId="0" applyAlignment="1">
      <alignment horizontal="center"/>
    </xf>
    <xf numFmtId="16" fontId="7" fillId="0" borderId="1" xfId="0" applyNumberFormat="1" applyFont="1" applyFill="1" applyBorder="1" applyAlignment="1" applyProtection="1">
      <alignment vertical="center"/>
    </xf>
    <xf numFmtId="16" fontId="7" fillId="0" borderId="1" xfId="0" applyNumberFormat="1" applyFont="1" applyFill="1" applyBorder="1" applyAlignment="1" applyProtection="1">
      <alignment vertical="center"/>
      <protection locked="0"/>
    </xf>
    <xf numFmtId="171" fontId="7" fillId="0" borderId="1" xfId="0" applyNumberFormat="1" applyFont="1" applyFill="1" applyBorder="1" applyAlignment="1" applyProtection="1">
      <alignment vertical="center"/>
    </xf>
    <xf numFmtId="168" fontId="7" fillId="0" borderId="1" xfId="2" applyNumberFormat="1" applyFont="1" applyFill="1" applyBorder="1" applyAlignment="1" applyProtection="1">
      <alignment vertical="center" wrapText="1"/>
      <protection locked="0"/>
    </xf>
    <xf numFmtId="164" fontId="7" fillId="0" borderId="1" xfId="0" applyNumberFormat="1" applyFont="1" applyFill="1" applyBorder="1" applyAlignment="1" applyProtection="1">
      <alignment vertical="center"/>
      <protection locked="0"/>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center" vertical="center" wrapText="1"/>
    </xf>
    <xf numFmtId="3" fontId="5" fillId="0" borderId="1" xfId="0" applyNumberFormat="1" applyFont="1" applyBorder="1" applyAlignment="1">
      <alignment horizontal="center"/>
    </xf>
    <xf numFmtId="0" fontId="5" fillId="0" borderId="0" xfId="0" applyFont="1"/>
    <xf numFmtId="0" fontId="5" fillId="0" borderId="1" xfId="0" applyFont="1" applyBorder="1"/>
    <xf numFmtId="0" fontId="16" fillId="0" borderId="1" xfId="0" applyFont="1" applyBorder="1"/>
    <xf numFmtId="3" fontId="16" fillId="0" borderId="1" xfId="0" applyNumberFormat="1" applyFont="1" applyBorder="1" applyAlignment="1">
      <alignment horizontal="center"/>
    </xf>
    <xf numFmtId="0" fontId="16" fillId="0" borderId="0" xfId="0" applyFont="1"/>
    <xf numFmtId="0" fontId="5" fillId="0" borderId="0" xfId="0" applyFont="1" applyFill="1" applyAlignment="1" applyProtection="1">
      <alignment horizontal="center" vertical="center" wrapText="1"/>
      <protection locked="0"/>
    </xf>
    <xf numFmtId="164" fontId="5" fillId="0" borderId="0" xfId="0" applyNumberFormat="1"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16" fillId="0" borderId="0" xfId="0" applyFont="1" applyFill="1" applyAlignment="1" applyProtection="1">
      <alignment horizontal="center" vertical="center" wrapText="1"/>
      <protection locked="0"/>
    </xf>
    <xf numFmtId="0" fontId="16" fillId="0" borderId="0" xfId="0" applyFont="1" applyFill="1" applyAlignment="1" applyProtection="1">
      <alignment vertical="center" wrapText="1"/>
      <protection locked="0"/>
    </xf>
    <xf numFmtId="0" fontId="16" fillId="0" borderId="0" xfId="0" applyFont="1" applyFill="1" applyAlignment="1" applyProtection="1">
      <alignment vertical="center"/>
      <protection locked="0"/>
    </xf>
    <xf numFmtId="0" fontId="16" fillId="0" borderId="0" xfId="0" applyFont="1" applyFill="1" applyAlignment="1" applyProtection="1">
      <alignment horizontal="center" vertical="center"/>
      <protection locked="0"/>
    </xf>
    <xf numFmtId="164" fontId="16" fillId="0" borderId="0" xfId="0" applyNumberFormat="1" applyFont="1" applyFill="1" applyAlignment="1" applyProtection="1">
      <alignment vertical="center"/>
      <protection locked="0"/>
    </xf>
    <xf numFmtId="165" fontId="16" fillId="0" borderId="0" xfId="0" applyNumberFormat="1" applyFont="1" applyFill="1" applyAlignment="1" applyProtection="1">
      <alignment vertical="center"/>
      <protection locked="0"/>
    </xf>
    <xf numFmtId="0" fontId="16" fillId="0" borderId="1" xfId="0" applyFont="1" applyFill="1" applyBorder="1" applyAlignment="1" applyProtection="1">
      <alignment horizontal="center" vertical="center" wrapText="1"/>
      <protection locked="0"/>
    </xf>
    <xf numFmtId="0" fontId="16" fillId="0" borderId="1" xfId="0" applyFont="1" applyBorder="1" applyAlignment="1">
      <alignment horizontal="left" indent="2"/>
    </xf>
    <xf numFmtId="0" fontId="16" fillId="0" borderId="1" xfId="0" applyFont="1" applyFill="1" applyBorder="1" applyAlignment="1">
      <alignment horizontal="left" indent="2"/>
    </xf>
    <xf numFmtId="0" fontId="16" fillId="0" borderId="1" xfId="0" applyFont="1" applyFill="1" applyBorder="1" applyAlignment="1" applyProtection="1">
      <alignment horizontal="left" vertical="center" wrapText="1" indent="2"/>
      <protection locked="0"/>
    </xf>
    <xf numFmtId="171" fontId="5" fillId="0" borderId="1" xfId="0" applyNumberFormat="1" applyFont="1" applyBorder="1" applyAlignment="1">
      <alignment horizontal="center"/>
    </xf>
    <xf numFmtId="171" fontId="16" fillId="0" borderId="1" xfId="0" applyNumberFormat="1" applyFont="1" applyBorder="1" applyAlignment="1">
      <alignment horizontal="center"/>
    </xf>
    <xf numFmtId="3" fontId="16" fillId="0" borderId="1" xfId="0" applyNumberFormat="1" applyFont="1" applyFill="1" applyBorder="1" applyAlignment="1">
      <alignment horizontal="center"/>
    </xf>
    <xf numFmtId="169" fontId="7" fillId="0" borderId="1" xfId="0" applyNumberFormat="1" applyFont="1" applyFill="1" applyBorder="1" applyAlignment="1" applyProtection="1">
      <alignment vertical="center"/>
    </xf>
    <xf numFmtId="1" fontId="7" fillId="0" borderId="1" xfId="0" applyNumberFormat="1" applyFont="1" applyFill="1" applyBorder="1" applyAlignment="1" applyProtection="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164" fontId="9" fillId="0" borderId="0" xfId="0" applyNumberFormat="1" applyFont="1" applyFill="1" applyAlignment="1" applyProtection="1">
      <alignment vertical="center"/>
      <protection locked="0"/>
    </xf>
    <xf numFmtId="164" fontId="9" fillId="0" borderId="0" xfId="0" applyNumberFormat="1" applyFont="1" applyFill="1" applyAlignment="1" applyProtection="1">
      <alignment horizontal="center" vertical="center"/>
      <protection locked="0"/>
    </xf>
    <xf numFmtId="165" fontId="9" fillId="0" borderId="0" xfId="0" applyNumberFormat="1" applyFont="1" applyFill="1" applyAlignment="1" applyProtection="1">
      <alignment vertical="center"/>
      <protection locked="0"/>
    </xf>
    <xf numFmtId="166" fontId="7" fillId="0" borderId="0" xfId="0" applyNumberFormat="1" applyFont="1" applyFill="1" applyAlignment="1" applyProtection="1">
      <alignment horizontal="right" vertical="center"/>
      <protection locked="0"/>
    </xf>
    <xf numFmtId="2" fontId="5" fillId="0" borderId="0" xfId="0" applyNumberFormat="1" applyFont="1" applyFill="1" applyAlignment="1" applyProtection="1">
      <alignment vertical="center"/>
      <protection locked="0"/>
    </xf>
    <xf numFmtId="2" fontId="7" fillId="0" borderId="0" xfId="0" applyNumberFormat="1" applyFont="1" applyFill="1" applyAlignment="1" applyProtection="1">
      <alignment vertical="center"/>
      <protection locked="0"/>
    </xf>
    <xf numFmtId="0" fontId="7" fillId="0" borderId="0" xfId="0" applyFont="1" applyFill="1" applyAlignment="1" applyProtection="1">
      <alignment horizontal="left" vertical="center" indent="2"/>
      <protection locked="0"/>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7"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pplyProtection="1">
      <alignment horizontal="right" vertical="center" wrapText="1"/>
    </xf>
    <xf numFmtId="1" fontId="7" fillId="0" borderId="1" xfId="0" applyNumberFormat="1" applyFont="1" applyFill="1" applyBorder="1" applyAlignment="1" applyProtection="1">
      <alignment horizontal="right" vertical="center" wrapText="1"/>
      <protection locked="0"/>
    </xf>
    <xf numFmtId="0" fontId="7" fillId="0" borderId="2" xfId="0" applyFont="1" applyFill="1" applyBorder="1" applyAlignment="1" applyProtection="1">
      <alignment vertical="center"/>
      <protection locked="0"/>
    </xf>
    <xf numFmtId="0" fontId="13" fillId="0" borderId="0" xfId="0" applyFont="1" applyAlignment="1">
      <alignment horizontal="center" vertical="center" wrapText="1"/>
    </xf>
    <xf numFmtId="16" fontId="7" fillId="0" borderId="1" xfId="0" applyNumberFormat="1" applyFont="1" applyFill="1" applyBorder="1" applyAlignment="1" applyProtection="1">
      <alignment horizontal="center" vertical="center"/>
    </xf>
    <xf numFmtId="168" fontId="7" fillId="5" borderId="1" xfId="2" applyNumberFormat="1"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3" fontId="7" fillId="4" borderId="1" xfId="0" applyNumberFormat="1" applyFont="1" applyFill="1" applyBorder="1" applyAlignment="1" applyProtection="1">
      <alignment vertical="center"/>
      <protection locked="0"/>
    </xf>
    <xf numFmtId="3" fontId="16" fillId="6" borderId="1" xfId="0" applyNumberFormat="1" applyFont="1" applyFill="1" applyBorder="1" applyAlignment="1">
      <alignment horizontal="center"/>
    </xf>
    <xf numFmtId="171" fontId="16" fillId="6" borderId="1" xfId="0" applyNumberFormat="1" applyFont="1" applyFill="1" applyBorder="1" applyAlignment="1">
      <alignment horizontal="center"/>
    </xf>
    <xf numFmtId="0" fontId="16" fillId="6" borderId="1" xfId="0" applyFont="1" applyFill="1" applyBorder="1"/>
    <xf numFmtId="0" fontId="16" fillId="6" borderId="0" xfId="0" applyFont="1" applyFill="1"/>
    <xf numFmtId="0" fontId="18" fillId="0" borderId="1" xfId="0" applyFont="1" applyBorder="1" applyAlignment="1">
      <alignment horizontal="center" vertical="center" wrapText="1"/>
    </xf>
    <xf numFmtId="2" fontId="7" fillId="0" borderId="1" xfId="0" applyNumberFormat="1" applyFont="1" applyFill="1" applyBorder="1" applyAlignment="1" applyProtection="1">
      <alignment vertical="center"/>
    </xf>
    <xf numFmtId="2" fontId="6" fillId="3" borderId="1" xfId="0" applyNumberFormat="1" applyFont="1" applyFill="1" applyBorder="1" applyAlignment="1" applyProtection="1">
      <alignment vertical="center"/>
    </xf>
    <xf numFmtId="2" fontId="6" fillId="3" borderId="1" xfId="0" applyNumberFormat="1" applyFont="1" applyFill="1" applyBorder="1" applyAlignment="1" applyProtection="1">
      <alignment vertical="center"/>
      <protection locked="0"/>
    </xf>
    <xf numFmtId="2" fontId="6" fillId="0" borderId="1" xfId="0" applyNumberFormat="1" applyFont="1" applyFill="1" applyBorder="1" applyAlignment="1" applyProtection="1">
      <alignment vertical="center"/>
      <protection locked="0"/>
    </xf>
    <xf numFmtId="2" fontId="7" fillId="3" borderId="1" xfId="0" applyNumberFormat="1" applyFont="1" applyFill="1" applyBorder="1" applyAlignment="1" applyProtection="1">
      <alignment vertical="center"/>
    </xf>
    <xf numFmtId="0" fontId="21" fillId="0" borderId="0" xfId="0" applyFont="1" applyAlignment="1">
      <alignment vertical="center" wrapText="1"/>
    </xf>
    <xf numFmtId="0" fontId="17" fillId="0" borderId="0" xfId="0" applyFont="1" applyAlignment="1">
      <alignment horizontal="right" vertical="center" wrapText="1"/>
    </xf>
    <xf numFmtId="172" fontId="7" fillId="6" borderId="1" xfId="0" applyNumberFormat="1" applyFont="1" applyFill="1" applyBorder="1" applyAlignment="1" applyProtection="1">
      <alignment vertical="center"/>
    </xf>
    <xf numFmtId="0" fontId="24" fillId="8" borderId="1" xfId="0" applyFont="1" applyFill="1" applyBorder="1" applyAlignment="1">
      <alignment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right" vertical="center" wrapText="1"/>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17" fillId="6" borderId="1" xfId="0" applyFont="1" applyFill="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right" vertical="center" wrapText="1"/>
    </xf>
    <xf numFmtId="0" fontId="26" fillId="0" borderId="1" xfId="0" applyFont="1" applyBorder="1" applyAlignment="1">
      <alignment horizontal="right" vertical="center" wrapText="1"/>
    </xf>
    <xf numFmtId="0" fontId="25" fillId="8" borderId="1" xfId="0" applyFont="1" applyFill="1" applyBorder="1" applyAlignment="1">
      <alignment horizontal="center" vertical="center" wrapText="1"/>
    </xf>
    <xf numFmtId="0" fontId="24" fillId="8" borderId="1" xfId="0" applyFont="1" applyFill="1" applyBorder="1" applyAlignment="1">
      <alignment horizontal="right" vertical="center" wrapText="1"/>
    </xf>
    <xf numFmtId="0" fontId="24"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9" fillId="8" borderId="1" xfId="0" applyFont="1" applyFill="1" applyBorder="1" applyAlignment="1">
      <alignment horizontal="left" vertical="center" wrapText="1"/>
    </xf>
    <xf numFmtId="2" fontId="17" fillId="8" borderId="1" xfId="0" applyNumberFormat="1" applyFont="1" applyFill="1" applyBorder="1" applyAlignment="1">
      <alignment horizontal="center" vertical="center" wrapText="1"/>
    </xf>
    <xf numFmtId="2" fontId="7" fillId="9" borderId="0" xfId="0" applyNumberFormat="1" applyFont="1" applyFill="1" applyAlignment="1" applyProtection="1">
      <alignment vertical="center"/>
      <protection locked="0"/>
    </xf>
    <xf numFmtId="4" fontId="7" fillId="6" borderId="1" xfId="0" applyNumberFormat="1" applyFont="1" applyFill="1" applyBorder="1" applyAlignment="1" applyProtection="1">
      <alignment horizontal="center" vertical="center"/>
      <protection locked="0"/>
    </xf>
    <xf numFmtId="4" fontId="7" fillId="6" borderId="1" xfId="0" applyNumberFormat="1" applyFont="1" applyFill="1" applyBorder="1" applyAlignment="1" applyProtection="1">
      <alignment vertical="center"/>
      <protection locked="0"/>
    </xf>
    <xf numFmtId="16" fontId="7" fillId="6" borderId="1" xfId="0" applyNumberFormat="1" applyFont="1" applyFill="1" applyBorder="1" applyAlignment="1" applyProtection="1">
      <alignment horizontal="center" vertical="center"/>
    </xf>
    <xf numFmtId="16" fontId="7" fillId="6" borderId="1" xfId="0" applyNumberFormat="1" applyFont="1" applyFill="1" applyBorder="1" applyAlignment="1" applyProtection="1">
      <alignment horizontal="center" vertical="center"/>
      <protection locked="0"/>
    </xf>
    <xf numFmtId="16" fontId="7" fillId="6" borderId="1" xfId="0" applyNumberFormat="1" applyFont="1" applyFill="1" applyBorder="1" applyAlignment="1" applyProtection="1">
      <alignment vertical="center"/>
    </xf>
    <xf numFmtId="1" fontId="7" fillId="6" borderId="1" xfId="0" applyNumberFormat="1" applyFont="1" applyFill="1" applyBorder="1" applyAlignment="1" applyProtection="1">
      <alignment vertical="center"/>
    </xf>
    <xf numFmtId="4" fontId="7" fillId="6" borderId="1" xfId="0" applyNumberFormat="1" applyFont="1" applyFill="1" applyBorder="1" applyAlignment="1" applyProtection="1">
      <alignment vertical="center"/>
    </xf>
    <xf numFmtId="0" fontId="5" fillId="6" borderId="0" xfId="0" applyFont="1" applyFill="1" applyAlignment="1" applyProtection="1">
      <alignment horizontal="left" vertical="center"/>
      <protection locked="0"/>
    </xf>
    <xf numFmtId="16" fontId="7" fillId="6" borderId="1" xfId="0" applyNumberFormat="1" applyFont="1" applyFill="1" applyBorder="1" applyAlignment="1" applyProtection="1">
      <alignment vertical="center"/>
      <protection locked="0"/>
    </xf>
    <xf numFmtId="171" fontId="7" fillId="6" borderId="1" xfId="0" applyNumberFormat="1" applyFont="1" applyFill="1" applyBorder="1" applyAlignment="1" applyProtection="1">
      <alignment vertical="center"/>
    </xf>
    <xf numFmtId="168" fontId="7" fillId="0" borderId="1" xfId="3" applyNumberFormat="1"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168" fontId="3" fillId="0" borderId="1" xfId="3" applyNumberFormat="1" applyFont="1" applyFill="1" applyBorder="1" applyAlignment="1" applyProtection="1">
      <alignment vertical="center"/>
      <protection locked="0"/>
    </xf>
    <xf numFmtId="164" fontId="7" fillId="9" borderId="1" xfId="0" applyNumberFormat="1" applyFont="1" applyFill="1" applyBorder="1" applyAlignment="1" applyProtection="1">
      <alignment vertical="center"/>
    </xf>
    <xf numFmtId="164" fontId="7" fillId="9" borderId="1" xfId="0" applyNumberFormat="1" applyFont="1" applyFill="1" applyBorder="1" applyAlignment="1" applyProtection="1">
      <alignment vertical="center"/>
      <protection locked="0"/>
    </xf>
    <xf numFmtId="171" fontId="7" fillId="6" borderId="1" xfId="0" applyNumberFormat="1" applyFont="1" applyFill="1" applyBorder="1" applyAlignment="1" applyProtection="1">
      <alignment horizontal="center" vertical="center"/>
    </xf>
    <xf numFmtId="168" fontId="7" fillId="0" borderId="1" xfId="3" applyNumberFormat="1" applyFont="1" applyFill="1" applyBorder="1" applyAlignment="1" applyProtection="1">
      <alignment vertical="center" wrapText="1"/>
      <protection locked="0"/>
    </xf>
    <xf numFmtId="0" fontId="3"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7" fillId="0" borderId="1" xfId="0" applyFont="1" applyBorder="1" applyAlignment="1">
      <alignment horizontal="left" vertical="center" wrapText="1"/>
    </xf>
    <xf numFmtId="0" fontId="29" fillId="0" borderId="0" xfId="5"/>
    <xf numFmtId="0" fontId="6" fillId="0" borderId="2"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7" fillId="0" borderId="1" xfId="0" applyFont="1" applyFill="1" applyBorder="1" applyAlignment="1" applyProtection="1">
      <alignment horizontal="center" vertical="center" wrapText="1"/>
    </xf>
    <xf numFmtId="0" fontId="7" fillId="9" borderId="0" xfId="0" applyFont="1" applyFill="1" applyAlignment="1">
      <alignment vertical="center"/>
    </xf>
    <xf numFmtId="0" fontId="7" fillId="9" borderId="0" xfId="0" applyFont="1" applyFill="1" applyAlignment="1">
      <alignment vertical="center" wrapText="1"/>
    </xf>
    <xf numFmtId="165" fontId="7" fillId="9" borderId="0" xfId="0" applyNumberFormat="1" applyFont="1" applyFill="1" applyAlignment="1">
      <alignment vertical="center"/>
    </xf>
    <xf numFmtId="171" fontId="7" fillId="9" borderId="0" xfId="0" applyNumberFormat="1" applyFont="1" applyFill="1" applyAlignment="1">
      <alignment vertical="center"/>
    </xf>
    <xf numFmtId="0" fontId="8" fillId="9" borderId="0" xfId="0" applyFont="1" applyFill="1" applyAlignment="1">
      <alignment horizontal="center" vertical="center"/>
    </xf>
    <xf numFmtId="0" fontId="7" fillId="9" borderId="0" xfId="0" applyFont="1" applyFill="1" applyAlignment="1">
      <alignment horizontal="center" vertical="center" wrapText="1"/>
    </xf>
    <xf numFmtId="168" fontId="7" fillId="9" borderId="1" xfId="2" applyNumberFormat="1" applyFont="1" applyFill="1" applyBorder="1" applyAlignment="1">
      <alignment vertical="center" wrapText="1"/>
    </xf>
    <xf numFmtId="168" fontId="7" fillId="9" borderId="1" xfId="2" applyNumberFormat="1" applyFont="1" applyFill="1" applyBorder="1" applyAlignment="1">
      <alignment vertical="center"/>
    </xf>
    <xf numFmtId="174" fontId="7" fillId="9" borderId="0" xfId="0" applyNumberFormat="1" applyFont="1" applyFill="1" applyAlignment="1">
      <alignment vertical="center"/>
    </xf>
    <xf numFmtId="168" fontId="7" fillId="0" borderId="1" xfId="2" applyNumberFormat="1" applyFont="1" applyFill="1" applyBorder="1" applyAlignment="1">
      <alignment horizontal="left" vertical="center" wrapText="1"/>
    </xf>
    <xf numFmtId="168" fontId="7" fillId="0" borderId="1" xfId="2" applyNumberFormat="1" applyFont="1" applyFill="1" applyBorder="1" applyAlignment="1">
      <alignment horizontal="left" vertical="center"/>
    </xf>
    <xf numFmtId="0" fontId="7" fillId="9" borderId="1" xfId="0" applyFont="1" applyFill="1" applyBorder="1" applyAlignment="1" applyProtection="1">
      <alignment vertical="center" wrapText="1"/>
      <protection locked="0"/>
    </xf>
    <xf numFmtId="168" fontId="7" fillId="9" borderId="1" xfId="2" applyNumberFormat="1" applyFont="1" applyFill="1" applyBorder="1" applyAlignment="1" applyProtection="1">
      <alignment vertical="center" wrapText="1"/>
      <protection locked="0"/>
    </xf>
    <xf numFmtId="168" fontId="7" fillId="9" borderId="1" xfId="2" applyNumberFormat="1" applyFont="1" applyFill="1" applyBorder="1" applyAlignment="1" applyProtection="1">
      <alignment vertical="center"/>
      <protection locked="0"/>
    </xf>
    <xf numFmtId="165" fontId="7" fillId="9" borderId="0" xfId="0" applyNumberFormat="1" applyFont="1" applyFill="1" applyBorder="1" applyAlignment="1">
      <alignment vertical="center"/>
    </xf>
    <xf numFmtId="171" fontId="7" fillId="9" borderId="0" xfId="0" applyNumberFormat="1" applyFont="1" applyFill="1" applyBorder="1" applyAlignment="1">
      <alignment vertical="center"/>
    </xf>
    <xf numFmtId="0" fontId="7" fillId="9" borderId="1"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5" fillId="9" borderId="0" xfId="0" applyFont="1" applyFill="1" applyAlignment="1" applyProtection="1">
      <alignment horizontal="center" vertical="center" wrapText="1"/>
      <protection locked="0"/>
    </xf>
    <xf numFmtId="0" fontId="6" fillId="9" borderId="0" xfId="0" applyFont="1" applyFill="1" applyAlignment="1" applyProtection="1">
      <alignment vertical="center"/>
      <protection locked="0"/>
    </xf>
    <xf numFmtId="0" fontId="9" fillId="9" borderId="0" xfId="0" applyFont="1" applyFill="1" applyAlignment="1" applyProtection="1">
      <alignment horizontal="left" vertical="center"/>
      <protection locked="0"/>
    </xf>
    <xf numFmtId="0" fontId="6" fillId="9" borderId="0" xfId="0" applyFont="1" applyFill="1" applyAlignment="1" applyProtection="1">
      <alignment horizontal="center" vertical="center" wrapText="1"/>
      <protection locked="0"/>
    </xf>
    <xf numFmtId="0" fontId="5" fillId="9" borderId="0" xfId="0" applyFont="1" applyFill="1" applyAlignment="1" applyProtection="1">
      <alignment vertical="center"/>
      <protection locked="0"/>
    </xf>
    <xf numFmtId="164" fontId="6" fillId="9" borderId="0" xfId="0" applyNumberFormat="1" applyFont="1" applyFill="1" applyAlignment="1" applyProtection="1">
      <alignment vertical="center"/>
      <protection locked="0"/>
    </xf>
    <xf numFmtId="164" fontId="6" fillId="9" borderId="0" xfId="0" applyNumberFormat="1" applyFont="1" applyFill="1" applyAlignment="1" applyProtection="1">
      <alignment horizontal="center" vertical="center"/>
      <protection locked="0"/>
    </xf>
    <xf numFmtId="165" fontId="6" fillId="9" borderId="0" xfId="0" applyNumberFormat="1" applyFont="1" applyFill="1" applyAlignment="1" applyProtection="1">
      <alignment vertical="center"/>
      <protection locked="0"/>
    </xf>
    <xf numFmtId="0" fontId="5" fillId="9" borderId="0" xfId="0" applyFont="1" applyFill="1" applyAlignment="1" applyProtection="1">
      <alignment horizontal="left" vertical="center"/>
      <protection locked="0"/>
    </xf>
    <xf numFmtId="0" fontId="5" fillId="9" borderId="0" xfId="0" applyFont="1" applyFill="1" applyAlignment="1" applyProtection="1">
      <alignment horizontal="center" vertical="center"/>
      <protection locked="0"/>
    </xf>
    <xf numFmtId="164" fontId="5" fillId="9" borderId="0" xfId="0" applyNumberFormat="1" applyFont="1" applyFill="1" applyAlignment="1" applyProtection="1">
      <alignment vertical="center"/>
      <protection locked="0"/>
    </xf>
    <xf numFmtId="165" fontId="5" fillId="9" borderId="0" xfId="0" applyNumberFormat="1" applyFont="1" applyFill="1" applyAlignment="1" applyProtection="1">
      <alignment vertical="center"/>
      <protection locked="0"/>
    </xf>
    <xf numFmtId="0" fontId="7" fillId="9" borderId="0" xfId="0" applyFont="1" applyFill="1" applyAlignment="1" applyProtection="1">
      <alignment horizontal="left" vertical="center"/>
      <protection locked="0"/>
    </xf>
    <xf numFmtId="0" fontId="7" fillId="9" borderId="0" xfId="0" applyFont="1" applyFill="1" applyAlignment="1" applyProtection="1">
      <alignment vertical="center"/>
      <protection locked="0"/>
    </xf>
    <xf numFmtId="164" fontId="7" fillId="9" borderId="0" xfId="0" applyNumberFormat="1" applyFont="1" applyFill="1" applyAlignment="1" applyProtection="1">
      <alignment vertical="center"/>
      <protection locked="0"/>
    </xf>
    <xf numFmtId="165" fontId="7" fillId="9" borderId="0" xfId="0" applyNumberFormat="1" applyFont="1" applyFill="1" applyAlignment="1" applyProtection="1">
      <alignment vertical="center"/>
      <protection locked="0"/>
    </xf>
    <xf numFmtId="0" fontId="7" fillId="9" borderId="1" xfId="0" applyFont="1" applyFill="1" applyBorder="1" applyAlignment="1" applyProtection="1">
      <alignment horizontal="center" vertical="center" wrapText="1"/>
    </xf>
    <xf numFmtId="164" fontId="7" fillId="9" borderId="1" xfId="0" applyNumberFormat="1" applyFont="1" applyFill="1" applyBorder="1" applyAlignment="1" applyProtection="1">
      <alignment horizontal="right" vertical="center"/>
    </xf>
    <xf numFmtId="176" fontId="7" fillId="9" borderId="1" xfId="0" applyNumberFormat="1" applyFont="1" applyFill="1" applyBorder="1" applyAlignment="1" applyProtection="1">
      <alignment horizontal="center" vertical="center"/>
    </xf>
    <xf numFmtId="4" fontId="7" fillId="9" borderId="1" xfId="0" applyNumberFormat="1" applyFont="1" applyFill="1" applyBorder="1" applyAlignment="1" applyProtection="1">
      <alignment horizontal="right" vertical="center"/>
      <protection locked="0"/>
    </xf>
    <xf numFmtId="175" fontId="7" fillId="9" borderId="1" xfId="2" applyNumberFormat="1" applyFont="1" applyFill="1" applyBorder="1" applyAlignment="1" applyProtection="1">
      <alignment vertical="center"/>
    </xf>
    <xf numFmtId="0" fontId="7" fillId="9" borderId="1" xfId="0" applyFont="1" applyFill="1" applyBorder="1" applyAlignment="1" applyProtection="1">
      <alignment horizontal="right" vertical="center"/>
    </xf>
    <xf numFmtId="176" fontId="7" fillId="9" borderId="1" xfId="0" applyNumberFormat="1" applyFont="1" applyFill="1" applyBorder="1" applyAlignment="1" applyProtection="1">
      <alignment horizontal="center" vertical="center"/>
      <protection locked="0"/>
    </xf>
    <xf numFmtId="176" fontId="7" fillId="9" borderId="1" xfId="0" applyNumberFormat="1" applyFont="1" applyFill="1" applyBorder="1" applyAlignment="1" applyProtection="1">
      <alignment horizontal="right" vertical="center"/>
    </xf>
    <xf numFmtId="3" fontId="7" fillId="9" borderId="0" xfId="0" applyNumberFormat="1" applyFont="1" applyFill="1" applyAlignment="1" applyProtection="1">
      <alignment vertical="center"/>
      <protection locked="0"/>
    </xf>
    <xf numFmtId="164" fontId="7" fillId="9" borderId="0" xfId="0" applyNumberFormat="1" applyFont="1" applyFill="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right" vertical="center"/>
      <protection locked="0"/>
    </xf>
    <xf numFmtId="0" fontId="6" fillId="7" borderId="0" xfId="0" applyFont="1" applyFill="1" applyAlignment="1" applyProtection="1">
      <alignment vertical="center"/>
      <protection locked="0"/>
    </xf>
    <xf numFmtId="176" fontId="6" fillId="7" borderId="1" xfId="0" applyNumberFormat="1" applyFont="1" applyFill="1" applyBorder="1" applyAlignment="1" applyProtection="1">
      <alignment horizontal="right" vertical="center"/>
      <protection locked="0"/>
    </xf>
    <xf numFmtId="0" fontId="6" fillId="11" borderId="1" xfId="0" applyFont="1" applyFill="1" applyBorder="1" applyAlignment="1" applyProtection="1">
      <alignment horizontal="center" vertical="center"/>
      <protection locked="0"/>
    </xf>
    <xf numFmtId="0" fontId="6" fillId="11" borderId="0" xfId="0" applyFont="1" applyFill="1" applyAlignment="1" applyProtection="1">
      <alignment vertical="center"/>
      <protection locked="0"/>
    </xf>
    <xf numFmtId="0" fontId="6" fillId="11" borderId="1" xfId="0" applyFont="1" applyFill="1" applyBorder="1" applyAlignment="1" applyProtection="1">
      <alignment horizontal="right" vertical="center"/>
      <protection locked="0"/>
    </xf>
    <xf numFmtId="175" fontId="7" fillId="11" borderId="1" xfId="2" applyNumberFormat="1" applyFont="1" applyFill="1" applyBorder="1" applyAlignment="1" applyProtection="1">
      <alignment vertical="center"/>
    </xf>
    <xf numFmtId="0" fontId="6" fillId="9" borderId="0" xfId="0" applyFont="1" applyFill="1" applyAlignment="1" applyProtection="1">
      <alignment horizontal="center" vertical="center"/>
      <protection locked="0"/>
    </xf>
    <xf numFmtId="0" fontId="30" fillId="9" borderId="0" xfId="0" applyFont="1" applyFill="1"/>
    <xf numFmtId="0" fontId="13" fillId="9" borderId="0" xfId="0" applyFont="1" applyFill="1" applyAlignment="1"/>
    <xf numFmtId="0" fontId="8" fillId="9" borderId="0" xfId="0" applyFont="1" applyFill="1" applyAlignment="1" applyProtection="1">
      <alignment vertical="center"/>
      <protection locked="0"/>
    </xf>
    <xf numFmtId="9" fontId="6" fillId="9" borderId="1" xfId="8"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xf>
    <xf numFmtId="0" fontId="7" fillId="9" borderId="2" xfId="0" applyFont="1" applyFill="1" applyBorder="1" applyAlignment="1" applyProtection="1">
      <alignment horizontal="center" vertical="center" wrapText="1"/>
    </xf>
    <xf numFmtId="0" fontId="7" fillId="9" borderId="17" xfId="0" applyFont="1" applyFill="1" applyBorder="1" applyAlignment="1" applyProtection="1">
      <alignment horizontal="center" vertical="center" wrapText="1"/>
    </xf>
    <xf numFmtId="0" fontId="7" fillId="9" borderId="18" xfId="0" applyFont="1" applyFill="1" applyBorder="1" applyAlignment="1" applyProtection="1">
      <alignment horizontal="center" vertical="center" wrapText="1"/>
    </xf>
    <xf numFmtId="0" fontId="7" fillId="9" borderId="4" xfId="0" applyFont="1" applyFill="1" applyBorder="1" applyAlignment="1" applyProtection="1">
      <alignment horizontal="center" vertical="center" wrapText="1"/>
    </xf>
    <xf numFmtId="4" fontId="7" fillId="9" borderId="1" xfId="0" applyNumberFormat="1" applyFont="1" applyFill="1" applyBorder="1" applyAlignment="1" applyProtection="1">
      <alignment horizontal="right" vertical="center"/>
    </xf>
    <xf numFmtId="4" fontId="3" fillId="9" borderId="1" xfId="0" applyNumberFormat="1" applyFont="1" applyFill="1" applyBorder="1" applyAlignment="1" applyProtection="1">
      <alignment horizontal="right" vertical="center"/>
      <protection locked="0"/>
    </xf>
    <xf numFmtId="4" fontId="3" fillId="9" borderId="1" xfId="0" applyNumberFormat="1" applyFont="1" applyFill="1" applyBorder="1" applyAlignment="1" applyProtection="1">
      <alignment horizontal="right" vertical="center"/>
    </xf>
    <xf numFmtId="4" fontId="7" fillId="9" borderId="1" xfId="0" applyNumberFormat="1" applyFont="1" applyFill="1" applyBorder="1" applyAlignment="1" applyProtection="1">
      <alignment horizontal="right" vertical="center" wrapText="1"/>
      <protection locked="0"/>
    </xf>
    <xf numFmtId="4" fontId="7" fillId="9" borderId="1" xfId="0" applyNumberFormat="1" applyFont="1" applyFill="1" applyBorder="1" applyAlignment="1" applyProtection="1">
      <alignment horizontal="right" vertical="center" wrapText="1"/>
    </xf>
    <xf numFmtId="4" fontId="7" fillId="9" borderId="1" xfId="0" applyNumberFormat="1" applyFont="1" applyFill="1" applyBorder="1" applyAlignment="1" applyProtection="1">
      <alignment horizontal="center" vertical="center" wrapText="1"/>
      <protection locked="0"/>
    </xf>
    <xf numFmtId="4" fontId="7" fillId="9" borderId="1" xfId="2" applyNumberFormat="1" applyFont="1" applyFill="1" applyBorder="1" applyAlignment="1" applyProtection="1">
      <alignment horizontal="center" vertical="center" wrapText="1"/>
    </xf>
    <xf numFmtId="4" fontId="7" fillId="9" borderId="1" xfId="0" applyNumberFormat="1" applyFont="1" applyFill="1" applyBorder="1" applyAlignment="1" applyProtection="1">
      <alignment horizontal="center" vertical="center"/>
    </xf>
    <xf numFmtId="4" fontId="7" fillId="9" borderId="1" xfId="0" applyNumberFormat="1" applyFont="1" applyFill="1" applyBorder="1" applyAlignment="1" applyProtection="1">
      <alignment horizontal="center" vertical="center"/>
      <protection locked="0"/>
    </xf>
    <xf numFmtId="4" fontId="7" fillId="9" borderId="2" xfId="0" applyNumberFormat="1" applyFont="1" applyFill="1" applyBorder="1" applyAlignment="1" applyProtection="1">
      <alignment horizontal="right" vertical="center"/>
    </xf>
    <xf numFmtId="4" fontId="7" fillId="9" borderId="17" xfId="0" applyNumberFormat="1" applyFont="1" applyFill="1" applyBorder="1" applyAlignment="1" applyProtection="1">
      <alignment horizontal="right" vertical="center"/>
      <protection locked="0"/>
    </xf>
    <xf numFmtId="4" fontId="4" fillId="9" borderId="1" xfId="0" applyNumberFormat="1" applyFont="1" applyFill="1" applyBorder="1" applyAlignment="1">
      <alignment horizontal="right" vertical="center"/>
    </xf>
    <xf numFmtId="4" fontId="7" fillId="9" borderId="18" xfId="0" applyNumberFormat="1" applyFont="1" applyFill="1" applyBorder="1" applyAlignment="1" applyProtection="1">
      <alignment horizontal="right" vertical="center"/>
    </xf>
    <xf numFmtId="164" fontId="7" fillId="9" borderId="4" xfId="0" applyNumberFormat="1" applyFont="1" applyFill="1" applyBorder="1" applyAlignment="1" applyProtection="1">
      <alignment horizontal="right" vertical="center"/>
    </xf>
    <xf numFmtId="167" fontId="7" fillId="9" borderId="1" xfId="0" applyNumberFormat="1" applyFont="1" applyFill="1" applyBorder="1" applyAlignment="1" applyProtection="1">
      <alignment horizontal="right" vertical="center"/>
    </xf>
    <xf numFmtId="166" fontId="7" fillId="9" borderId="1" xfId="0" applyNumberFormat="1" applyFont="1" applyFill="1" applyBorder="1" applyAlignment="1" applyProtection="1">
      <alignment horizontal="right" vertical="center"/>
      <protection locked="0"/>
    </xf>
    <xf numFmtId="4" fontId="7" fillId="9" borderId="2" xfId="0" applyNumberFormat="1" applyFont="1" applyFill="1" applyBorder="1" applyAlignment="1" applyProtection="1">
      <alignment horizontal="right" vertical="center"/>
      <protection locked="0"/>
    </xf>
    <xf numFmtId="4" fontId="7" fillId="9" borderId="4" xfId="0" applyNumberFormat="1" applyFont="1" applyFill="1" applyBorder="1" applyAlignment="1" applyProtection="1">
      <alignment horizontal="right" vertical="center"/>
      <protection locked="0"/>
    </xf>
    <xf numFmtId="164" fontId="7" fillId="9" borderId="7" xfId="0" applyNumberFormat="1" applyFont="1" applyFill="1" applyBorder="1" applyAlignment="1" applyProtection="1">
      <alignment horizontal="right" vertical="center"/>
    </xf>
    <xf numFmtId="0" fontId="3" fillId="9" borderId="1" xfId="0" applyFont="1" applyFill="1" applyBorder="1" applyAlignment="1" applyProtection="1">
      <alignment horizontal="center" vertical="center"/>
      <protection locked="0"/>
    </xf>
    <xf numFmtId="165" fontId="7" fillId="9" borderId="1" xfId="0" applyNumberFormat="1" applyFont="1" applyFill="1" applyBorder="1" applyAlignment="1" applyProtection="1">
      <alignment horizontal="right" vertical="center"/>
    </xf>
    <xf numFmtId="171" fontId="7" fillId="9" borderId="1" xfId="0" applyNumberFormat="1" applyFont="1" applyFill="1" applyBorder="1" applyAlignment="1" applyProtection="1">
      <alignment horizontal="right" vertical="center"/>
      <protection locked="0"/>
    </xf>
    <xf numFmtId="1" fontId="7" fillId="9" borderId="0" xfId="0" applyNumberFormat="1" applyFont="1" applyFill="1" applyAlignment="1" applyProtection="1">
      <alignment vertical="center"/>
      <protection locked="0"/>
    </xf>
    <xf numFmtId="164" fontId="7" fillId="0" borderId="1" xfId="0" applyNumberFormat="1" applyFont="1" applyFill="1" applyBorder="1" applyAlignment="1" applyProtection="1">
      <alignment horizontal="right" vertical="center"/>
    </xf>
    <xf numFmtId="164" fontId="7" fillId="0" borderId="1" xfId="0" applyNumberFormat="1" applyFont="1" applyFill="1" applyBorder="1" applyAlignment="1" applyProtection="1">
      <alignment horizontal="right" vertical="center"/>
      <protection locked="0"/>
    </xf>
    <xf numFmtId="4" fontId="6" fillId="7" borderId="1" xfId="0" applyNumberFormat="1" applyFont="1" applyFill="1" applyBorder="1" applyAlignment="1" applyProtection="1">
      <alignment horizontal="right" vertical="center"/>
      <protection locked="0"/>
    </xf>
    <xf numFmtId="175" fontId="7" fillId="7" borderId="1" xfId="2" applyNumberFormat="1" applyFont="1" applyFill="1" applyBorder="1" applyAlignment="1" applyProtection="1">
      <alignment vertical="center"/>
    </xf>
    <xf numFmtId="4" fontId="7" fillId="7" borderId="1" xfId="0" applyNumberFormat="1" applyFont="1" applyFill="1" applyBorder="1" applyAlignment="1" applyProtection="1">
      <alignment horizontal="right" vertical="center" wrapText="1"/>
    </xf>
    <xf numFmtId="4" fontId="6" fillId="7" borderId="1" xfId="0" applyNumberFormat="1" applyFont="1" applyFill="1" applyBorder="1" applyAlignment="1" applyProtection="1">
      <alignment horizontal="center" vertical="center"/>
      <protection locked="0"/>
    </xf>
    <xf numFmtId="4" fontId="6" fillId="7" borderId="1" xfId="2" applyNumberFormat="1" applyFont="1" applyFill="1" applyBorder="1" applyAlignment="1" applyProtection="1">
      <alignment horizontal="center" vertical="center"/>
      <protection locked="0"/>
    </xf>
    <xf numFmtId="4" fontId="6" fillId="7" borderId="2" xfId="0" applyNumberFormat="1" applyFont="1" applyFill="1" applyBorder="1" applyAlignment="1" applyProtection="1">
      <alignment horizontal="right" vertical="center"/>
      <protection locked="0"/>
    </xf>
    <xf numFmtId="4" fontId="6" fillId="7" borderId="17" xfId="0" applyNumberFormat="1" applyFont="1" applyFill="1" applyBorder="1" applyAlignment="1" applyProtection="1">
      <alignment horizontal="right" vertical="center"/>
      <protection locked="0"/>
    </xf>
    <xf numFmtId="4" fontId="6" fillId="7" borderId="18" xfId="0" applyNumberFormat="1" applyFont="1" applyFill="1" applyBorder="1" applyAlignment="1" applyProtection="1">
      <alignment horizontal="right" vertical="center"/>
      <protection locked="0"/>
    </xf>
    <xf numFmtId="43" fontId="6" fillId="7" borderId="1" xfId="2" applyFont="1" applyFill="1" applyBorder="1" applyAlignment="1" applyProtection="1">
      <alignment horizontal="center" vertical="center"/>
      <protection locked="0"/>
    </xf>
    <xf numFmtId="43" fontId="6" fillId="7" borderId="1" xfId="2" applyFont="1" applyFill="1" applyBorder="1" applyAlignment="1" applyProtection="1">
      <alignment horizontal="right" vertical="center"/>
      <protection locked="0"/>
    </xf>
    <xf numFmtId="4" fontId="6" fillId="7" borderId="1" xfId="2" applyNumberFormat="1" applyFont="1" applyFill="1" applyBorder="1" applyAlignment="1" applyProtection="1">
      <alignment horizontal="right" vertical="center"/>
      <protection locked="0"/>
    </xf>
    <xf numFmtId="4" fontId="6" fillId="7" borderId="2" xfId="2" applyNumberFormat="1" applyFont="1" applyFill="1" applyBorder="1" applyAlignment="1" applyProtection="1">
      <alignment horizontal="right" vertical="center"/>
      <protection locked="0"/>
    </xf>
    <xf numFmtId="4" fontId="6" fillId="7" borderId="19" xfId="2" applyNumberFormat="1" applyFont="1" applyFill="1" applyBorder="1" applyAlignment="1" applyProtection="1">
      <alignment horizontal="right" vertical="center"/>
      <protection locked="0"/>
    </xf>
    <xf numFmtId="4" fontId="6" fillId="7" borderId="20" xfId="2" applyNumberFormat="1" applyFont="1" applyFill="1" applyBorder="1" applyAlignment="1" applyProtection="1">
      <alignment horizontal="right" vertical="center"/>
      <protection locked="0"/>
    </xf>
    <xf numFmtId="4" fontId="6" fillId="7" borderId="21" xfId="2" applyNumberFormat="1" applyFont="1" applyFill="1" applyBorder="1" applyAlignment="1" applyProtection="1">
      <alignment horizontal="right" vertical="center"/>
      <protection locked="0"/>
    </xf>
    <xf numFmtId="4" fontId="6" fillId="7" borderId="22" xfId="2" applyNumberFormat="1" applyFont="1" applyFill="1" applyBorder="1" applyAlignment="1" applyProtection="1">
      <alignment horizontal="right" vertical="center"/>
      <protection locked="0"/>
    </xf>
    <xf numFmtId="43" fontId="6" fillId="7" borderId="0" xfId="2" applyFont="1" applyFill="1" applyAlignment="1" applyProtection="1">
      <alignment vertical="center"/>
      <protection locked="0"/>
    </xf>
    <xf numFmtId="3" fontId="6" fillId="11" borderId="1" xfId="0" applyNumberFormat="1" applyFont="1" applyFill="1" applyBorder="1" applyAlignment="1" applyProtection="1">
      <alignment horizontal="right" vertical="center"/>
      <protection locked="0"/>
    </xf>
    <xf numFmtId="4" fontId="6" fillId="11" borderId="1" xfId="0" applyNumberFormat="1" applyFont="1" applyFill="1" applyBorder="1" applyAlignment="1" applyProtection="1">
      <alignment horizontal="right" vertical="center"/>
      <protection locked="0"/>
    </xf>
    <xf numFmtId="0" fontId="6" fillId="11" borderId="2" xfId="0" applyFont="1" applyFill="1" applyBorder="1" applyAlignment="1" applyProtection="1">
      <alignment horizontal="right" vertical="center"/>
      <protection locked="0"/>
    </xf>
    <xf numFmtId="0" fontId="6" fillId="11" borderId="17" xfId="0" applyFont="1" applyFill="1" applyBorder="1" applyAlignment="1" applyProtection="1">
      <alignment horizontal="right" vertical="center"/>
      <protection locked="0"/>
    </xf>
    <xf numFmtId="164" fontId="6" fillId="11" borderId="1" xfId="0" applyNumberFormat="1" applyFont="1" applyFill="1" applyBorder="1" applyAlignment="1" applyProtection="1">
      <alignment horizontal="right" vertical="center"/>
      <protection locked="0"/>
    </xf>
    <xf numFmtId="4" fontId="6" fillId="11" borderId="18" xfId="0" applyNumberFormat="1" applyFont="1" applyFill="1" applyBorder="1" applyAlignment="1" applyProtection="1">
      <alignment horizontal="right" vertical="center"/>
      <protection locked="0"/>
    </xf>
    <xf numFmtId="164" fontId="6" fillId="11" borderId="4" xfId="0" applyNumberFormat="1" applyFont="1" applyFill="1" applyBorder="1" applyAlignment="1" applyProtection="1">
      <alignment horizontal="right" vertical="center"/>
      <protection locked="0"/>
    </xf>
    <xf numFmtId="176" fontId="6" fillId="11" borderId="1" xfId="0" applyNumberFormat="1" applyFont="1" applyFill="1" applyBorder="1" applyAlignment="1" applyProtection="1">
      <alignment horizontal="right" vertical="center"/>
      <protection locked="0"/>
    </xf>
    <xf numFmtId="4" fontId="7" fillId="11" borderId="1" xfId="0" applyNumberFormat="1" applyFont="1" applyFill="1" applyBorder="1" applyAlignment="1" applyProtection="1">
      <alignment horizontal="right" vertical="center" wrapText="1"/>
    </xf>
    <xf numFmtId="4" fontId="7" fillId="11" borderId="1" xfId="0" applyNumberFormat="1" applyFont="1" applyFill="1" applyBorder="1" applyAlignment="1" applyProtection="1">
      <alignment horizontal="right" vertical="center" wrapText="1"/>
      <protection locked="0"/>
    </xf>
    <xf numFmtId="4" fontId="6" fillId="11" borderId="1" xfId="0" applyNumberFormat="1" applyFont="1" applyFill="1" applyBorder="1" applyAlignment="1" applyProtection="1">
      <alignment horizontal="center" vertical="center"/>
      <protection locked="0"/>
    </xf>
    <xf numFmtId="4" fontId="6" fillId="11" borderId="1" xfId="2" applyNumberFormat="1" applyFont="1" applyFill="1" applyBorder="1" applyAlignment="1" applyProtection="1">
      <alignment horizontal="center" vertical="center"/>
      <protection locked="0"/>
    </xf>
    <xf numFmtId="4" fontId="6" fillId="11" borderId="2" xfId="0" applyNumberFormat="1" applyFont="1" applyFill="1" applyBorder="1" applyAlignment="1" applyProtection="1">
      <alignment horizontal="right" vertical="center"/>
      <protection locked="0"/>
    </xf>
    <xf numFmtId="4" fontId="6" fillId="11" borderId="17" xfId="0" applyNumberFormat="1" applyFont="1" applyFill="1" applyBorder="1" applyAlignment="1" applyProtection="1">
      <alignment horizontal="right" vertical="center"/>
      <protection locked="0"/>
    </xf>
    <xf numFmtId="164" fontId="6" fillId="11" borderId="7" xfId="0" applyNumberFormat="1" applyFont="1" applyFill="1" applyBorder="1" applyAlignment="1" applyProtection="1">
      <alignment horizontal="right" vertical="center"/>
      <protection locked="0"/>
    </xf>
    <xf numFmtId="164" fontId="7" fillId="11" borderId="1" xfId="0" applyNumberFormat="1" applyFont="1" applyFill="1" applyBorder="1" applyAlignment="1" applyProtection="1">
      <alignment horizontal="right" vertical="center"/>
    </xf>
    <xf numFmtId="167" fontId="7" fillId="11" borderId="1" xfId="0" applyNumberFormat="1" applyFont="1" applyFill="1" applyBorder="1" applyAlignment="1" applyProtection="1">
      <alignment horizontal="right" vertical="center"/>
    </xf>
    <xf numFmtId="4" fontId="7" fillId="11" borderId="1" xfId="2" applyNumberFormat="1" applyFont="1" applyFill="1" applyBorder="1" applyAlignment="1" applyProtection="1">
      <alignment horizontal="center" vertical="center" wrapText="1"/>
    </xf>
    <xf numFmtId="4" fontId="3" fillId="10" borderId="1" xfId="0" applyNumberFormat="1" applyFont="1" applyFill="1" applyBorder="1" applyAlignment="1" applyProtection="1">
      <alignment horizontal="right" vertical="center"/>
      <protection locked="0"/>
    </xf>
    <xf numFmtId="4" fontId="5" fillId="9" borderId="0" xfId="0" applyNumberFormat="1" applyFont="1" applyFill="1" applyAlignment="1" applyProtection="1">
      <alignment horizontal="center" vertical="center"/>
      <protection locked="0"/>
    </xf>
    <xf numFmtId="4" fontId="7" fillId="9" borderId="0" xfId="0" applyNumberFormat="1" applyFont="1" applyFill="1" applyAlignment="1" applyProtection="1">
      <alignment horizontal="center" vertical="center"/>
      <protection locked="0"/>
    </xf>
    <xf numFmtId="0" fontId="16" fillId="9" borderId="1" xfId="0" applyFont="1" applyFill="1" applyBorder="1" applyAlignment="1" applyProtection="1">
      <alignment horizontal="center" vertical="center" wrapText="1"/>
      <protection locked="0"/>
    </xf>
    <xf numFmtId="0" fontId="16" fillId="9"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43" fontId="5" fillId="9" borderId="1" xfId="2" applyFont="1" applyFill="1" applyBorder="1" applyAlignment="1">
      <alignment horizontal="center"/>
    </xf>
    <xf numFmtId="0" fontId="5" fillId="9" borderId="1" xfId="0" applyFont="1" applyFill="1" applyBorder="1"/>
    <xf numFmtId="0" fontId="16" fillId="9" borderId="1" xfId="0" applyFont="1" applyFill="1" applyBorder="1"/>
    <xf numFmtId="43" fontId="16" fillId="9" borderId="1" xfId="2" applyFont="1" applyFill="1" applyBorder="1" applyAlignment="1">
      <alignment horizontal="center"/>
    </xf>
    <xf numFmtId="0" fontId="16" fillId="9" borderId="1" xfId="0" applyFont="1" applyFill="1" applyBorder="1" applyAlignment="1">
      <alignment horizontal="left" indent="2"/>
    </xf>
    <xf numFmtId="0" fontId="16" fillId="9" borderId="1" xfId="0" applyFont="1" applyFill="1" applyBorder="1" applyAlignment="1" applyProtection="1">
      <alignment horizontal="left" vertical="center" wrapText="1" indent="2"/>
      <protection locked="0"/>
    </xf>
    <xf numFmtId="43" fontId="16" fillId="9" borderId="1" xfId="2" applyFont="1" applyFill="1" applyBorder="1"/>
    <xf numFmtId="43" fontId="5" fillId="9" borderId="1" xfId="2" applyFont="1" applyFill="1" applyBorder="1" applyAlignment="1">
      <alignment horizontal="right"/>
    </xf>
    <xf numFmtId="43" fontId="16" fillId="9" borderId="1" xfId="2" applyFont="1" applyFill="1" applyBorder="1" applyAlignment="1">
      <alignment horizontal="right"/>
    </xf>
    <xf numFmtId="43" fontId="5" fillId="9" borderId="1" xfId="2" applyFont="1" applyFill="1" applyBorder="1" applyAlignment="1">
      <alignment vertical="center" wrapText="1"/>
    </xf>
    <xf numFmtId="43" fontId="5" fillId="9" borderId="1" xfId="2" applyFont="1" applyFill="1" applyBorder="1" applyAlignment="1"/>
    <xf numFmtId="43" fontId="16" fillId="9" borderId="1" xfId="2" applyFont="1" applyFill="1" applyBorder="1" applyAlignment="1"/>
    <xf numFmtId="0" fontId="13" fillId="0" borderId="0" xfId="7" applyFont="1" applyFill="1" applyBorder="1" applyAlignment="1">
      <alignment horizontal="justify" vertical="top" wrapText="1"/>
    </xf>
    <xf numFmtId="0" fontId="13" fillId="0" borderId="0" xfId="7" applyFont="1"/>
    <xf numFmtId="0" fontId="12" fillId="0" borderId="0" xfId="0" applyFont="1" applyAlignment="1">
      <alignment horizontal="left" vertical="center"/>
    </xf>
    <xf numFmtId="0" fontId="31" fillId="0" borderId="0" xfId="0" applyFont="1" applyAlignment="1">
      <alignment horizontal="center" vertical="center" wrapText="1"/>
    </xf>
    <xf numFmtId="0" fontId="13" fillId="0" borderId="2" xfId="0" applyFont="1" applyBorder="1" applyAlignment="1">
      <alignment vertical="center" wrapText="1"/>
    </xf>
    <xf numFmtId="0" fontId="31" fillId="0" borderId="0" xfId="0" applyFont="1"/>
    <xf numFmtId="0" fontId="32" fillId="0" borderId="1"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0" fontId="13" fillId="0" borderId="0" xfId="0" applyFont="1" applyFill="1"/>
    <xf numFmtId="4" fontId="7" fillId="10" borderId="1" xfId="0" applyNumberFormat="1" applyFont="1" applyFill="1" applyBorder="1" applyAlignment="1" applyProtection="1">
      <alignment horizontal="right" vertical="center"/>
      <protection locked="0"/>
    </xf>
    <xf numFmtId="4" fontId="3" fillId="6" borderId="1" xfId="0" applyNumberFormat="1" applyFont="1" applyFill="1" applyBorder="1" applyAlignment="1" applyProtection="1">
      <alignment horizontal="right" vertical="center"/>
      <protection locked="0"/>
    </xf>
    <xf numFmtId="4" fontId="7" fillId="6" borderId="1" xfId="0" applyNumberFormat="1" applyFont="1" applyFill="1" applyBorder="1" applyAlignment="1" applyProtection="1">
      <alignment horizontal="right" vertical="center"/>
      <protection locked="0"/>
    </xf>
    <xf numFmtId="43" fontId="0" fillId="0" borderId="0" xfId="0" applyNumberFormat="1"/>
    <xf numFmtId="43" fontId="16" fillId="0" borderId="1" xfId="2" applyFont="1" applyFill="1" applyBorder="1" applyAlignment="1">
      <alignment horizontal="right"/>
    </xf>
    <xf numFmtId="43" fontId="5" fillId="0" borderId="1" xfId="2" applyFont="1" applyFill="1" applyBorder="1" applyAlignment="1">
      <alignment horizontal="right"/>
    </xf>
    <xf numFmtId="3" fontId="7" fillId="9" borderId="1" xfId="0" applyNumberFormat="1" applyFont="1" applyFill="1" applyBorder="1" applyAlignment="1" applyProtection="1">
      <alignment vertical="center" wrapText="1"/>
    </xf>
    <xf numFmtId="0" fontId="7" fillId="9" borderId="1" xfId="0" applyFont="1" applyFill="1" applyBorder="1" applyAlignment="1">
      <alignment vertical="center" wrapText="1"/>
    </xf>
    <xf numFmtId="0" fontId="7" fillId="9" borderId="1" xfId="0" applyFont="1" applyFill="1" applyBorder="1" applyAlignment="1" applyProtection="1">
      <alignment vertical="center" wrapText="1"/>
    </xf>
    <xf numFmtId="0" fontId="4" fillId="9" borderId="1" xfId="0" applyFont="1" applyFill="1" applyBorder="1" applyAlignment="1">
      <alignment vertical="center" wrapText="1"/>
    </xf>
    <xf numFmtId="168" fontId="3" fillId="9" borderId="1" xfId="2" applyNumberFormat="1" applyFont="1" applyFill="1" applyBorder="1" applyAlignment="1" applyProtection="1">
      <alignment vertical="center" wrapText="1"/>
      <protection locked="0"/>
    </xf>
    <xf numFmtId="0" fontId="6" fillId="7" borderId="1" xfId="0" applyFont="1" applyFill="1" applyBorder="1" applyAlignment="1" applyProtection="1">
      <alignment vertical="center" wrapText="1"/>
      <protection locked="0"/>
    </xf>
    <xf numFmtId="43" fontId="6" fillId="7" borderId="1" xfId="2" applyFont="1" applyFill="1" applyBorder="1" applyAlignment="1" applyProtection="1">
      <alignment vertical="center" wrapText="1"/>
      <protection locked="0"/>
    </xf>
    <xf numFmtId="165" fontId="16" fillId="9" borderId="1" xfId="2" applyNumberFormat="1" applyFont="1" applyFill="1" applyBorder="1" applyAlignment="1">
      <alignment vertical="center"/>
    </xf>
    <xf numFmtId="171" fontId="16" fillId="9" borderId="1" xfId="2" applyNumberFormat="1" applyFont="1" applyFill="1" applyBorder="1" applyAlignment="1">
      <alignment horizontal="center" vertical="center"/>
    </xf>
    <xf numFmtId="177" fontId="16" fillId="9" borderId="1" xfId="2" applyNumberFormat="1" applyFont="1" applyFill="1" applyBorder="1" applyAlignment="1">
      <alignment vertical="center"/>
    </xf>
    <xf numFmtId="168" fontId="33" fillId="9" borderId="1" xfId="2" applyNumberFormat="1" applyFont="1" applyFill="1" applyBorder="1" applyAlignment="1">
      <alignment vertical="center"/>
    </xf>
    <xf numFmtId="173" fontId="16" fillId="9" borderId="1" xfId="2" applyNumberFormat="1" applyFont="1" applyFill="1" applyBorder="1" applyAlignment="1">
      <alignment vertical="center"/>
    </xf>
    <xf numFmtId="168" fontId="16" fillId="9" borderId="1" xfId="2" applyNumberFormat="1" applyFont="1" applyFill="1" applyBorder="1" applyAlignment="1">
      <alignment vertical="center"/>
    </xf>
    <xf numFmtId="165" fontId="33" fillId="9" borderId="1" xfId="2" applyNumberFormat="1" applyFont="1" applyFill="1" applyBorder="1" applyAlignment="1">
      <alignment vertical="center"/>
    </xf>
    <xf numFmtId="43" fontId="16" fillId="9" borderId="1" xfId="2" applyFont="1" applyFill="1" applyBorder="1" applyAlignment="1">
      <alignment horizontal="center" vertical="center" wrapText="1"/>
    </xf>
    <xf numFmtId="171" fontId="16" fillId="9" borderId="1" xfId="0" applyNumberFormat="1" applyFont="1" applyFill="1" applyBorder="1" applyAlignment="1" applyProtection="1">
      <alignment vertical="center" wrapText="1"/>
      <protection locked="0"/>
    </xf>
    <xf numFmtId="168" fontId="33" fillId="0" borderId="1" xfId="2" applyNumberFormat="1" applyFont="1" applyFill="1" applyBorder="1" applyAlignment="1">
      <alignment vertical="center"/>
    </xf>
    <xf numFmtId="164" fontId="33" fillId="0" borderId="1" xfId="2" applyNumberFormat="1" applyFont="1" applyFill="1" applyBorder="1" applyAlignment="1">
      <alignment vertical="center"/>
    </xf>
    <xf numFmtId="171" fontId="33" fillId="9" borderId="1" xfId="2" applyNumberFormat="1" applyFont="1" applyFill="1" applyBorder="1" applyAlignment="1">
      <alignment horizontal="center" vertical="center"/>
    </xf>
    <xf numFmtId="168" fontId="16" fillId="0" borderId="1" xfId="2" applyNumberFormat="1" applyFont="1" applyFill="1" applyBorder="1" applyAlignment="1">
      <alignment vertical="center"/>
    </xf>
    <xf numFmtId="164" fontId="16" fillId="0" borderId="1" xfId="2" applyNumberFormat="1" applyFont="1" applyFill="1" applyBorder="1" applyAlignment="1">
      <alignment vertical="center"/>
    </xf>
    <xf numFmtId="168" fontId="16" fillId="4" borderId="1" xfId="2" applyNumberFormat="1" applyFont="1" applyFill="1" applyBorder="1" applyAlignment="1">
      <alignment vertical="center"/>
    </xf>
    <xf numFmtId="43" fontId="16" fillId="0" borderId="1" xfId="2" applyFont="1" applyBorder="1" applyAlignment="1">
      <alignment horizontal="center" vertical="center" wrapText="1"/>
    </xf>
    <xf numFmtId="0" fontId="17" fillId="0" borderId="1" xfId="0" applyFont="1" applyBorder="1" applyAlignment="1">
      <alignment horizontal="center" vertical="center" wrapText="1"/>
    </xf>
    <xf numFmtId="166" fontId="17" fillId="0" borderId="1" xfId="0" applyNumberFormat="1" applyFont="1" applyBorder="1" applyAlignment="1">
      <alignment horizontal="center" vertical="center" wrapText="1"/>
    </xf>
    <xf numFmtId="1" fontId="17" fillId="0" borderId="1" xfId="7" applyNumberFormat="1" applyFont="1" applyBorder="1" applyAlignment="1">
      <alignment horizontal="center" vertical="top" wrapText="1"/>
    </xf>
    <xf numFmtId="1" fontId="17" fillId="0" borderId="1" xfId="7" applyNumberFormat="1" applyFont="1" applyBorder="1" applyAlignment="1">
      <alignment horizontal="center"/>
    </xf>
    <xf numFmtId="0" fontId="17" fillId="0" borderId="8" xfId="7" applyFont="1" applyBorder="1" applyAlignment="1">
      <alignment vertical="center" wrapText="1"/>
    </xf>
    <xf numFmtId="0" fontId="17" fillId="0" borderId="23" xfId="0" applyFont="1" applyBorder="1" applyAlignment="1">
      <alignment vertical="center" wrapText="1"/>
    </xf>
    <xf numFmtId="0" fontId="17" fillId="0" borderId="9" xfId="0" applyFont="1" applyBorder="1" applyAlignment="1">
      <alignment vertical="center" wrapText="1"/>
    </xf>
    <xf numFmtId="0" fontId="18" fillId="0" borderId="2" xfId="7" applyFont="1" applyFill="1" applyBorder="1" applyAlignment="1">
      <alignment vertical="center" wrapText="1"/>
    </xf>
    <xf numFmtId="0" fontId="18" fillId="0" borderId="0" xfId="0" applyFont="1" applyAlignment="1">
      <alignment horizontal="center" vertical="center" wrapText="1"/>
    </xf>
    <xf numFmtId="0" fontId="17" fillId="0" borderId="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0" xfId="0" applyFont="1" applyBorder="1"/>
    <xf numFmtId="43" fontId="34" fillId="0" borderId="0" xfId="2" applyFont="1" applyBorder="1" applyAlignment="1">
      <alignment horizontal="center" vertical="center" wrapText="1"/>
    </xf>
    <xf numFmtId="0" fontId="17" fillId="0" borderId="0" xfId="0" applyFont="1"/>
    <xf numFmtId="0" fontId="17" fillId="0" borderId="1" xfId="7" applyFont="1" applyBorder="1" applyAlignment="1">
      <alignment vertical="center" wrapText="1"/>
    </xf>
    <xf numFmtId="0" fontId="17" fillId="0" borderId="1" xfId="7" applyFont="1" applyBorder="1" applyAlignment="1">
      <alignment horizontal="right" vertical="center" wrapText="1"/>
    </xf>
    <xf numFmtId="0" fontId="19" fillId="0" borderId="1" xfId="0" applyFont="1" applyBorder="1" applyAlignment="1">
      <alignment horizontal="right" vertical="center" wrapText="1"/>
    </xf>
    <xf numFmtId="0" fontId="18" fillId="0" borderId="1" xfId="7" applyFont="1" applyBorder="1" applyAlignment="1">
      <alignment vertical="center" wrapText="1"/>
    </xf>
    <xf numFmtId="0" fontId="18" fillId="0" borderId="8" xfId="7" applyFont="1" applyBorder="1" applyAlignment="1">
      <alignment vertical="center" wrapText="1"/>
    </xf>
    <xf numFmtId="0" fontId="18" fillId="0" borderId="23" xfId="0" applyFont="1" applyBorder="1" applyAlignment="1">
      <alignment vertical="center" wrapText="1"/>
    </xf>
    <xf numFmtId="166" fontId="18" fillId="0" borderId="1" xfId="0" applyNumberFormat="1" applyFont="1" applyBorder="1" applyAlignment="1">
      <alignment horizontal="center" vertical="center" wrapText="1"/>
    </xf>
    <xf numFmtId="0" fontId="18" fillId="0" borderId="2" xfId="7" applyFont="1" applyFill="1" applyBorder="1" applyAlignment="1">
      <alignment horizontal="center" vertical="center" wrapText="1"/>
    </xf>
    <xf numFmtId="0" fontId="17" fillId="0" borderId="12" xfId="0" applyFont="1" applyBorder="1" applyAlignment="1">
      <alignment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17" fillId="0" borderId="1" xfId="0" applyFont="1" applyBorder="1" applyAlignment="1">
      <alignment horizontal="center"/>
    </xf>
    <xf numFmtId="0" fontId="17" fillId="8" borderId="3" xfId="0" applyFont="1" applyFill="1" applyBorder="1" applyAlignment="1">
      <alignment vertical="center" wrapText="1"/>
    </xf>
    <xf numFmtId="0" fontId="17" fillId="8" borderId="3"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8" fillId="0" borderId="0" xfId="7" applyFont="1" applyFill="1" applyBorder="1" applyAlignment="1">
      <alignment horizontal="center" vertical="center" wrapText="1"/>
    </xf>
    <xf numFmtId="166" fontId="18" fillId="0" borderId="0" xfId="0" applyNumberFormat="1" applyFont="1" applyBorder="1" applyAlignment="1">
      <alignment horizontal="center" vertical="center" wrapText="1"/>
    </xf>
    <xf numFmtId="0" fontId="18" fillId="0" borderId="0" xfId="0" applyFont="1"/>
    <xf numFmtId="0" fontId="18" fillId="0" borderId="0" xfId="0" applyFont="1" applyAlignment="1"/>
    <xf numFmtId="178" fontId="7" fillId="9" borderId="0" xfId="0" applyNumberFormat="1" applyFont="1" applyFill="1" applyAlignment="1">
      <alignment vertical="center"/>
    </xf>
    <xf numFmtId="1" fontId="0" fillId="0" borderId="0" xfId="0" applyNumberFormat="1"/>
    <xf numFmtId="2" fontId="17" fillId="0" borderId="1"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xf>
    <xf numFmtId="0" fontId="18" fillId="0" borderId="0" xfId="0" applyFont="1" applyBorder="1" applyAlignment="1">
      <alignment horizontal="left" vertical="center"/>
    </xf>
    <xf numFmtId="166" fontId="17" fillId="0" borderId="0" xfId="4" applyNumberFormat="1" applyFont="1" applyFill="1" applyBorder="1" applyAlignment="1">
      <alignment horizontal="center" vertical="center"/>
    </xf>
    <xf numFmtId="0" fontId="35" fillId="0" borderId="1" xfId="0" applyFont="1" applyBorder="1" applyAlignment="1">
      <alignment horizontal="left" vertical="center" wrapText="1"/>
    </xf>
    <xf numFmtId="0" fontId="35" fillId="0" borderId="1" xfId="0" applyFont="1" applyBorder="1" applyAlignment="1">
      <alignment horizontal="center" vertical="center"/>
    </xf>
    <xf numFmtId="0" fontId="35" fillId="6" borderId="1" xfId="0" applyFont="1" applyFill="1" applyBorder="1" applyAlignment="1">
      <alignment horizontal="center" vertical="center"/>
    </xf>
    <xf numFmtId="0" fontId="35" fillId="0" borderId="1" xfId="0" applyFont="1" applyBorder="1" applyAlignment="1">
      <alignment horizontal="left" wrapText="1"/>
    </xf>
    <xf numFmtId="0" fontId="35" fillId="0" borderId="1" xfId="0" applyFont="1" applyBorder="1" applyAlignment="1">
      <alignment horizontal="center"/>
    </xf>
    <xf numFmtId="2" fontId="35" fillId="0" borderId="1" xfId="0" applyNumberFormat="1" applyFont="1" applyBorder="1" applyAlignment="1">
      <alignment horizontal="center" vertical="center"/>
    </xf>
    <xf numFmtId="1" fontId="17" fillId="6" borderId="1" xfId="0" applyNumberFormat="1" applyFont="1" applyFill="1" applyBorder="1" applyAlignment="1">
      <alignment horizontal="center" vertical="center"/>
    </xf>
    <xf numFmtId="166" fontId="35" fillId="0" borderId="1" xfId="0" applyNumberFormat="1" applyFont="1" applyBorder="1" applyAlignment="1">
      <alignment horizontal="center" vertical="center"/>
    </xf>
    <xf numFmtId="166" fontId="17" fillId="0" borderId="1" xfId="4" applyNumberFormat="1" applyFont="1" applyFill="1" applyBorder="1" applyAlignment="1">
      <alignment horizontal="center" vertical="center"/>
    </xf>
    <xf numFmtId="0" fontId="17" fillId="0" borderId="1" xfId="6" applyFont="1" applyBorder="1" applyAlignment="1">
      <alignment horizontal="left" vertical="center" wrapText="1"/>
    </xf>
    <xf numFmtId="0" fontId="17" fillId="0" borderId="12" xfId="6" applyFont="1" applyBorder="1" applyAlignment="1">
      <alignment horizontal="left" vertical="center" wrapText="1"/>
    </xf>
    <xf numFmtId="2" fontId="17" fillId="0" borderId="12" xfId="4" applyNumberFormat="1" applyFont="1" applyFill="1" applyBorder="1" applyAlignment="1">
      <alignment horizontal="center" vertical="center"/>
    </xf>
    <xf numFmtId="0" fontId="18" fillId="0" borderId="12"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Fill="1" applyAlignment="1">
      <alignment horizontal="center" vertical="center" wrapText="1"/>
    </xf>
    <xf numFmtId="0" fontId="17" fillId="0" borderId="1" xfId="0" applyFont="1" applyBorder="1" applyAlignment="1">
      <alignment horizontal="left" vertical="top" wrapText="1"/>
    </xf>
    <xf numFmtId="2" fontId="17" fillId="0" borderId="1" xfId="0" applyNumberFormat="1" applyFont="1" applyBorder="1" applyAlignment="1">
      <alignment horizontal="center" vertical="top" wrapText="1"/>
    </xf>
    <xf numFmtId="0" fontId="17" fillId="0" borderId="0" xfId="0" applyFont="1" applyFill="1" applyBorder="1" applyAlignment="1">
      <alignment horizontal="center" vertical="top" wrapText="1"/>
    </xf>
    <xf numFmtId="0" fontId="17" fillId="0" borderId="1" xfId="0" applyFont="1" applyBorder="1" applyAlignment="1">
      <alignment horizontal="justify" vertical="top" wrapText="1"/>
    </xf>
    <xf numFmtId="0" fontId="17" fillId="0" borderId="3" xfId="0" applyFont="1" applyBorder="1" applyAlignment="1">
      <alignment vertical="center" wrapText="1"/>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wrapText="1"/>
    </xf>
    <xf numFmtId="0" fontId="17" fillId="0" borderId="1" xfId="0" applyFont="1" applyBorder="1" applyAlignment="1">
      <alignment horizontal="center" wrapText="1"/>
    </xf>
    <xf numFmtId="16" fontId="17" fillId="0" borderId="1" xfId="0" applyNumberFormat="1" applyFont="1" applyBorder="1" applyAlignment="1">
      <alignment horizontal="left" vertical="center" wrapText="1"/>
    </xf>
    <xf numFmtId="43" fontId="17" fillId="0" borderId="1" xfId="2" applyFont="1" applyBorder="1" applyAlignment="1">
      <alignment horizontal="left" vertical="center" wrapText="1"/>
    </xf>
    <xf numFmtId="43" fontId="17" fillId="0" borderId="1" xfId="2" applyFont="1" applyBorder="1" applyAlignment="1">
      <alignment horizontal="center" wrapText="1"/>
    </xf>
    <xf numFmtId="43" fontId="17" fillId="0" borderId="1" xfId="2" applyFont="1" applyBorder="1" applyAlignment="1">
      <alignment horizontal="center"/>
    </xf>
    <xf numFmtId="0" fontId="17" fillId="8" borderId="0" xfId="0" applyFont="1" applyFill="1" applyBorder="1" applyAlignment="1">
      <alignment horizontal="left" vertical="center" wrapText="1"/>
    </xf>
    <xf numFmtId="0" fontId="17" fillId="8" borderId="0" xfId="0" applyFont="1" applyFill="1" applyBorder="1" applyAlignment="1">
      <alignment horizontal="center" vertical="center" wrapText="1"/>
    </xf>
    <xf numFmtId="0" fontId="7" fillId="9" borderId="0" xfId="0" applyFont="1" applyFill="1" applyAlignment="1" applyProtection="1">
      <alignment horizontal="right" vertical="center"/>
      <protection locked="0"/>
    </xf>
    <xf numFmtId="1" fontId="17" fillId="0" borderId="1" xfId="4" applyNumberFormat="1" applyFont="1" applyFill="1" applyBorder="1" applyAlignment="1">
      <alignment horizontal="center" vertical="center"/>
    </xf>
    <xf numFmtId="1" fontId="17" fillId="0" borderId="1" xfId="0" applyNumberFormat="1" applyFont="1" applyBorder="1" applyAlignment="1">
      <alignment horizontal="center" vertical="center"/>
    </xf>
    <xf numFmtId="1" fontId="17" fillId="0" borderId="1" xfId="0" applyNumberFormat="1" applyFont="1" applyBorder="1" applyAlignment="1">
      <alignment horizontal="center" vertical="center" wrapText="1"/>
    </xf>
    <xf numFmtId="3" fontId="7" fillId="9" borderId="1" xfId="0" applyNumberFormat="1" applyFont="1" applyFill="1" applyBorder="1" applyAlignment="1" applyProtection="1">
      <alignment horizontal="center" vertical="center" wrapText="1"/>
    </xf>
    <xf numFmtId="0" fontId="14" fillId="0" borderId="0" xfId="0" applyFont="1" applyAlignment="1">
      <alignment horizontal="center" vertical="center"/>
    </xf>
    <xf numFmtId="0" fontId="13" fillId="0" borderId="1" xfId="0" applyFont="1" applyBorder="1" applyAlignment="1">
      <alignment horizontal="center" vertical="center" wrapText="1"/>
    </xf>
    <xf numFmtId="0" fontId="12" fillId="0" borderId="12" xfId="0" applyFont="1" applyBorder="1" applyAlignment="1">
      <alignment horizontal="center"/>
    </xf>
    <xf numFmtId="0" fontId="17" fillId="0" borderId="1" xfId="0" applyFont="1" applyBorder="1" applyAlignment="1">
      <alignment horizontal="left" vertical="center" wrapText="1"/>
    </xf>
    <xf numFmtId="0" fontId="18"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xf>
    <xf numFmtId="0" fontId="17" fillId="8"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2" fillId="0" borderId="0" xfId="0" applyFont="1" applyAlignment="1">
      <alignment horizontal="center"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2" xfId="0" applyFont="1" applyBorder="1" applyAlignment="1">
      <alignment horizontal="left" wrapText="1"/>
    </xf>
    <xf numFmtId="0" fontId="17" fillId="0" borderId="3" xfId="0" applyFont="1" applyBorder="1" applyAlignment="1">
      <alignment horizontal="left" vertical="center" wrapText="1"/>
    </xf>
    <xf numFmtId="0" fontId="17" fillId="0" borderId="6" xfId="0" applyFont="1" applyBorder="1" applyAlignment="1">
      <alignment horizontal="left" vertical="center" wrapText="1"/>
    </xf>
    <xf numFmtId="0" fontId="17" fillId="0" borderId="5" xfId="0" applyFont="1" applyBorder="1" applyAlignment="1">
      <alignment horizontal="left" vertical="center" wrapText="1"/>
    </xf>
    <xf numFmtId="0" fontId="18" fillId="0" borderId="12" xfId="0" applyFont="1" applyBorder="1" applyAlignment="1">
      <alignment horizontal="left"/>
    </xf>
    <xf numFmtId="0" fontId="8" fillId="9"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9" borderId="1" xfId="0"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168" fontId="7" fillId="0" borderId="2" xfId="2" applyNumberFormat="1" applyFont="1" applyFill="1" applyBorder="1" applyAlignment="1" applyProtection="1">
      <alignment horizontal="center" vertical="center"/>
      <protection locked="0"/>
    </xf>
    <xf numFmtId="168" fontId="7" fillId="0" borderId="4" xfId="2"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68" fontId="7" fillId="0" borderId="2" xfId="3" applyNumberFormat="1" applyFont="1" applyFill="1" applyBorder="1" applyAlignment="1" applyProtection="1">
      <alignment horizontal="center" vertical="center"/>
      <protection locked="0"/>
    </xf>
    <xf numFmtId="168" fontId="7" fillId="0" borderId="4" xfId="3" applyNumberFormat="1"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textRotation="90" wrapText="1"/>
      <protection locked="0"/>
    </xf>
    <xf numFmtId="0" fontId="6" fillId="9" borderId="2" xfId="0" applyFont="1" applyFill="1" applyBorder="1" applyAlignment="1" applyProtection="1">
      <alignment horizontal="center" vertical="center" textRotation="90" wrapText="1"/>
      <protection locked="0"/>
    </xf>
    <xf numFmtId="0" fontId="3" fillId="9" borderId="1" xfId="0" applyFont="1" applyFill="1" applyBorder="1" applyAlignment="1" applyProtection="1">
      <alignment horizontal="center" vertical="center" wrapText="1"/>
      <protection locked="0"/>
    </xf>
    <xf numFmtId="0" fontId="4" fillId="9" borderId="2"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7" fillId="9" borderId="1" xfId="0" applyFont="1" applyFill="1" applyBorder="1" applyAlignment="1" applyProtection="1">
      <alignment horizontal="center" vertical="center" wrapText="1"/>
      <protection locked="0"/>
    </xf>
    <xf numFmtId="0" fontId="3" fillId="9" borderId="2" xfId="0" applyFont="1" applyFill="1" applyBorder="1" applyAlignment="1" applyProtection="1">
      <alignment horizontal="center" vertical="center" wrapText="1"/>
      <protection locked="0"/>
    </xf>
    <xf numFmtId="0" fontId="3" fillId="9" borderId="4" xfId="0" applyFont="1" applyFill="1" applyBorder="1" applyAlignment="1" applyProtection="1">
      <alignment horizontal="center" vertical="center" wrapText="1"/>
      <protection locked="0"/>
    </xf>
    <xf numFmtId="0" fontId="6" fillId="11"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xf>
    <xf numFmtId="0" fontId="6" fillId="11" borderId="1"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protection locked="0"/>
    </xf>
    <xf numFmtId="0" fontId="6" fillId="11" borderId="7" xfId="0"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170" fontId="6" fillId="9" borderId="1" xfId="0" applyNumberFormat="1" applyFont="1" applyFill="1" applyBorder="1" applyAlignment="1" applyProtection="1">
      <alignment horizontal="center" vertical="center" wrapText="1"/>
      <protection locked="0"/>
    </xf>
    <xf numFmtId="0" fontId="6" fillId="9" borderId="1" xfId="0"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textRotation="90" wrapText="1"/>
      <protection locked="0"/>
    </xf>
    <xf numFmtId="164" fontId="6" fillId="9" borderId="1" xfId="0" applyNumberFormat="1" applyFont="1" applyFill="1" applyBorder="1" applyAlignment="1" applyProtection="1">
      <alignment horizontal="center" vertical="center" textRotation="90" wrapText="1"/>
      <protection locked="0"/>
    </xf>
    <xf numFmtId="0" fontId="6" fillId="9" borderId="17" xfId="0" applyFont="1" applyFill="1" applyBorder="1" applyAlignment="1" applyProtection="1">
      <alignment horizontal="center" vertical="center" textRotation="90" wrapText="1"/>
      <protection locked="0"/>
    </xf>
    <xf numFmtId="4" fontId="6" fillId="9" borderId="1" xfId="0" applyNumberFormat="1" applyFont="1" applyFill="1" applyBorder="1" applyAlignment="1" applyProtection="1">
      <alignment horizontal="center" vertical="center" textRotation="90" wrapText="1"/>
      <protection locked="0"/>
    </xf>
    <xf numFmtId="164" fontId="6" fillId="9"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textRotation="90" wrapText="1"/>
      <protection locked="0"/>
    </xf>
    <xf numFmtId="1" fontId="6" fillId="9" borderId="1" xfId="0" applyNumberFormat="1" applyFont="1" applyFill="1" applyBorder="1" applyAlignment="1" applyProtection="1">
      <alignment horizontal="center" vertical="center"/>
      <protection locked="0"/>
    </xf>
    <xf numFmtId="3" fontId="6" fillId="9" borderId="1" xfId="0" applyNumberFormat="1" applyFont="1" applyFill="1" applyBorder="1" applyAlignment="1" applyProtection="1">
      <alignment horizontal="center" vertical="center" textRotation="90" wrapText="1"/>
      <protection locked="0"/>
    </xf>
    <xf numFmtId="0" fontId="6" fillId="9" borderId="8"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6" fillId="9" borderId="11" xfId="0" applyFont="1" applyFill="1" applyBorder="1" applyAlignment="1" applyProtection="1">
      <alignment horizontal="center" vertical="center" wrapText="1"/>
      <protection locked="0"/>
    </xf>
    <xf numFmtId="0" fontId="6" fillId="9" borderId="9" xfId="0" applyFont="1" applyFill="1" applyBorder="1" applyAlignment="1" applyProtection="1">
      <alignment horizontal="center" vertical="center" wrapText="1"/>
      <protection locked="0"/>
    </xf>
    <xf numFmtId="0" fontId="6" fillId="9" borderId="12" xfId="0" applyFont="1" applyFill="1" applyBorder="1" applyAlignment="1" applyProtection="1">
      <alignment horizontal="center" vertical="center" wrapText="1"/>
      <protection locked="0"/>
    </xf>
    <xf numFmtId="0" fontId="6" fillId="9" borderId="13" xfId="0" applyFont="1" applyFill="1" applyBorder="1" applyAlignment="1" applyProtection="1">
      <alignment horizontal="center" vertical="center" wrapText="1"/>
      <protection locked="0"/>
    </xf>
    <xf numFmtId="4" fontId="6" fillId="9" borderId="1" xfId="0" applyNumberFormat="1" applyFont="1" applyFill="1" applyBorder="1" applyAlignment="1" applyProtection="1">
      <alignment horizontal="center" vertical="center" wrapText="1"/>
      <protection locked="0"/>
    </xf>
    <xf numFmtId="0" fontId="6" fillId="9" borderId="3" xfId="0" applyFont="1" applyFill="1" applyBorder="1" applyAlignment="1" applyProtection="1">
      <alignment horizontal="center" vertical="center" textRotation="90" wrapText="1"/>
      <protection locked="0"/>
    </xf>
    <xf numFmtId="0" fontId="6" fillId="9" borderId="6" xfId="0" applyFont="1" applyFill="1" applyBorder="1" applyAlignment="1" applyProtection="1">
      <alignment horizontal="center" vertical="center" textRotation="90" wrapText="1"/>
      <protection locked="0"/>
    </xf>
    <xf numFmtId="0" fontId="6" fillId="9" borderId="5" xfId="0" applyFont="1" applyFill="1" applyBorder="1" applyAlignment="1" applyProtection="1">
      <alignment horizontal="center" vertical="center" textRotation="90" wrapText="1"/>
      <protection locked="0"/>
    </xf>
    <xf numFmtId="0" fontId="6" fillId="9" borderId="2" xfId="0" applyFont="1" applyFill="1" applyBorder="1" applyAlignment="1" applyProtection="1">
      <alignment horizontal="center" vertical="center" wrapText="1"/>
      <protection locked="0"/>
    </xf>
    <xf numFmtId="0" fontId="6" fillId="9" borderId="15" xfId="0" applyFont="1" applyFill="1" applyBorder="1" applyAlignment="1" applyProtection="1">
      <alignment horizontal="center" vertical="center" wrapText="1"/>
      <protection locked="0"/>
    </xf>
    <xf numFmtId="0" fontId="6" fillId="9" borderId="14" xfId="0" applyFont="1" applyFill="1" applyBorder="1" applyAlignment="1" applyProtection="1">
      <alignment horizontal="center" vertical="center" wrapText="1"/>
      <protection locked="0"/>
    </xf>
    <xf numFmtId="0" fontId="6" fillId="9" borderId="16" xfId="0" applyFont="1" applyFill="1" applyBorder="1" applyAlignment="1" applyProtection="1">
      <alignment horizontal="center" vertical="center" wrapText="1"/>
      <protection locked="0"/>
    </xf>
    <xf numFmtId="0" fontId="6" fillId="9" borderId="17" xfId="0" applyFont="1" applyFill="1" applyBorder="1" applyAlignment="1" applyProtection="1">
      <alignment horizontal="center" vertical="center" wrapText="1"/>
      <protection locked="0"/>
    </xf>
    <xf numFmtId="0" fontId="6" fillId="9" borderId="18" xfId="0" applyFont="1" applyFill="1" applyBorder="1" applyAlignment="1" applyProtection="1">
      <alignment horizontal="center" vertical="center" wrapText="1"/>
      <protection locked="0"/>
    </xf>
    <xf numFmtId="0" fontId="6" fillId="9" borderId="4" xfId="0" applyFont="1" applyFill="1" applyBorder="1" applyAlignment="1" applyProtection="1">
      <alignment horizontal="center" vertical="center" wrapText="1"/>
      <protection locked="0"/>
    </xf>
    <xf numFmtId="164" fontId="6" fillId="9" borderId="18" xfId="0" applyNumberFormat="1" applyFont="1" applyFill="1" applyBorder="1" applyAlignment="1" applyProtection="1">
      <alignment horizontal="center" vertical="center" textRotation="90" wrapText="1"/>
      <protection locked="0"/>
    </xf>
    <xf numFmtId="0" fontId="13" fillId="9" borderId="0" xfId="0" applyFont="1" applyFill="1" applyAlignment="1">
      <alignment horizontal="center"/>
    </xf>
    <xf numFmtId="0" fontId="6" fillId="9" borderId="1" xfId="0" applyFont="1" applyFill="1" applyBorder="1" applyAlignment="1" applyProtection="1">
      <alignment horizontal="center" vertical="center" textRotation="90"/>
      <protection locked="0"/>
    </xf>
    <xf numFmtId="0" fontId="6"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textRotation="90" wrapText="1"/>
      <protection locked="0"/>
    </xf>
    <xf numFmtId="0" fontId="6" fillId="4" borderId="8"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9" fontId="6" fillId="0"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textRotation="90" wrapText="1"/>
      <protection locked="0"/>
    </xf>
    <xf numFmtId="0" fontId="6" fillId="0" borderId="3" xfId="0" applyFont="1" applyFill="1" applyBorder="1" applyAlignment="1" applyProtection="1">
      <alignment horizontal="center" vertical="center" textRotation="90" wrapText="1"/>
      <protection locked="0"/>
    </xf>
    <xf numFmtId="0" fontId="6" fillId="0" borderId="6" xfId="0" applyFont="1" applyFill="1" applyBorder="1" applyAlignment="1" applyProtection="1">
      <alignment horizontal="center" vertical="center" textRotation="90" wrapText="1"/>
      <protection locked="0"/>
    </xf>
    <xf numFmtId="0" fontId="6" fillId="0" borderId="5" xfId="0" applyFont="1" applyFill="1" applyBorder="1" applyAlignment="1" applyProtection="1">
      <alignment horizontal="center" vertical="center" textRotation="90" wrapText="1"/>
      <protection locked="0"/>
    </xf>
    <xf numFmtId="0" fontId="7" fillId="0" borderId="1" xfId="0" applyFont="1" applyFill="1" applyBorder="1" applyAlignment="1" applyProtection="1">
      <alignment horizontal="center" vertical="center" wrapText="1"/>
    </xf>
    <xf numFmtId="170" fontId="6" fillId="0" borderId="1" xfId="0" applyNumberFormat="1" applyFont="1" applyFill="1" applyBorder="1" applyAlignment="1" applyProtection="1">
      <alignment horizontal="center" vertical="center" wrapText="1"/>
      <protection locked="0"/>
    </xf>
    <xf numFmtId="164" fontId="6" fillId="0" borderId="3" xfId="0" applyNumberFormat="1" applyFont="1" applyFill="1" applyBorder="1" applyAlignment="1" applyProtection="1">
      <alignment horizontal="center" vertical="center" textRotation="90" wrapText="1"/>
      <protection locked="0"/>
    </xf>
    <xf numFmtId="164" fontId="6" fillId="0" borderId="6" xfId="0" applyNumberFormat="1" applyFont="1" applyFill="1" applyBorder="1" applyAlignment="1" applyProtection="1">
      <alignment horizontal="center" vertical="center" textRotation="90" wrapText="1"/>
      <protection locked="0"/>
    </xf>
    <xf numFmtId="164" fontId="6" fillId="0" borderId="5" xfId="0" applyNumberFormat="1" applyFont="1" applyFill="1" applyBorder="1" applyAlignment="1" applyProtection="1">
      <alignment horizontal="center" vertical="center" textRotation="90" wrapText="1"/>
      <protection locked="0"/>
    </xf>
    <xf numFmtId="0" fontId="6" fillId="0" borderId="2"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18" fillId="0" borderId="0" xfId="0" applyFont="1" applyAlignment="1">
      <alignment horizontal="center" vertical="center" wrapText="1"/>
    </xf>
  </cellXfs>
  <cellStyles count="9">
    <cellStyle name="Гиперссылка" xfId="5" builtinId="8"/>
    <cellStyle name="Обычный" xfId="0" builtinId="0"/>
    <cellStyle name="Обычный 2 2 3" xfId="7"/>
    <cellStyle name="Обычный 3 2" xfId="1"/>
    <cellStyle name="Обычный 4" xfId="6"/>
    <cellStyle name="Обычный_растениеводство" xfId="4"/>
    <cellStyle name="Процентный" xfId="8" builtinId="5"/>
    <cellStyle name="Финансовый" xfId="2" builtinId="3"/>
    <cellStyle name="Финансовый 11" xfId="3"/>
  </cellStyles>
  <dxfs count="173">
    <dxf>
      <fill>
        <patternFill>
          <bgColor indexed="47"/>
        </patternFill>
      </fill>
    </dxf>
    <dxf>
      <fill>
        <patternFill>
          <bgColor indexed="27"/>
        </patternFill>
      </fill>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47"/>
        </patternFill>
      </fill>
    </dxf>
    <dxf>
      <fill>
        <patternFill>
          <bgColor indexed="27"/>
        </patternFill>
      </fill>
    </dxf>
    <dxf>
      <font>
        <condense val="0"/>
        <extend val="0"/>
        <color auto="1"/>
      </font>
      <fill>
        <patternFill>
          <bgColor indexed="44"/>
        </patternFill>
      </fill>
    </dxf>
    <dxf>
      <font>
        <condense val="0"/>
        <extend val="0"/>
        <color indexed="9"/>
      </font>
    </dxf>
    <dxf>
      <fill>
        <patternFill>
          <bgColor indexed="47"/>
        </patternFill>
      </fill>
    </dxf>
    <dxf>
      <fill>
        <patternFill>
          <bgColor indexed="27"/>
        </patternFill>
      </fill>
    </dxf>
    <dxf>
      <fill>
        <patternFill>
          <bgColor indexed="47"/>
        </patternFill>
      </fill>
    </dxf>
    <dxf>
      <fill>
        <patternFill>
          <bgColor indexed="27"/>
        </patternFill>
      </fill>
    </dxf>
    <dxf>
      <font>
        <condense val="0"/>
        <extend val="0"/>
        <color indexed="9"/>
      </font>
    </dxf>
    <dxf>
      <fill>
        <patternFill>
          <bgColor indexed="27"/>
        </patternFill>
      </fill>
    </dxf>
    <dxf>
      <font>
        <condense val="0"/>
        <extend val="0"/>
        <color auto="1"/>
      </font>
      <fill>
        <patternFill>
          <bgColor indexed="44"/>
        </patternFill>
      </fill>
    </dxf>
    <dxf>
      <font>
        <condense val="0"/>
        <extend val="0"/>
        <color indexed="9"/>
      </font>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47"/>
        </patternFill>
      </fill>
    </dxf>
    <dxf>
      <fill>
        <patternFill>
          <bgColor indexed="27"/>
        </patternFill>
      </fill>
    </dxf>
    <dxf>
      <fill>
        <patternFill>
          <bgColor indexed="2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47"/>
        </patternFill>
      </fill>
    </dxf>
    <dxf>
      <fill>
        <patternFill>
          <bgColor indexed="47"/>
        </patternFill>
      </fill>
    </dxf>
    <dxf>
      <fill>
        <patternFill>
          <bgColor indexed="27"/>
        </patternFill>
      </fill>
    </dxf>
    <dxf>
      <fill>
        <patternFill>
          <bgColor indexed="47"/>
        </patternFill>
      </fill>
    </dxf>
    <dxf>
      <font>
        <condense val="0"/>
        <extend val="0"/>
        <color indexed="9"/>
      </font>
    </dxf>
    <dxf>
      <fill>
        <patternFill>
          <bgColor indexed="27"/>
        </patternFill>
      </fill>
    </dxf>
    <dxf>
      <fill>
        <patternFill>
          <bgColor indexed="27"/>
        </patternFill>
      </fill>
    </dxf>
    <dxf>
      <fill>
        <patternFill>
          <bgColor indexed="47"/>
        </patternFill>
      </fill>
    </dxf>
    <dxf>
      <fill>
        <patternFill>
          <bgColor indexed="27"/>
        </patternFill>
      </fill>
    </dxf>
    <dxf>
      <font>
        <condense val="0"/>
        <extend val="0"/>
        <color indexed="9"/>
      </font>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4"/>
        </patternFill>
      </fill>
    </dxf>
    <dxf>
      <font>
        <condense val="0"/>
        <extend val="0"/>
        <color indexed="9"/>
      </font>
    </dxf>
    <dxf>
      <fill>
        <patternFill>
          <bgColor indexed="47"/>
        </patternFill>
      </fill>
    </dxf>
    <dxf>
      <fill>
        <patternFill>
          <bgColor indexed="27"/>
        </patternFill>
      </fill>
    </dxf>
    <dxf>
      <fill>
        <patternFill>
          <bgColor indexed="47"/>
        </patternFill>
      </fill>
    </dxf>
    <dxf>
      <fill>
        <patternFill>
          <bgColor indexed="27"/>
        </patternFill>
      </fill>
    </dxf>
    <dxf>
      <fill>
        <patternFill>
          <bgColor indexed="2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47"/>
        </patternFill>
      </fill>
    </dxf>
    <dxf>
      <fill>
        <patternFill>
          <bgColor indexed="27"/>
        </patternFill>
      </fill>
    </dxf>
    <dxf>
      <fill>
        <patternFill>
          <bgColor indexed="47"/>
        </patternFill>
      </fill>
    </dxf>
    <dxf>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47"/>
        </patternFill>
      </fill>
    </dxf>
    <dxf>
      <fill>
        <patternFill>
          <bgColor indexed="47"/>
        </patternFill>
      </fill>
    </dxf>
    <dxf>
      <fill>
        <patternFill>
          <bgColor indexed="27"/>
        </patternFill>
      </fill>
    </dxf>
    <dxf>
      <fill>
        <patternFill>
          <bgColor indexed="47"/>
        </patternFill>
      </fill>
    </dxf>
    <dxf>
      <font>
        <condense val="0"/>
        <extend val="0"/>
        <color indexed="9"/>
      </font>
    </dxf>
    <dxf>
      <fill>
        <patternFill>
          <bgColor indexed="27"/>
        </patternFill>
      </fill>
    </dxf>
    <dxf>
      <fill>
        <patternFill>
          <bgColor indexed="27"/>
        </patternFill>
      </fill>
    </dxf>
    <dxf>
      <fill>
        <patternFill>
          <bgColor indexed="47"/>
        </patternFill>
      </fill>
    </dxf>
    <dxf>
      <fill>
        <patternFill>
          <bgColor indexed="27"/>
        </patternFill>
      </fill>
    </dxf>
    <dxf>
      <font>
        <condense val="0"/>
        <extend val="0"/>
        <color indexed="9"/>
      </font>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auto="1"/>
      </font>
      <fill>
        <patternFill>
          <bgColor indexed="44"/>
        </patternFill>
      </fill>
    </dxf>
    <dxf>
      <font>
        <condense val="0"/>
        <extend val="0"/>
        <color indexed="9"/>
      </font>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4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44"/>
        </patternFill>
      </fill>
    </dxf>
    <dxf>
      <font>
        <condense val="0"/>
        <extend val="0"/>
        <color indexed="9"/>
      </font>
    </dxf>
    <dxf>
      <fill>
        <patternFill>
          <bgColor indexed="47"/>
        </patternFill>
      </fill>
    </dxf>
    <dxf>
      <fill>
        <patternFill>
          <bgColor indexed="27"/>
        </patternFill>
      </fill>
    </dxf>
    <dxf>
      <fill>
        <patternFill>
          <bgColor indexed="47"/>
        </patternFill>
      </fill>
    </dxf>
    <dxf>
      <font>
        <condense val="0"/>
        <extend val="0"/>
        <color indexed="9"/>
      </font>
    </dxf>
    <dxf>
      <fill>
        <patternFill>
          <bgColor indexed="47"/>
        </patternFill>
      </fill>
    </dxf>
    <dxf>
      <font>
        <condense val="0"/>
        <extend val="0"/>
        <color indexed="9"/>
      </font>
    </dxf>
    <dxf>
      <fill>
        <patternFill>
          <bgColor indexed="47"/>
        </patternFill>
      </fill>
    </dxf>
    <dxf>
      <font>
        <condense val="0"/>
        <extend val="0"/>
        <color indexed="9"/>
      </font>
    </dxf>
    <dxf>
      <fill>
        <patternFill>
          <bgColor indexed="47"/>
        </patternFill>
      </fill>
    </dxf>
    <dxf>
      <font>
        <condense val="0"/>
        <extend val="0"/>
        <color indexed="9"/>
      </font>
    </dxf>
    <dxf>
      <fill>
        <patternFill>
          <bgColor indexed="47"/>
        </patternFill>
      </fill>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ont>
        <condense val="0"/>
        <extend val="0"/>
        <color indexed="9"/>
      </font>
    </dxf>
    <dxf>
      <fill>
        <patternFill>
          <bgColor indexed="47"/>
        </patternFill>
      </fill>
    </dxf>
    <dxf>
      <fill>
        <patternFill>
          <bgColor indexed="27"/>
        </patternFill>
      </fill>
    </dxf>
    <dxf>
      <font>
        <condense val="0"/>
        <extend val="0"/>
        <color indexed="9"/>
      </font>
    </dxf>
    <dxf>
      <fill>
        <patternFill>
          <bgColor indexed="47"/>
        </patternFill>
      </fill>
    </dxf>
    <dxf>
      <fill>
        <patternFill>
          <bgColor indexed="27"/>
        </patternFill>
      </fill>
    </dxf>
    <dxf>
      <font>
        <condense val="0"/>
        <extend val="0"/>
        <color indexed="9"/>
      </font>
    </dxf>
    <dxf>
      <fill>
        <patternFill>
          <bgColor indexed="47"/>
        </patternFill>
      </fill>
    </dxf>
    <dxf>
      <fill>
        <patternFill>
          <bgColor indexed="27"/>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BreakPreview" zoomScaleNormal="100" zoomScaleSheetLayoutView="100" workbookViewId="0">
      <selection activeCell="B48" sqref="B48"/>
    </sheetView>
  </sheetViews>
  <sheetFormatPr defaultRowHeight="12.75" x14ac:dyDescent="0.2"/>
  <cols>
    <col min="1" max="1" width="4" customWidth="1"/>
    <col min="2" max="2" width="94.5703125" customWidth="1"/>
  </cols>
  <sheetData>
    <row r="1" spans="1:3" ht="24" customHeight="1" x14ac:dyDescent="0.2">
      <c r="A1" s="450" t="s">
        <v>576</v>
      </c>
      <c r="B1" s="450"/>
      <c r="C1" s="450"/>
    </row>
    <row r="2" spans="1:3" x14ac:dyDescent="0.2">
      <c r="A2">
        <v>1</v>
      </c>
      <c r="B2" s="185" t="s">
        <v>569</v>
      </c>
    </row>
    <row r="3" spans="1:3" x14ac:dyDescent="0.2">
      <c r="A3">
        <f>A2+1</f>
        <v>2</v>
      </c>
      <c r="B3" s="185" t="s">
        <v>502</v>
      </c>
    </row>
    <row r="4" spans="1:3" x14ac:dyDescent="0.2">
      <c r="A4">
        <f>A3+1</f>
        <v>3</v>
      </c>
      <c r="B4" s="185" t="s">
        <v>214</v>
      </c>
    </row>
    <row r="5" spans="1:3" x14ac:dyDescent="0.2">
      <c r="A5">
        <f t="shared" ref="A5:A6" si="0">A4+1</f>
        <v>4</v>
      </c>
      <c r="B5" s="185" t="s">
        <v>663</v>
      </c>
    </row>
    <row r="6" spans="1:3" x14ac:dyDescent="0.2">
      <c r="A6">
        <f t="shared" si="0"/>
        <v>5</v>
      </c>
      <c r="B6" s="185" t="s">
        <v>664</v>
      </c>
    </row>
  </sheetData>
  <mergeCells count="1">
    <mergeCell ref="A1:C1"/>
  </mergeCells>
  <hyperlinks>
    <hyperlink ref="B2" location="Нормы!A1" display="Нормы расхода семян, удобрений и урожайности"/>
    <hyperlink ref="B3" location="'Исходные данные'!A1" display="Исходные данные"/>
    <hyperlink ref="B4" location="аморт!A1" display="Расчет амортизации основных средств"/>
    <hyperlink ref="B5" location="зерно!A1" display="Нормативно-технологическая карта по производству зерновых культур на зерно"/>
    <hyperlink ref="B6" location="'зерно себ'!A1" display="Себестоимость производства зерновых культур на зерно"/>
  </hyperlinks>
  <pageMargins left="0.69791666666666663" right="3.9375" top="0.75" bottom="0.75" header="0.3" footer="0.3"/>
  <pageSetup paperSize="9" scale="43"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7"/>
    <pageSetUpPr fitToPage="1"/>
  </sheetPr>
  <dimension ref="A1:BY51"/>
  <sheetViews>
    <sheetView workbookViewId="0">
      <selection activeCell="AN17" sqref="AN17:BD19"/>
    </sheetView>
  </sheetViews>
  <sheetFormatPr defaultRowHeight="11.25" x14ac:dyDescent="0.2"/>
  <cols>
    <col min="1" max="1" width="3.85546875" style="15" customWidth="1"/>
    <col min="2" max="2" width="23" style="13" customWidth="1"/>
    <col min="3" max="3" width="4.5703125" style="13" customWidth="1"/>
    <col min="4" max="4" width="7.28515625" style="13" customWidth="1"/>
    <col min="5" max="5" width="9.7109375" style="13" customWidth="1"/>
    <col min="6" max="6" width="6.85546875" style="15" customWidth="1"/>
    <col min="7" max="7" width="6.140625" style="13" customWidth="1"/>
    <col min="8" max="8" width="7.28515625" style="13" customWidth="1"/>
    <col min="9" max="9" width="6.140625" style="13" customWidth="1"/>
    <col min="10" max="10" width="5.42578125" style="13" customWidth="1"/>
    <col min="11" max="11" width="7.28515625" style="13" customWidth="1"/>
    <col min="12" max="12" width="6.140625" style="13" customWidth="1"/>
    <col min="13" max="13" width="6.5703125" style="13" customWidth="1"/>
    <col min="14" max="14" width="7" style="13" customWidth="1"/>
    <col min="15" max="15" width="8.28515625" style="13" customWidth="1"/>
    <col min="16" max="16" width="7.85546875" style="13" customWidth="1"/>
    <col min="17" max="17" width="6.140625" style="18" customWidth="1"/>
    <col min="18" max="20" width="6.140625" style="13" customWidth="1"/>
    <col min="21" max="22" width="8.28515625" style="13" customWidth="1"/>
    <col min="23" max="23" width="7.5703125" style="13" customWidth="1"/>
    <col min="24" max="27" width="8.28515625" style="13" customWidth="1"/>
    <col min="28" max="29" width="7.28515625" style="13" customWidth="1"/>
    <col min="30" max="39" width="8.28515625" style="13" customWidth="1"/>
    <col min="40" max="41" width="6.140625" style="13" customWidth="1"/>
    <col min="42" max="42" width="7.28515625" style="16" customWidth="1"/>
    <col min="43" max="44" width="8.7109375" style="43" customWidth="1"/>
    <col min="45" max="45" width="9.5703125" style="16" customWidth="1"/>
    <col min="46" max="46" width="8.42578125" style="13" customWidth="1"/>
    <col min="47" max="52" width="7.42578125" style="16" customWidth="1"/>
    <col min="53" max="53" width="9.28515625" style="16" customWidth="1"/>
    <col min="54" max="72" width="7.42578125" style="16" customWidth="1"/>
    <col min="73" max="73" width="9" style="16" customWidth="1"/>
    <col min="74" max="75" width="7.42578125" style="16" customWidth="1"/>
    <col min="76" max="76" width="9" style="17" customWidth="1"/>
    <col min="77" max="16384" width="9.140625" style="13"/>
  </cols>
  <sheetData>
    <row r="1" spans="1:77" s="7" customFormat="1" ht="15.75" x14ac:dyDescent="0.2">
      <c r="B1" s="47" t="s">
        <v>54</v>
      </c>
      <c r="E1" s="8"/>
      <c r="G1" s="6"/>
      <c r="H1" s="7" t="s">
        <v>427</v>
      </c>
      <c r="Q1" s="44"/>
      <c r="AP1" s="9"/>
      <c r="AQ1" s="10"/>
      <c r="AR1" s="10"/>
      <c r="AS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11"/>
    </row>
    <row r="2" spans="1:77" s="7" customFormat="1" ht="15.75" x14ac:dyDescent="0.2">
      <c r="B2" s="47" t="s">
        <v>57</v>
      </c>
      <c r="E2" s="8"/>
      <c r="G2" s="6"/>
      <c r="Q2" s="44"/>
      <c r="AP2" s="9"/>
      <c r="AQ2" s="9"/>
      <c r="AR2" s="9"/>
      <c r="AS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11"/>
    </row>
    <row r="3" spans="1:77" s="7" customFormat="1" ht="15.75" x14ac:dyDescent="0.2">
      <c r="B3" s="6"/>
      <c r="E3" s="8"/>
      <c r="G3" s="6"/>
      <c r="Q3" s="44"/>
      <c r="AP3" s="9"/>
      <c r="AQ3" s="9"/>
      <c r="AR3" s="9"/>
      <c r="AS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11"/>
    </row>
    <row r="4" spans="1:77" s="1" customFormat="1" ht="12.75" customHeight="1" x14ac:dyDescent="0.2">
      <c r="B4" s="46" t="s">
        <v>489</v>
      </c>
      <c r="E4" s="2"/>
      <c r="G4" s="46"/>
      <c r="L4" s="46"/>
      <c r="Q4" s="3"/>
      <c r="AP4" s="4"/>
      <c r="AQ4" s="4"/>
      <c r="AR4" s="4"/>
      <c r="AS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5"/>
    </row>
    <row r="5" spans="1:77" s="1" customFormat="1" ht="12.75" customHeight="1" x14ac:dyDescent="0.2">
      <c r="B5" s="171" t="s">
        <v>363</v>
      </c>
      <c r="E5" s="2"/>
      <c r="G5" s="46"/>
      <c r="L5" s="46"/>
      <c r="Q5" s="3"/>
      <c r="AP5" s="4"/>
      <c r="AQ5" s="4"/>
      <c r="AR5" s="4"/>
      <c r="AS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5"/>
    </row>
    <row r="6" spans="1:77" s="1" customFormat="1" ht="12.75" customHeight="1" x14ac:dyDescent="0.2">
      <c r="B6" s="46" t="s">
        <v>361</v>
      </c>
      <c r="D6" s="1">
        <v>100</v>
      </c>
      <c r="E6" s="2"/>
      <c r="F6" s="1" t="s">
        <v>357</v>
      </c>
      <c r="G6" s="46"/>
      <c r="I6" s="1">
        <v>125</v>
      </c>
      <c r="L6" s="46"/>
      <c r="Q6" s="3"/>
      <c r="AP6" s="4"/>
      <c r="AQ6" s="4"/>
      <c r="AR6" s="4"/>
      <c r="AS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5"/>
    </row>
    <row r="7" spans="1:77" s="1" customFormat="1" ht="12.75" customHeight="1" x14ac:dyDescent="0.2">
      <c r="B7" s="46" t="s">
        <v>377</v>
      </c>
      <c r="E7" s="2"/>
      <c r="G7" s="46"/>
      <c r="L7" s="46"/>
      <c r="Q7" s="3"/>
      <c r="AP7" s="4"/>
      <c r="AQ7" s="4"/>
      <c r="AR7" s="4"/>
      <c r="AS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5"/>
    </row>
    <row r="8" spans="1:77" ht="12.75" customHeight="1" x14ac:dyDescent="0.2">
      <c r="B8" s="120" t="s">
        <v>378</v>
      </c>
      <c r="D8" s="13">
        <v>3</v>
      </c>
      <c r="E8" s="14"/>
      <c r="F8" s="13"/>
      <c r="G8" s="45"/>
      <c r="L8" s="45"/>
      <c r="Q8" s="15"/>
      <c r="AQ8" s="16"/>
      <c r="AR8" s="16"/>
    </row>
    <row r="9" spans="1:77" ht="12.75" customHeight="1" x14ac:dyDescent="0.2">
      <c r="B9" s="120" t="s">
        <v>379</v>
      </c>
      <c r="D9" s="13">
        <v>10</v>
      </c>
      <c r="E9" s="14"/>
      <c r="F9" s="13"/>
      <c r="G9" s="45"/>
      <c r="L9" s="45"/>
      <c r="Q9" s="15"/>
      <c r="AQ9" s="16"/>
      <c r="AR9" s="16"/>
    </row>
    <row r="10" spans="1:77" ht="12.75" customHeight="1" x14ac:dyDescent="0.2">
      <c r="B10" s="120" t="s">
        <v>380</v>
      </c>
      <c r="D10" s="13">
        <v>42</v>
      </c>
      <c r="E10" s="14"/>
      <c r="F10" s="13"/>
      <c r="G10" s="45"/>
      <c r="L10" s="45"/>
      <c r="Q10" s="15"/>
      <c r="AQ10" s="16"/>
      <c r="AR10" s="16"/>
    </row>
    <row r="11" spans="1:77" ht="12.75" customHeight="1" x14ac:dyDescent="0.2">
      <c r="B11" s="120" t="s">
        <v>381</v>
      </c>
      <c r="D11" s="13">
        <f>D8*D9*D10</f>
        <v>1260</v>
      </c>
      <c r="E11" s="14"/>
      <c r="F11" s="13"/>
      <c r="G11" s="45"/>
      <c r="L11" s="45"/>
      <c r="Q11" s="15"/>
      <c r="AQ11" s="16"/>
      <c r="AR11" s="16"/>
    </row>
    <row r="12" spans="1:77" ht="12.75" customHeight="1" x14ac:dyDescent="0.2">
      <c r="B12" s="45" t="s">
        <v>368</v>
      </c>
      <c r="D12" s="13">
        <f>D6*I6</f>
        <v>12500</v>
      </c>
      <c r="E12" s="14"/>
      <c r="F12" s="7"/>
      <c r="G12" s="95"/>
      <c r="H12" s="97"/>
      <c r="I12" s="97"/>
      <c r="K12" s="7"/>
      <c r="L12" s="7"/>
      <c r="N12" s="7"/>
      <c r="Q12" s="15"/>
      <c r="AQ12" s="16"/>
      <c r="AR12" s="16"/>
    </row>
    <row r="13" spans="1:77" ht="12.75" customHeight="1" x14ac:dyDescent="0.2">
      <c r="B13" s="45" t="s">
        <v>369</v>
      </c>
      <c r="C13" s="97"/>
      <c r="D13" s="13">
        <f>D12*0.75</f>
        <v>9375</v>
      </c>
      <c r="E13" s="96"/>
      <c r="F13" s="1"/>
      <c r="G13" s="95"/>
      <c r="H13" s="97"/>
      <c r="I13" s="97"/>
      <c r="K13" s="7"/>
      <c r="L13" s="7"/>
      <c r="N13" s="7"/>
      <c r="Q13" s="15"/>
      <c r="AQ13" s="16"/>
      <c r="AR13" s="16"/>
    </row>
    <row r="14" spans="1:77" ht="12.75" customHeight="1" x14ac:dyDescent="0.2">
      <c r="A14" s="45"/>
      <c r="B14" s="97"/>
      <c r="D14" s="96"/>
      <c r="E14" s="1"/>
      <c r="F14" s="95"/>
      <c r="G14" s="97"/>
      <c r="H14" s="97"/>
      <c r="K14" s="7"/>
      <c r="L14" s="7"/>
      <c r="N14" s="7"/>
      <c r="Q14" s="15"/>
      <c r="AQ14" s="16"/>
      <c r="AR14" s="16"/>
    </row>
    <row r="15" spans="1:77" s="6" customFormat="1" ht="39.75" customHeight="1" x14ac:dyDescent="0.2">
      <c r="A15" s="534" t="s">
        <v>55</v>
      </c>
      <c r="B15" s="535" t="s">
        <v>51</v>
      </c>
      <c r="C15" s="535"/>
      <c r="D15" s="535"/>
      <c r="E15" s="535"/>
      <c r="F15" s="534" t="s">
        <v>15</v>
      </c>
      <c r="G15" s="534" t="s">
        <v>34</v>
      </c>
      <c r="H15" s="535" t="s">
        <v>30</v>
      </c>
      <c r="I15" s="535"/>
      <c r="J15" s="534" t="s">
        <v>33</v>
      </c>
      <c r="K15" s="534" t="s">
        <v>39</v>
      </c>
      <c r="L15" s="534" t="s">
        <v>38</v>
      </c>
      <c r="M15" s="535" t="s">
        <v>35</v>
      </c>
      <c r="N15" s="535"/>
      <c r="O15" s="535" t="s">
        <v>315</v>
      </c>
      <c r="P15" s="535"/>
      <c r="Q15" s="535" t="s">
        <v>314</v>
      </c>
      <c r="R15" s="535"/>
      <c r="S15" s="535"/>
      <c r="T15" s="535"/>
      <c r="U15" s="535" t="s">
        <v>316</v>
      </c>
      <c r="V15" s="535"/>
      <c r="W15" s="535" t="s">
        <v>317</v>
      </c>
      <c r="X15" s="535"/>
      <c r="Y15" s="535" t="s">
        <v>318</v>
      </c>
      <c r="Z15" s="535"/>
      <c r="AA15" s="535" t="s">
        <v>319</v>
      </c>
      <c r="AB15" s="535"/>
      <c r="AC15" s="543" t="s">
        <v>425</v>
      </c>
      <c r="AD15" s="544"/>
      <c r="AE15" s="545"/>
      <c r="AF15" s="535" t="s">
        <v>163</v>
      </c>
      <c r="AG15" s="535"/>
      <c r="AH15" s="535" t="s">
        <v>320</v>
      </c>
      <c r="AI15" s="535"/>
      <c r="AJ15" s="535" t="s">
        <v>321</v>
      </c>
      <c r="AK15" s="535"/>
      <c r="AL15" s="535" t="s">
        <v>322</v>
      </c>
      <c r="AM15" s="535"/>
      <c r="AN15" s="535" t="s">
        <v>13</v>
      </c>
      <c r="AO15" s="535"/>
      <c r="AP15" s="535"/>
      <c r="AQ15" s="535"/>
      <c r="AR15" s="535"/>
      <c r="AS15" s="535"/>
      <c r="AT15" s="535" t="s">
        <v>186</v>
      </c>
      <c r="AU15" s="535"/>
      <c r="AV15" s="535"/>
      <c r="AW15" s="535"/>
      <c r="AX15" s="535" t="s">
        <v>329</v>
      </c>
      <c r="AY15" s="535"/>
      <c r="AZ15" s="535"/>
      <c r="BA15" s="535"/>
      <c r="BB15" s="535" t="s">
        <v>371</v>
      </c>
      <c r="BC15" s="535"/>
      <c r="BD15" s="535"/>
      <c r="BE15" s="535"/>
      <c r="BF15" s="535" t="s">
        <v>382</v>
      </c>
      <c r="BG15" s="535"/>
      <c r="BH15" s="535"/>
      <c r="BI15" s="543" t="s">
        <v>396</v>
      </c>
      <c r="BJ15" s="544"/>
      <c r="BK15" s="544"/>
      <c r="BL15" s="544"/>
      <c r="BM15" s="545"/>
      <c r="BN15" s="535" t="s">
        <v>312</v>
      </c>
      <c r="BO15" s="535"/>
      <c r="BP15" s="535"/>
      <c r="BQ15" s="535"/>
      <c r="BR15" s="535"/>
      <c r="BS15" s="535"/>
      <c r="BT15" s="535"/>
      <c r="BU15" s="535" t="s">
        <v>48</v>
      </c>
      <c r="BV15" s="535"/>
      <c r="BW15" s="535" t="s">
        <v>326</v>
      </c>
      <c r="BX15" s="549" t="s">
        <v>58</v>
      </c>
      <c r="BY15" s="549"/>
    </row>
    <row r="16" spans="1:77" s="6" customFormat="1" ht="40.5" customHeight="1" x14ac:dyDescent="0.2">
      <c r="A16" s="534"/>
      <c r="B16" s="535"/>
      <c r="C16" s="535"/>
      <c r="D16" s="535"/>
      <c r="E16" s="535"/>
      <c r="F16" s="534"/>
      <c r="G16" s="534"/>
      <c r="H16" s="535"/>
      <c r="I16" s="535"/>
      <c r="J16" s="534"/>
      <c r="K16" s="534"/>
      <c r="L16" s="534"/>
      <c r="M16" s="535"/>
      <c r="N16" s="535"/>
      <c r="O16" s="535"/>
      <c r="P16" s="535"/>
      <c r="Q16" s="535"/>
      <c r="R16" s="535"/>
      <c r="S16" s="535"/>
      <c r="T16" s="535"/>
      <c r="U16" s="535"/>
      <c r="V16" s="535"/>
      <c r="W16" s="535"/>
      <c r="X16" s="535"/>
      <c r="Y16" s="535"/>
      <c r="Z16" s="535"/>
      <c r="AA16" s="535"/>
      <c r="AB16" s="535"/>
      <c r="AC16" s="546"/>
      <c r="AD16" s="547"/>
      <c r="AE16" s="548"/>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46"/>
      <c r="BJ16" s="547"/>
      <c r="BK16" s="547"/>
      <c r="BL16" s="547"/>
      <c r="BM16" s="548"/>
      <c r="BN16" s="535"/>
      <c r="BO16" s="535"/>
      <c r="BP16" s="535"/>
      <c r="BQ16" s="535"/>
      <c r="BR16" s="535"/>
      <c r="BS16" s="535"/>
      <c r="BT16" s="535"/>
      <c r="BU16" s="535"/>
      <c r="BV16" s="535"/>
      <c r="BW16" s="535"/>
      <c r="BX16" s="549"/>
      <c r="BY16" s="549"/>
    </row>
    <row r="17" spans="1:77" s="6" customFormat="1" ht="45.75" customHeight="1" x14ac:dyDescent="0.2">
      <c r="A17" s="534"/>
      <c r="B17" s="535" t="s">
        <v>12</v>
      </c>
      <c r="C17" s="535" t="s">
        <v>40</v>
      </c>
      <c r="D17" s="535"/>
      <c r="E17" s="535"/>
      <c r="F17" s="534"/>
      <c r="G17" s="534"/>
      <c r="H17" s="534" t="s">
        <v>31</v>
      </c>
      <c r="I17" s="534" t="s">
        <v>32</v>
      </c>
      <c r="J17" s="534"/>
      <c r="K17" s="534"/>
      <c r="L17" s="534"/>
      <c r="M17" s="534" t="s">
        <v>36</v>
      </c>
      <c r="N17" s="534" t="s">
        <v>37</v>
      </c>
      <c r="O17" s="477">
        <v>7</v>
      </c>
      <c r="P17" s="477"/>
      <c r="Q17" s="535" t="s">
        <v>36</v>
      </c>
      <c r="R17" s="535"/>
      <c r="S17" s="535" t="s">
        <v>37</v>
      </c>
      <c r="T17" s="535"/>
      <c r="U17" s="534" t="s">
        <v>16</v>
      </c>
      <c r="V17" s="534" t="s">
        <v>17</v>
      </c>
      <c r="W17" s="550"/>
      <c r="X17" s="550"/>
      <c r="Y17" s="71">
        <v>0.1</v>
      </c>
      <c r="Z17" s="71">
        <v>0.05</v>
      </c>
      <c r="AA17" s="556"/>
      <c r="AB17" s="556"/>
      <c r="AC17" s="552" t="s">
        <v>18</v>
      </c>
      <c r="AD17" s="552" t="s">
        <v>16</v>
      </c>
      <c r="AE17" s="552" t="s">
        <v>17</v>
      </c>
      <c r="AF17" s="556">
        <f ca="1">(((((AD51/O51)*167)/29*(52/12)))/((AD51/O51)*167))</f>
        <v>0.14942528735632182</v>
      </c>
      <c r="AG17" s="556"/>
      <c r="AH17" s="534" t="s">
        <v>16</v>
      </c>
      <c r="AI17" s="534" t="s">
        <v>17</v>
      </c>
      <c r="AJ17" s="556">
        <v>0.3</v>
      </c>
      <c r="AK17" s="556"/>
      <c r="AL17" s="534" t="s">
        <v>16</v>
      </c>
      <c r="AM17" s="534" t="s">
        <v>17</v>
      </c>
      <c r="AN17" s="534" t="s">
        <v>328</v>
      </c>
      <c r="AO17" s="534" t="s">
        <v>42</v>
      </c>
      <c r="AP17" s="509" t="s">
        <v>49</v>
      </c>
      <c r="AQ17" s="509" t="s">
        <v>43</v>
      </c>
      <c r="AR17" s="509" t="s">
        <v>323</v>
      </c>
      <c r="AS17" s="509" t="s">
        <v>324</v>
      </c>
      <c r="AT17" s="534" t="s">
        <v>213</v>
      </c>
      <c r="AU17" s="509" t="s">
        <v>187</v>
      </c>
      <c r="AV17" s="509" t="s">
        <v>325</v>
      </c>
      <c r="AW17" s="509" t="s">
        <v>324</v>
      </c>
      <c r="AX17" s="534" t="s">
        <v>213</v>
      </c>
      <c r="AY17" s="509" t="s">
        <v>187</v>
      </c>
      <c r="AZ17" s="509" t="s">
        <v>325</v>
      </c>
      <c r="BA17" s="509" t="s">
        <v>324</v>
      </c>
      <c r="BB17" s="534" t="s">
        <v>372</v>
      </c>
      <c r="BC17" s="509" t="s">
        <v>187</v>
      </c>
      <c r="BD17" s="509" t="s">
        <v>325</v>
      </c>
      <c r="BE17" s="509" t="s">
        <v>324</v>
      </c>
      <c r="BF17" s="509" t="s">
        <v>383</v>
      </c>
      <c r="BG17" s="509" t="s">
        <v>325</v>
      </c>
      <c r="BH17" s="509" t="s">
        <v>324</v>
      </c>
      <c r="BI17" s="549" t="s">
        <v>45</v>
      </c>
      <c r="BJ17" s="549"/>
      <c r="BK17" s="549" t="s">
        <v>46</v>
      </c>
      <c r="BL17" s="549"/>
      <c r="BM17" s="557" t="s">
        <v>398</v>
      </c>
      <c r="BN17" s="549" t="s">
        <v>307</v>
      </c>
      <c r="BO17" s="549"/>
      <c r="BP17" s="549" t="s">
        <v>308</v>
      </c>
      <c r="BQ17" s="549"/>
      <c r="BR17" s="549" t="s">
        <v>309</v>
      </c>
      <c r="BS17" s="549"/>
      <c r="BT17" s="534" t="s">
        <v>310</v>
      </c>
      <c r="BU17" s="509" t="s">
        <v>311</v>
      </c>
      <c r="BV17" s="509" t="s">
        <v>327</v>
      </c>
      <c r="BW17" s="535"/>
      <c r="BX17" s="509" t="s">
        <v>50</v>
      </c>
      <c r="BY17" s="509" t="s">
        <v>14</v>
      </c>
    </row>
    <row r="18" spans="1:77" s="6" customFormat="1" ht="48" customHeight="1" x14ac:dyDescent="0.2">
      <c r="A18" s="534"/>
      <c r="B18" s="535"/>
      <c r="C18" s="534" t="s">
        <v>41</v>
      </c>
      <c r="D18" s="534" t="s">
        <v>53</v>
      </c>
      <c r="E18" s="534" t="s">
        <v>52</v>
      </c>
      <c r="F18" s="534"/>
      <c r="G18" s="534"/>
      <c r="H18" s="534"/>
      <c r="I18" s="534"/>
      <c r="J18" s="534"/>
      <c r="K18" s="534"/>
      <c r="L18" s="534"/>
      <c r="M18" s="534"/>
      <c r="N18" s="534"/>
      <c r="O18" s="534" t="s">
        <v>36</v>
      </c>
      <c r="P18" s="534" t="s">
        <v>37</v>
      </c>
      <c r="Q18" s="536" t="s">
        <v>19</v>
      </c>
      <c r="R18" s="534" t="s">
        <v>20</v>
      </c>
      <c r="S18" s="536" t="s">
        <v>19</v>
      </c>
      <c r="T18" s="534" t="s">
        <v>20</v>
      </c>
      <c r="U18" s="534"/>
      <c r="V18" s="534"/>
      <c r="W18" s="534" t="s">
        <v>16</v>
      </c>
      <c r="X18" s="534" t="s">
        <v>17</v>
      </c>
      <c r="Y18" s="534" t="s">
        <v>172</v>
      </c>
      <c r="Z18" s="534" t="s">
        <v>173</v>
      </c>
      <c r="AA18" s="534" t="s">
        <v>16</v>
      </c>
      <c r="AB18" s="534" t="s">
        <v>17</v>
      </c>
      <c r="AC18" s="553"/>
      <c r="AD18" s="553"/>
      <c r="AE18" s="553"/>
      <c r="AF18" s="534" t="s">
        <v>16</v>
      </c>
      <c r="AG18" s="534" t="s">
        <v>17</v>
      </c>
      <c r="AH18" s="534"/>
      <c r="AI18" s="534"/>
      <c r="AJ18" s="534" t="s">
        <v>16</v>
      </c>
      <c r="AK18" s="534" t="s">
        <v>17</v>
      </c>
      <c r="AL18" s="534"/>
      <c r="AM18" s="534"/>
      <c r="AN18" s="534"/>
      <c r="AO18" s="534"/>
      <c r="AP18" s="509"/>
      <c r="AQ18" s="509"/>
      <c r="AR18" s="509"/>
      <c r="AS18" s="509"/>
      <c r="AT18" s="534"/>
      <c r="AU18" s="509"/>
      <c r="AV18" s="509"/>
      <c r="AW18" s="509"/>
      <c r="AX18" s="534"/>
      <c r="AY18" s="509"/>
      <c r="AZ18" s="509"/>
      <c r="BA18" s="509"/>
      <c r="BB18" s="534"/>
      <c r="BC18" s="509"/>
      <c r="BD18" s="509"/>
      <c r="BE18" s="509"/>
      <c r="BF18" s="509"/>
      <c r="BG18" s="509"/>
      <c r="BH18" s="509"/>
      <c r="BI18" s="509" t="s">
        <v>47</v>
      </c>
      <c r="BJ18" s="509" t="s">
        <v>313</v>
      </c>
      <c r="BK18" s="509" t="s">
        <v>47</v>
      </c>
      <c r="BL18" s="509" t="s">
        <v>313</v>
      </c>
      <c r="BM18" s="558"/>
      <c r="BN18" s="509" t="s">
        <v>306</v>
      </c>
      <c r="BO18" s="509" t="s">
        <v>313</v>
      </c>
      <c r="BP18" s="509" t="s">
        <v>306</v>
      </c>
      <c r="BQ18" s="509" t="s">
        <v>313</v>
      </c>
      <c r="BR18" s="509" t="s">
        <v>306</v>
      </c>
      <c r="BS18" s="509" t="s">
        <v>313</v>
      </c>
      <c r="BT18" s="534"/>
      <c r="BU18" s="509"/>
      <c r="BV18" s="509"/>
      <c r="BW18" s="535"/>
      <c r="BX18" s="509"/>
      <c r="BY18" s="509"/>
    </row>
    <row r="19" spans="1:77" s="6" customFormat="1" ht="76.5" customHeight="1" x14ac:dyDescent="0.2">
      <c r="A19" s="534"/>
      <c r="B19" s="535"/>
      <c r="C19" s="534"/>
      <c r="D19" s="534"/>
      <c r="E19" s="534"/>
      <c r="F19" s="534"/>
      <c r="G19" s="534"/>
      <c r="H19" s="534"/>
      <c r="I19" s="534"/>
      <c r="J19" s="534"/>
      <c r="K19" s="534"/>
      <c r="L19" s="534"/>
      <c r="M19" s="534"/>
      <c r="N19" s="534"/>
      <c r="O19" s="534"/>
      <c r="P19" s="534"/>
      <c r="Q19" s="536"/>
      <c r="R19" s="534"/>
      <c r="S19" s="536"/>
      <c r="T19" s="534"/>
      <c r="U19" s="534"/>
      <c r="V19" s="534"/>
      <c r="W19" s="534"/>
      <c r="X19" s="534"/>
      <c r="Y19" s="534"/>
      <c r="Z19" s="534"/>
      <c r="AA19" s="534"/>
      <c r="AB19" s="534"/>
      <c r="AC19" s="554"/>
      <c r="AD19" s="554"/>
      <c r="AE19" s="554"/>
      <c r="AF19" s="534"/>
      <c r="AG19" s="534"/>
      <c r="AH19" s="534"/>
      <c r="AI19" s="534"/>
      <c r="AJ19" s="534"/>
      <c r="AK19" s="534"/>
      <c r="AL19" s="534"/>
      <c r="AM19" s="534"/>
      <c r="AN19" s="534"/>
      <c r="AO19" s="534"/>
      <c r="AP19" s="509"/>
      <c r="AQ19" s="509"/>
      <c r="AR19" s="509"/>
      <c r="AS19" s="509"/>
      <c r="AT19" s="534"/>
      <c r="AU19" s="509"/>
      <c r="AV19" s="509"/>
      <c r="AW19" s="509"/>
      <c r="AX19" s="534"/>
      <c r="AY19" s="509"/>
      <c r="AZ19" s="509"/>
      <c r="BA19" s="509"/>
      <c r="BB19" s="534"/>
      <c r="BC19" s="509"/>
      <c r="BD19" s="509"/>
      <c r="BE19" s="509"/>
      <c r="BF19" s="509"/>
      <c r="BG19" s="509"/>
      <c r="BH19" s="509"/>
      <c r="BI19" s="509"/>
      <c r="BJ19" s="509"/>
      <c r="BK19" s="509"/>
      <c r="BL19" s="509"/>
      <c r="BM19" s="559"/>
      <c r="BN19" s="509"/>
      <c r="BO19" s="509"/>
      <c r="BP19" s="509"/>
      <c r="BQ19" s="509"/>
      <c r="BR19" s="509"/>
      <c r="BS19" s="509"/>
      <c r="BT19" s="534"/>
      <c r="BU19" s="509"/>
      <c r="BV19" s="509"/>
      <c r="BW19" s="535"/>
      <c r="BX19" s="509"/>
      <c r="BY19" s="509"/>
    </row>
    <row r="20" spans="1:77" x14ac:dyDescent="0.2">
      <c r="A20" s="20">
        <f>COLUMN(A20)</f>
        <v>1</v>
      </c>
      <c r="B20" s="555">
        <f>COLUMN(B20)</f>
        <v>2</v>
      </c>
      <c r="C20" s="555"/>
      <c r="D20" s="555"/>
      <c r="E20" s="555"/>
      <c r="F20" s="20">
        <v>3</v>
      </c>
      <c r="G20" s="20">
        <f t="shared" ref="G20:BU20" si="0">F20+1</f>
        <v>4</v>
      </c>
      <c r="H20" s="20">
        <f t="shared" si="0"/>
        <v>5</v>
      </c>
      <c r="I20" s="20">
        <f t="shared" si="0"/>
        <v>6</v>
      </c>
      <c r="J20" s="20">
        <f t="shared" si="0"/>
        <v>7</v>
      </c>
      <c r="K20" s="20">
        <f t="shared" si="0"/>
        <v>8</v>
      </c>
      <c r="L20" s="20">
        <f t="shared" si="0"/>
        <v>9</v>
      </c>
      <c r="M20" s="20">
        <f t="shared" si="0"/>
        <v>10</v>
      </c>
      <c r="N20" s="20">
        <f t="shared" si="0"/>
        <v>11</v>
      </c>
      <c r="O20" s="20">
        <f t="shared" si="0"/>
        <v>12</v>
      </c>
      <c r="P20" s="20">
        <f t="shared" si="0"/>
        <v>13</v>
      </c>
      <c r="Q20" s="20">
        <f t="shared" si="0"/>
        <v>14</v>
      </c>
      <c r="R20" s="20">
        <f t="shared" si="0"/>
        <v>15</v>
      </c>
      <c r="S20" s="20">
        <f t="shared" si="0"/>
        <v>16</v>
      </c>
      <c r="T20" s="20">
        <f t="shared" si="0"/>
        <v>17</v>
      </c>
      <c r="U20" s="20">
        <f t="shared" si="0"/>
        <v>18</v>
      </c>
      <c r="V20" s="20">
        <f t="shared" si="0"/>
        <v>19</v>
      </c>
      <c r="W20" s="20">
        <f t="shared" si="0"/>
        <v>20</v>
      </c>
      <c r="X20" s="20">
        <f t="shared" si="0"/>
        <v>21</v>
      </c>
      <c r="Y20" s="20">
        <f t="shared" si="0"/>
        <v>22</v>
      </c>
      <c r="Z20" s="20">
        <f t="shared" si="0"/>
        <v>23</v>
      </c>
      <c r="AA20" s="20">
        <f t="shared" si="0"/>
        <v>24</v>
      </c>
      <c r="AB20" s="20">
        <f t="shared" si="0"/>
        <v>25</v>
      </c>
      <c r="AC20" s="20">
        <f t="shared" si="0"/>
        <v>26</v>
      </c>
      <c r="AD20" s="20">
        <f t="shared" si="0"/>
        <v>27</v>
      </c>
      <c r="AE20" s="20">
        <f t="shared" si="0"/>
        <v>28</v>
      </c>
      <c r="AF20" s="20">
        <f t="shared" si="0"/>
        <v>29</v>
      </c>
      <c r="AG20" s="20">
        <f t="shared" si="0"/>
        <v>30</v>
      </c>
      <c r="AH20" s="20">
        <f t="shared" si="0"/>
        <v>31</v>
      </c>
      <c r="AI20" s="20">
        <f t="shared" si="0"/>
        <v>32</v>
      </c>
      <c r="AJ20" s="20">
        <f t="shared" si="0"/>
        <v>33</v>
      </c>
      <c r="AK20" s="20">
        <f t="shared" si="0"/>
        <v>34</v>
      </c>
      <c r="AL20" s="20">
        <f t="shared" si="0"/>
        <v>35</v>
      </c>
      <c r="AM20" s="20">
        <f t="shared" si="0"/>
        <v>36</v>
      </c>
      <c r="AN20" s="20">
        <f t="shared" si="0"/>
        <v>37</v>
      </c>
      <c r="AO20" s="20">
        <f t="shared" si="0"/>
        <v>38</v>
      </c>
      <c r="AP20" s="20">
        <f t="shared" si="0"/>
        <v>39</v>
      </c>
      <c r="AQ20" s="20">
        <f t="shared" si="0"/>
        <v>40</v>
      </c>
      <c r="AR20" s="20">
        <f t="shared" si="0"/>
        <v>41</v>
      </c>
      <c r="AS20" s="20">
        <f t="shared" si="0"/>
        <v>42</v>
      </c>
      <c r="AT20" s="20">
        <f t="shared" si="0"/>
        <v>43</v>
      </c>
      <c r="AU20" s="20">
        <f t="shared" si="0"/>
        <v>44</v>
      </c>
      <c r="AV20" s="20">
        <f t="shared" si="0"/>
        <v>45</v>
      </c>
      <c r="AW20" s="20">
        <f t="shared" si="0"/>
        <v>46</v>
      </c>
      <c r="AX20" s="20">
        <f t="shared" si="0"/>
        <v>47</v>
      </c>
      <c r="AY20" s="20">
        <f t="shared" si="0"/>
        <v>48</v>
      </c>
      <c r="AZ20" s="20">
        <f t="shared" si="0"/>
        <v>49</v>
      </c>
      <c r="BA20" s="20">
        <f t="shared" si="0"/>
        <v>50</v>
      </c>
      <c r="BB20" s="20">
        <f t="shared" si="0"/>
        <v>51</v>
      </c>
      <c r="BC20" s="20">
        <f t="shared" si="0"/>
        <v>52</v>
      </c>
      <c r="BD20" s="20">
        <f t="shared" si="0"/>
        <v>53</v>
      </c>
      <c r="BE20" s="20">
        <f t="shared" si="0"/>
        <v>54</v>
      </c>
      <c r="BF20" s="20">
        <f t="shared" si="0"/>
        <v>55</v>
      </c>
      <c r="BG20" s="20">
        <f t="shared" si="0"/>
        <v>56</v>
      </c>
      <c r="BH20" s="20">
        <f t="shared" si="0"/>
        <v>57</v>
      </c>
      <c r="BI20" s="20">
        <f t="shared" si="0"/>
        <v>58</v>
      </c>
      <c r="BJ20" s="20">
        <f t="shared" si="0"/>
        <v>59</v>
      </c>
      <c r="BK20" s="20">
        <f t="shared" si="0"/>
        <v>60</v>
      </c>
      <c r="BL20" s="20">
        <f t="shared" si="0"/>
        <v>61</v>
      </c>
      <c r="BM20" s="20">
        <f t="shared" si="0"/>
        <v>62</v>
      </c>
      <c r="BN20" s="20">
        <f t="shared" si="0"/>
        <v>63</v>
      </c>
      <c r="BO20" s="20">
        <f t="shared" si="0"/>
        <v>64</v>
      </c>
      <c r="BP20" s="20">
        <f t="shared" si="0"/>
        <v>65</v>
      </c>
      <c r="BQ20" s="20">
        <f t="shared" si="0"/>
        <v>66</v>
      </c>
      <c r="BR20" s="20">
        <f t="shared" si="0"/>
        <v>67</v>
      </c>
      <c r="BS20" s="20">
        <f t="shared" si="0"/>
        <v>68</v>
      </c>
      <c r="BT20" s="20">
        <f t="shared" si="0"/>
        <v>69</v>
      </c>
      <c r="BU20" s="20">
        <f t="shared" si="0"/>
        <v>70</v>
      </c>
      <c r="BV20" s="20">
        <f>BU20+1</f>
        <v>71</v>
      </c>
      <c r="BW20" s="20">
        <f>BV20+1</f>
        <v>72</v>
      </c>
      <c r="BX20" s="20">
        <f>BW20+1</f>
        <v>73</v>
      </c>
      <c r="BY20" s="20">
        <f>BX20+1</f>
        <v>74</v>
      </c>
    </row>
    <row r="21" spans="1:77" s="7" customFormat="1" ht="12.75" customHeight="1" x14ac:dyDescent="0.2">
      <c r="A21" s="21"/>
      <c r="B21" s="477" t="s">
        <v>56</v>
      </c>
      <c r="C21" s="477"/>
      <c r="D21" s="477"/>
      <c r="E21" s="477"/>
      <c r="F21" s="22"/>
      <c r="G21" s="23"/>
      <c r="H21" s="23"/>
      <c r="I21" s="23"/>
      <c r="J21" s="23"/>
      <c r="K21" s="23"/>
      <c r="L21" s="23"/>
      <c r="M21" s="23"/>
      <c r="N21" s="23"/>
      <c r="O21" s="23"/>
      <c r="P21" s="23"/>
      <c r="Q21" s="24"/>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5"/>
      <c r="AQ21" s="26"/>
      <c r="AR21" s="26"/>
      <c r="AS21" s="25"/>
      <c r="AT21" s="23"/>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3"/>
    </row>
    <row r="22" spans="1:77" ht="22.5" x14ac:dyDescent="0.2">
      <c r="A22" s="20">
        <v>1</v>
      </c>
      <c r="B22" s="27" t="s">
        <v>410</v>
      </c>
      <c r="C22" s="66">
        <v>2</v>
      </c>
      <c r="D22" s="30" t="s">
        <v>183</v>
      </c>
      <c r="E22" s="31" t="s">
        <v>113</v>
      </c>
      <c r="F22" s="28" t="s">
        <v>106</v>
      </c>
      <c r="G22" s="29">
        <f>D6</f>
        <v>100</v>
      </c>
      <c r="H22" s="129">
        <v>42628</v>
      </c>
      <c r="I22" s="129">
        <v>42633</v>
      </c>
      <c r="J22" s="173">
        <f>I22-H22</f>
        <v>5</v>
      </c>
      <c r="K22" s="164">
        <f>8*1.26</f>
        <v>10.08</v>
      </c>
      <c r="L22" s="33">
        <f>G22/K22</f>
        <v>9.9206349206349209</v>
      </c>
      <c r="M22" s="34">
        <v>1</v>
      </c>
      <c r="N22" s="34"/>
      <c r="O22" s="35">
        <f>IF(M22=0,0,L22*$O$17)</f>
        <v>69.444444444444443</v>
      </c>
      <c r="P22" s="35">
        <f>IF(N22=0,0,L22*$O$17)</f>
        <v>0</v>
      </c>
      <c r="Q22" s="34">
        <v>5</v>
      </c>
      <c r="R22" s="78">
        <f>'Исходные данные'!$G$22</f>
        <v>197.57121135326915</v>
      </c>
      <c r="S22" s="34"/>
      <c r="T22" s="33"/>
      <c r="U22" s="125">
        <f>O22*R22*'Исходные данные'!$C$39%</f>
        <v>0</v>
      </c>
      <c r="V22" s="125">
        <f>P22*T22*'Исходные данные'!$C$40%</f>
        <v>0</v>
      </c>
      <c r="W22" s="125">
        <f>O22*R22*$W$17</f>
        <v>0</v>
      </c>
      <c r="X22" s="126">
        <f>P22*T22*$W$17</f>
        <v>0</v>
      </c>
      <c r="Y22" s="125">
        <f>(O22*R22+U22+W22)*$Y$17</f>
        <v>1372.0223010643692</v>
      </c>
      <c r="Z22" s="126">
        <f>(P22*T22+V22+X22)*$Z$17</f>
        <v>0</v>
      </c>
      <c r="AA22" s="125">
        <f>(O22*R22+U22)*$AA$17</f>
        <v>0</v>
      </c>
      <c r="AB22" s="126">
        <f>(P22*T22+V22)*$AA$17</f>
        <v>0</v>
      </c>
      <c r="AC22" s="124">
        <v>2.5</v>
      </c>
      <c r="AD22" s="125">
        <f>(O22*R22+U22+W22+Y22+AA22)*AC22</f>
        <v>37730.613279270154</v>
      </c>
      <c r="AE22" s="125">
        <f>(P22*T22+V22+X22+Z22+AB22)*AC22</f>
        <v>0</v>
      </c>
      <c r="AF22" s="35">
        <f ca="1">AD22*$AF$17</f>
        <v>5637.9077313851949</v>
      </c>
      <c r="AG22" s="70"/>
      <c r="AH22" s="35">
        <f t="shared" ref="AH22:AI24" ca="1" si="1">AD22+AF22</f>
        <v>43368.52101065535</v>
      </c>
      <c r="AI22" s="35">
        <f t="shared" si="1"/>
        <v>0</v>
      </c>
      <c r="AJ22" s="35">
        <f t="shared" ref="AJ22:AK24" ca="1" si="2">AH22*$AJ$17</f>
        <v>13010.556303196605</v>
      </c>
      <c r="AK22" s="70">
        <f t="shared" si="2"/>
        <v>0</v>
      </c>
      <c r="AL22" s="35">
        <f ca="1">AH22+AJ22</f>
        <v>56379.077313851958</v>
      </c>
      <c r="AM22" s="70">
        <f>AK22+AI22</f>
        <v>0</v>
      </c>
      <c r="AN22" s="165">
        <v>9.5238095238095237</v>
      </c>
      <c r="AO22" s="33">
        <f>'Исходные данные'!$C$55</f>
        <v>0.84</v>
      </c>
      <c r="AP22" s="74">
        <f>(G22*AN22)*AO22/100</f>
        <v>8</v>
      </c>
      <c r="AQ22" s="33" t="s">
        <v>153</v>
      </c>
      <c r="AR22" s="78" t="e">
        <f>'Исходные данные'!#REF!</f>
        <v>#REF!</v>
      </c>
      <c r="AS22" s="36" t="e">
        <f>AP22*AR22</f>
        <v>#REF!</v>
      </c>
      <c r="AT22" s="32"/>
      <c r="AU22" s="36"/>
      <c r="AV22" s="36"/>
      <c r="AW22" s="36"/>
      <c r="AX22" s="36"/>
      <c r="AY22" s="36"/>
      <c r="AZ22" s="36"/>
      <c r="BA22" s="36"/>
      <c r="BB22" s="36"/>
      <c r="BC22" s="36"/>
      <c r="BD22" s="36"/>
      <c r="BE22" s="36"/>
      <c r="BF22" s="36"/>
      <c r="BG22" s="36"/>
      <c r="BH22" s="36"/>
      <c r="BI22" s="36">
        <f>аморт!$G$12</f>
        <v>61.781971818181816</v>
      </c>
      <c r="BJ22" s="36">
        <f>BI22*L22</f>
        <v>612.9163870851371</v>
      </c>
      <c r="BK22" s="36">
        <f>аморт!$G$70</f>
        <v>45.238095238095241</v>
      </c>
      <c r="BL22" s="36">
        <f>BK22*L22</f>
        <v>448.790627362056</v>
      </c>
      <c r="BM22" s="36"/>
      <c r="BN22" s="38">
        <v>84.5</v>
      </c>
      <c r="BO22" s="36">
        <f>BN22*BY22</f>
        <v>9724.206349206348</v>
      </c>
      <c r="BP22" s="38">
        <v>9.4</v>
      </c>
      <c r="BQ22" s="36">
        <f>BP22*BY22</f>
        <v>1081.7460317460318</v>
      </c>
      <c r="BR22" s="38">
        <f>6.7*1.045*1.054</f>
        <v>7.3795810000000008</v>
      </c>
      <c r="BS22" s="36">
        <f>BR22*BY22</f>
        <v>849.2374960317461</v>
      </c>
      <c r="BT22" s="36">
        <f>аморт!$C$70*10%/аморт!$E$70*L22*7</f>
        <v>92361.111111111124</v>
      </c>
      <c r="BU22" s="36" t="e">
        <f ca="1">AL22+AM22+AS22+AW22+BA22+BE22+BH22+BJ22+BL22+BM22+BO22+BQ22+BS22+BT22</f>
        <v>#REF!</v>
      </c>
      <c r="BV22" s="36" t="e">
        <f ca="1">BU22/$D$6</f>
        <v>#REF!</v>
      </c>
      <c r="BW22" s="38">
        <f>(O22+P22)/$D$6</f>
        <v>0.69444444444444442</v>
      </c>
      <c r="BX22" s="38">
        <v>11.6</v>
      </c>
      <c r="BY22" s="39">
        <f>BX22*L22</f>
        <v>115.07936507936508</v>
      </c>
    </row>
    <row r="23" spans="1:77" x14ac:dyDescent="0.2">
      <c r="A23" s="20">
        <f>A22+1</f>
        <v>2</v>
      </c>
      <c r="B23" s="27" t="s">
        <v>418</v>
      </c>
      <c r="C23" s="66">
        <v>1</v>
      </c>
      <c r="D23" s="30" t="s">
        <v>183</v>
      </c>
      <c r="E23" s="31" t="s">
        <v>422</v>
      </c>
      <c r="F23" s="28" t="s">
        <v>106</v>
      </c>
      <c r="G23" s="29">
        <f>G22</f>
        <v>100</v>
      </c>
      <c r="H23" s="129">
        <v>42510</v>
      </c>
      <c r="I23" s="129">
        <v>42515</v>
      </c>
      <c r="J23" s="173">
        <f t="shared" ref="J23:J31" si="3">I23-H23</f>
        <v>5</v>
      </c>
      <c r="K23" s="164">
        <f>8*3.6</f>
        <v>28.8</v>
      </c>
      <c r="L23" s="33">
        <f>G23/K23</f>
        <v>3.4722222222222223</v>
      </c>
      <c r="M23" s="34">
        <v>1</v>
      </c>
      <c r="N23" s="34"/>
      <c r="O23" s="35">
        <f>IF(M23=0,0,L23*$O$17)</f>
        <v>24.305555555555557</v>
      </c>
      <c r="P23" s="35">
        <f>IF(N23=0,0,L23*$O$17)</f>
        <v>0</v>
      </c>
      <c r="Q23" s="34">
        <v>4</v>
      </c>
      <c r="R23" s="78">
        <f>'Исходные данные'!$F$22</f>
        <v>173.86266599087685</v>
      </c>
      <c r="S23" s="34"/>
      <c r="T23" s="33"/>
      <c r="U23" s="125">
        <f>O23*R23*'Исходные данные'!$C$39%</f>
        <v>0</v>
      </c>
      <c r="V23" s="125">
        <f>P23*T23*'Исходные данные'!$C$40%</f>
        <v>0</v>
      </c>
      <c r="W23" s="125">
        <f>O23*R23*$W$17</f>
        <v>0</v>
      </c>
      <c r="X23" s="126">
        <f>P23*T23*$W$17</f>
        <v>0</v>
      </c>
      <c r="Y23" s="125">
        <f>(O23*R23+U23+W23)*$Y$17</f>
        <v>422.58286872782577</v>
      </c>
      <c r="Z23" s="126">
        <f>(P23*T23+V23+X23)*$Z$17</f>
        <v>0</v>
      </c>
      <c r="AA23" s="125">
        <f>(O23*R23+U23)*$AA$17</f>
        <v>0</v>
      </c>
      <c r="AB23" s="126">
        <f>(P23*T23+V23)*$AA$17</f>
        <v>0</v>
      </c>
      <c r="AC23" s="124">
        <v>2.5</v>
      </c>
      <c r="AD23" s="125">
        <f>(O23*R23+U23+W23+Y23+AA23)*AC23</f>
        <v>11621.028890015206</v>
      </c>
      <c r="AE23" s="125">
        <f>(P23*T23+V23+X23+Z23+AB23)*AC23</f>
        <v>0</v>
      </c>
      <c r="AF23" s="35">
        <f ca="1">AD23*$AF$17</f>
        <v>1736.4755812666399</v>
      </c>
      <c r="AG23" s="70"/>
      <c r="AH23" s="35">
        <f t="shared" ca="1" si="1"/>
        <v>13357.504471281845</v>
      </c>
      <c r="AI23" s="35">
        <f t="shared" si="1"/>
        <v>0</v>
      </c>
      <c r="AJ23" s="35">
        <f t="shared" ca="1" si="2"/>
        <v>4007.2513413845536</v>
      </c>
      <c r="AK23" s="70">
        <f t="shared" si="2"/>
        <v>0</v>
      </c>
      <c r="AL23" s="35">
        <f ca="1">AH23+AJ23</f>
        <v>17364.755812666401</v>
      </c>
      <c r="AM23" s="70">
        <f>AK23+AI23</f>
        <v>0</v>
      </c>
      <c r="AN23" s="165">
        <v>9.5238095238095237</v>
      </c>
      <c r="AO23" s="33">
        <f>'Исходные данные'!$C$55</f>
        <v>0.84</v>
      </c>
      <c r="AP23" s="74">
        <f>(G23*AN23)*AO23/100</f>
        <v>8</v>
      </c>
      <c r="AQ23" s="33" t="s">
        <v>153</v>
      </c>
      <c r="AR23" s="78" t="e">
        <f>'Исходные данные'!#REF!</f>
        <v>#REF!</v>
      </c>
      <c r="AS23" s="36" t="e">
        <f>AP23*AR23</f>
        <v>#REF!</v>
      </c>
      <c r="AT23" s="32"/>
      <c r="AU23" s="36"/>
      <c r="AV23" s="36"/>
      <c r="AW23" s="36"/>
      <c r="AX23" s="36"/>
      <c r="AY23" s="36"/>
      <c r="AZ23" s="36"/>
      <c r="BA23" s="36"/>
      <c r="BB23" s="36"/>
      <c r="BC23" s="36"/>
      <c r="BD23" s="36"/>
      <c r="BE23" s="36"/>
      <c r="BF23" s="36"/>
      <c r="BG23" s="36"/>
      <c r="BH23" s="36"/>
      <c r="BI23" s="36">
        <f>аморт!$G$12</f>
        <v>61.781971818181816</v>
      </c>
      <c r="BJ23" s="36">
        <f>BI23*L23</f>
        <v>214.52073547979799</v>
      </c>
      <c r="BK23" s="36">
        <f>аморт!G33</f>
        <v>97.41305263157895</v>
      </c>
      <c r="BL23" s="36">
        <f>BK23*L23</f>
        <v>338.23976608187138</v>
      </c>
      <c r="BM23" s="36"/>
      <c r="BN23" s="38">
        <v>84.5</v>
      </c>
      <c r="BO23" s="36">
        <f>BN23*BY23</f>
        <v>3403.4722222222222</v>
      </c>
      <c r="BP23" s="38">
        <v>9.4</v>
      </c>
      <c r="BQ23" s="36">
        <f>BP23*BY23</f>
        <v>378.61111111111114</v>
      </c>
      <c r="BR23" s="38">
        <f>6.7*1.045*1.054</f>
        <v>7.3795810000000008</v>
      </c>
      <c r="BS23" s="36">
        <f>BR23*BY23</f>
        <v>297.23312361111113</v>
      </c>
      <c r="BT23" s="36">
        <f>аморт!$C$33*10%/аморт!$E$33*L23*7</f>
        <v>11246.472222222223</v>
      </c>
      <c r="BU23" s="36" t="e">
        <f ca="1">AL23+AM23+AS23+AW23+BA23+BE23+BH23+BJ23+BL23+BM23+BO23+BQ23+BS23+BT23</f>
        <v>#REF!</v>
      </c>
      <c r="BV23" s="36" t="e">
        <f ca="1">BU23/$D$6</f>
        <v>#REF!</v>
      </c>
      <c r="BW23" s="38">
        <f>(O23+P23)/$D$6</f>
        <v>0.24305555555555558</v>
      </c>
      <c r="BX23" s="38">
        <v>11.6</v>
      </c>
      <c r="BY23" s="39">
        <f>BX23*L23</f>
        <v>40.277777777777779</v>
      </c>
    </row>
    <row r="24" spans="1:77" x14ac:dyDescent="0.2">
      <c r="A24" s="20">
        <f>A23+1</f>
        <v>3</v>
      </c>
      <c r="B24" s="27" t="s">
        <v>419</v>
      </c>
      <c r="C24" s="66">
        <v>1</v>
      </c>
      <c r="D24" s="30" t="s">
        <v>183</v>
      </c>
      <c r="E24" s="31" t="s">
        <v>415</v>
      </c>
      <c r="F24" s="28" t="s">
        <v>106</v>
      </c>
      <c r="G24" s="29">
        <f>D6</f>
        <v>100</v>
      </c>
      <c r="H24" s="129">
        <v>42515</v>
      </c>
      <c r="I24" s="129">
        <v>42522</v>
      </c>
      <c r="J24" s="173">
        <f t="shared" si="3"/>
        <v>7</v>
      </c>
      <c r="K24" s="164">
        <f>8*4</f>
        <v>32</v>
      </c>
      <c r="L24" s="33">
        <f>G24/K24</f>
        <v>3.125</v>
      </c>
      <c r="M24" s="34">
        <v>1</v>
      </c>
      <c r="N24" s="34"/>
      <c r="O24" s="35">
        <f>IF(M24=0,0,L24*$O$17)</f>
        <v>21.875</v>
      </c>
      <c r="P24" s="35">
        <f>IF(N24=0,0,L24*$O$17)</f>
        <v>0</v>
      </c>
      <c r="Q24" s="34">
        <v>4</v>
      </c>
      <c r="R24" s="78">
        <f>'Исходные данные'!$F$22</f>
        <v>173.86266599087685</v>
      </c>
      <c r="S24" s="34"/>
      <c r="T24" s="33"/>
      <c r="U24" s="125">
        <f>O24*R24*'Исходные данные'!$C$39%</f>
        <v>0</v>
      </c>
      <c r="V24" s="125">
        <f>P24*T24*'Исходные данные'!$C$40%</f>
        <v>0</v>
      </c>
      <c r="W24" s="125">
        <f>O24*R24*$W$17</f>
        <v>0</v>
      </c>
      <c r="X24" s="126">
        <f>P24*T24*$W$17</f>
        <v>0</v>
      </c>
      <c r="Y24" s="125">
        <f>(O24*R24+U24+W24)*$Y$17</f>
        <v>380.32458185504311</v>
      </c>
      <c r="Z24" s="126">
        <f>(P24*T24+V24+X24)*$Z$17</f>
        <v>0</v>
      </c>
      <c r="AA24" s="125">
        <f>(O24*R24+U24)*$AA$17</f>
        <v>0</v>
      </c>
      <c r="AB24" s="126">
        <f>(P24*T24+V24)*$AA$17</f>
        <v>0</v>
      </c>
      <c r="AC24" s="124">
        <v>2.5</v>
      </c>
      <c r="AD24" s="125">
        <f>(O24*R24+U24+W24+Y24+AA24)*AC24</f>
        <v>10458.926001013686</v>
      </c>
      <c r="AE24" s="125">
        <f>(P24*T24+V24+X24+Z24+AB24)*AC24</f>
        <v>0</v>
      </c>
      <c r="AF24" s="35">
        <f ca="1">AD24*$AF$17</f>
        <v>1562.8280231399758</v>
      </c>
      <c r="AG24" s="70"/>
      <c r="AH24" s="35">
        <f t="shared" ca="1" si="1"/>
        <v>12021.754024153663</v>
      </c>
      <c r="AI24" s="35">
        <f t="shared" si="1"/>
        <v>0</v>
      </c>
      <c r="AJ24" s="35">
        <f t="shared" ca="1" si="2"/>
        <v>3606.5262072460987</v>
      </c>
      <c r="AK24" s="70">
        <f t="shared" si="2"/>
        <v>0</v>
      </c>
      <c r="AL24" s="35">
        <f ca="1">AH24+AJ24</f>
        <v>15628.280231399762</v>
      </c>
      <c r="AM24" s="70">
        <f>AK24+AI24</f>
        <v>0</v>
      </c>
      <c r="AN24" s="165">
        <v>9.5238095238095237</v>
      </c>
      <c r="AO24" s="33">
        <f>'Исходные данные'!$C$55</f>
        <v>0.84</v>
      </c>
      <c r="AP24" s="74">
        <f>(G24*AN24)*AO24/100</f>
        <v>8</v>
      </c>
      <c r="AQ24" s="33" t="s">
        <v>152</v>
      </c>
      <c r="AR24" s="78" t="e">
        <f>'Исходные данные'!#REF!</f>
        <v>#REF!</v>
      </c>
      <c r="AS24" s="36" t="e">
        <f>AP24*AR24</f>
        <v>#REF!</v>
      </c>
      <c r="AT24" s="32"/>
      <c r="AU24" s="36"/>
      <c r="AV24" s="36"/>
      <c r="AW24" s="36"/>
      <c r="AX24" s="36"/>
      <c r="AY24" s="36"/>
      <c r="AZ24" s="36"/>
      <c r="BA24" s="36"/>
      <c r="BB24" s="36"/>
      <c r="BC24" s="36"/>
      <c r="BD24" s="36"/>
      <c r="BE24" s="36"/>
      <c r="BF24" s="36"/>
      <c r="BG24" s="36"/>
      <c r="BH24" s="36"/>
      <c r="BI24" s="36">
        <f>аморт!$G$12</f>
        <v>61.781971818181816</v>
      </c>
      <c r="BJ24" s="36">
        <f>BI24*L24</f>
        <v>193.06866193181818</v>
      </c>
      <c r="BK24" s="36">
        <f>аморт!G52</f>
        <v>50.50391891891892</v>
      </c>
      <c r="BL24" s="36">
        <f>BK24*L24</f>
        <v>157.82474662162161</v>
      </c>
      <c r="BM24" s="36"/>
      <c r="BN24" s="38">
        <v>84.5</v>
      </c>
      <c r="BO24" s="36">
        <f>BN24*BY24</f>
        <v>3063.125</v>
      </c>
      <c r="BP24" s="38">
        <v>9.4</v>
      </c>
      <c r="BQ24" s="36">
        <f>BP24*BY24</f>
        <v>340.75</v>
      </c>
      <c r="BR24" s="38">
        <f>6.7*1.045*1.054</f>
        <v>7.3795810000000008</v>
      </c>
      <c r="BS24" s="36">
        <f>BR24*BY24</f>
        <v>267.50981125000004</v>
      </c>
      <c r="BT24" s="36">
        <f>аморт!$C$52*10%/аморт!$E$52*L24*7</f>
        <v>13080.514999999999</v>
      </c>
      <c r="BU24" s="36" t="e">
        <f ca="1">AL24+AM24+AS24+AW24+BA24+BE24+BH24+BJ24+BL24+BM24+BO24+BQ24+BS24+BT24</f>
        <v>#REF!</v>
      </c>
      <c r="BV24" s="36" t="e">
        <f ca="1">BU24/$D$6</f>
        <v>#REF!</v>
      </c>
      <c r="BW24" s="38">
        <f>(O24+P24)/$D$6</f>
        <v>0.21875</v>
      </c>
      <c r="BX24" s="38">
        <v>11.6</v>
      </c>
      <c r="BY24" s="39">
        <f>BX24*L24</f>
        <v>36.25</v>
      </c>
    </row>
    <row r="25" spans="1:77" x14ac:dyDescent="0.2">
      <c r="A25" s="20">
        <f t="shared" ref="A25:A32" si="4">A24+1</f>
        <v>4</v>
      </c>
      <c r="B25" s="27" t="s">
        <v>420</v>
      </c>
      <c r="C25" s="66">
        <v>1</v>
      </c>
      <c r="D25" s="30" t="s">
        <v>105</v>
      </c>
      <c r="E25" s="174" t="s">
        <v>482</v>
      </c>
      <c r="F25" s="28" t="s">
        <v>106</v>
      </c>
      <c r="G25" s="29">
        <f>D6</f>
        <v>100</v>
      </c>
      <c r="H25" s="129">
        <v>42536</v>
      </c>
      <c r="I25" s="129">
        <v>42538</v>
      </c>
      <c r="J25" s="173">
        <f t="shared" si="3"/>
        <v>2</v>
      </c>
      <c r="K25" s="164">
        <f>8*4.2</f>
        <v>33.6</v>
      </c>
      <c r="L25" s="33">
        <f t="shared" ref="L25:L32" si="5">G25/K25</f>
        <v>2.9761904761904763</v>
      </c>
      <c r="M25" s="34">
        <v>1</v>
      </c>
      <c r="N25" s="34"/>
      <c r="O25" s="35">
        <f>IF(M25=0,0,L25*$O$17)</f>
        <v>20.833333333333336</v>
      </c>
      <c r="P25" s="35">
        <f t="shared" ref="P25:P31" si="6">IF(N25=0,0,L25*$O$17)</f>
        <v>0</v>
      </c>
      <c r="Q25" s="34">
        <v>3</v>
      </c>
      <c r="R25" s="78">
        <f ca="1">IF(AND(O25&gt;0,Q25&gt;0),SUMIF('Исходные данные'!$C$14:H27,Q25,'Исходные данные'!$C$18:$H$18),IF(O25=0,0,IF(Q25=0,"РОТ")))</f>
        <v>138.29984794728838</v>
      </c>
      <c r="S25" s="34"/>
      <c r="T25" s="33"/>
      <c r="U25" s="125">
        <f ca="1">O25*R25*'Исходные данные'!$C$39%</f>
        <v>0</v>
      </c>
      <c r="V25" s="125">
        <f>P25*T25*'Исходные данные'!$C$40%</f>
        <v>0</v>
      </c>
      <c r="W25" s="125">
        <f t="shared" ref="W25:W32" ca="1" si="7">O25*R25*$W$17</f>
        <v>0</v>
      </c>
      <c r="X25" s="126">
        <f t="shared" ref="X25:X32" si="8">P25*T25*$W$17</f>
        <v>0</v>
      </c>
      <c r="Y25" s="125">
        <f t="shared" ref="Y25:Y32" ca="1" si="9">(O25*R25+U25+W25)*$Y$17</f>
        <v>288.12468322351754</v>
      </c>
      <c r="Z25" s="126">
        <f t="shared" ref="Z25:Z32" si="10">(P25*T25+V25+X25)*$Z$17</f>
        <v>0</v>
      </c>
      <c r="AA25" s="125">
        <f t="shared" ref="AA25:AA32" ca="1" si="11">(O25*R25+U25)*$AA$17</f>
        <v>0</v>
      </c>
      <c r="AB25" s="126">
        <f t="shared" ref="AB25:AB32" si="12">(P25*T25+V25)*$AA$17</f>
        <v>0</v>
      </c>
      <c r="AC25" s="124">
        <v>2.5</v>
      </c>
      <c r="AD25" s="125">
        <f t="shared" ref="AD25:AD32" ca="1" si="13">(O25*R25+U25+W25+Y25+AA25)*AC25</f>
        <v>7923.4287886467318</v>
      </c>
      <c r="AE25" s="125">
        <f t="shared" ref="AE25:AE32" si="14">(P25*T25+V25+X25+Z25+AB25)*AC25</f>
        <v>0</v>
      </c>
      <c r="AF25" s="35">
        <f t="shared" ref="AF25:AF32" ca="1" si="15">AD25*$AF$17</f>
        <v>1183.9606235908909</v>
      </c>
      <c r="AG25" s="70"/>
      <c r="AH25" s="35">
        <f t="shared" ref="AH25:AH32" ca="1" si="16">AD25+AF25</f>
        <v>9107.3894122376223</v>
      </c>
      <c r="AI25" s="35"/>
      <c r="AJ25" s="35">
        <f t="shared" ref="AJ25:AJ32" ca="1" si="17">AH25*$AJ$17</f>
        <v>2732.2168236712864</v>
      </c>
      <c r="AK25" s="70"/>
      <c r="AL25" s="35">
        <f t="shared" ref="AL25:AL32" ca="1" si="18">AH25+AJ25</f>
        <v>11839.606235908908</v>
      </c>
      <c r="AM25" s="70"/>
      <c r="AN25" s="165">
        <v>2.2999999999999998</v>
      </c>
      <c r="AO25" s="33">
        <f>'Исходные данные'!$C$55</f>
        <v>0.84</v>
      </c>
      <c r="AP25" s="74">
        <f>(G25*AN25)*AO25/100</f>
        <v>1.9319999999999995</v>
      </c>
      <c r="AQ25" s="33" t="s">
        <v>152</v>
      </c>
      <c r="AR25" s="78" t="e">
        <f>'Исходные данные'!#REF!</f>
        <v>#REF!</v>
      </c>
      <c r="AS25" s="36" t="e">
        <f>AP25*AR25</f>
        <v>#REF!</v>
      </c>
      <c r="AT25" s="32"/>
      <c r="AU25" s="36"/>
      <c r="AV25" s="36"/>
      <c r="AW25" s="36"/>
      <c r="AX25" s="36"/>
      <c r="AY25" s="36"/>
      <c r="AZ25" s="36"/>
      <c r="BA25" s="36"/>
      <c r="BB25" s="36"/>
      <c r="BC25" s="36"/>
      <c r="BD25" s="36"/>
      <c r="BE25" s="36"/>
      <c r="BF25" s="36"/>
      <c r="BG25" s="36"/>
      <c r="BH25" s="36"/>
      <c r="BI25" s="36">
        <f>аморт!$G$11</f>
        <v>181.91312849162011</v>
      </c>
      <c r="BJ25" s="36">
        <f>BI25*L25</f>
        <v>541.40812051077421</v>
      </c>
      <c r="BK25" s="36">
        <f>аморт!$G$34</f>
        <v>97.41305263157895</v>
      </c>
      <c r="BL25" s="36">
        <f>BK25*L25</f>
        <v>289.9197994987469</v>
      </c>
      <c r="BM25" s="36"/>
      <c r="BN25" s="38">
        <v>82.4</v>
      </c>
      <c r="BO25" s="36">
        <f>BN25*BY25</f>
        <v>1250.7142857142858</v>
      </c>
      <c r="BP25" s="38">
        <v>13.9</v>
      </c>
      <c r="BQ25" s="36">
        <f>BP25*BY25</f>
        <v>210.98214285714286</v>
      </c>
      <c r="BR25" s="38">
        <f>4.8*1.045*1.054</f>
        <v>5.2868639999999996</v>
      </c>
      <c r="BS25" s="36">
        <f>BR25*BY25</f>
        <v>80.247042857142858</v>
      </c>
      <c r="BT25" s="36">
        <f>аморт!C34*10%/аморт!E34*L25*7</f>
        <v>9639.8333333333339</v>
      </c>
      <c r="BU25" s="36" t="e">
        <f t="shared" ref="BU25:BU32" ca="1" si="19">AL25+AM25+AS25+AW25+BA25+BE25+BH25+BJ25+BL25+BM25+BO25+BQ25+BS25+BT25</f>
        <v>#REF!</v>
      </c>
      <c r="BV25" s="36" t="e">
        <f t="shared" ref="BV25:BV32" ca="1" si="20">BU25/$D$6</f>
        <v>#REF!</v>
      </c>
      <c r="BW25" s="38">
        <f t="shared" ref="BW25:BW31" si="21">(O25+P25)/$D$6</f>
        <v>0.20833333333333337</v>
      </c>
      <c r="BX25" s="38">
        <v>5.0999999999999996</v>
      </c>
      <c r="BY25" s="39">
        <f>BX25*L25</f>
        <v>15.178571428571429</v>
      </c>
    </row>
    <row r="26" spans="1:77" x14ac:dyDescent="0.2">
      <c r="A26" s="20">
        <f t="shared" si="4"/>
        <v>5</v>
      </c>
      <c r="B26" s="27" t="s">
        <v>22</v>
      </c>
      <c r="C26" s="66">
        <v>3</v>
      </c>
      <c r="D26" s="478" t="s">
        <v>118</v>
      </c>
      <c r="E26" s="479"/>
      <c r="F26" s="28" t="s">
        <v>109</v>
      </c>
      <c r="G26" s="177">
        <f>AU32</f>
        <v>10.5</v>
      </c>
      <c r="H26" s="129">
        <v>42536</v>
      </c>
      <c r="I26" s="129">
        <v>42538</v>
      </c>
      <c r="J26" s="173">
        <f t="shared" si="3"/>
        <v>2</v>
      </c>
      <c r="K26" s="164">
        <f>G26/6</f>
        <v>1.75</v>
      </c>
      <c r="L26" s="33">
        <f t="shared" si="5"/>
        <v>6</v>
      </c>
      <c r="M26" s="34">
        <v>1</v>
      </c>
      <c r="N26" s="34">
        <v>1</v>
      </c>
      <c r="O26" s="35">
        <f t="shared" ref="O26:O32" si="22">IF(M26=0,0,L26*$O$17)</f>
        <v>42</v>
      </c>
      <c r="P26" s="35">
        <f t="shared" si="6"/>
        <v>42</v>
      </c>
      <c r="Q26" s="34">
        <v>2</v>
      </c>
      <c r="R26" s="78">
        <f ca="1">IF(AND(O26&gt;0,Q26&gt;0),SUMIF('Исходные данные'!$C$14:H29,Q26,'Исходные данные'!$C$18:$H$18),IF(O26=0,0,IF(Q26=0,"РОТ")))</f>
        <v>128.66557526609228</v>
      </c>
      <c r="S26" s="34">
        <v>2</v>
      </c>
      <c r="T26" s="78">
        <f ca="1">IF(AND(N26&gt;0,P26&gt;0),SUMIF('Исходные данные'!$C$14:$J$30,S26,'Исходные данные'!$C$34:$J$41),IF(N26=0,0,IF(S26=0,"РОТ")))</f>
        <v>105.700598073999</v>
      </c>
      <c r="U26" s="125">
        <f ca="1">O26*R26*'Исходные данные'!$C$39%</f>
        <v>0</v>
      </c>
      <c r="V26" s="125">
        <f ca="1">P26*T26*'Исходные данные'!$C$40%</f>
        <v>0</v>
      </c>
      <c r="W26" s="125">
        <f t="shared" ca="1" si="7"/>
        <v>0</v>
      </c>
      <c r="X26" s="126">
        <f t="shared" ca="1" si="8"/>
        <v>0</v>
      </c>
      <c r="Y26" s="125">
        <f t="shared" ca="1" si="9"/>
        <v>540.39541611758762</v>
      </c>
      <c r="Z26" s="126">
        <f t="shared" ca="1" si="10"/>
        <v>221.97125595539794</v>
      </c>
      <c r="AA26" s="125">
        <f t="shared" ca="1" si="11"/>
        <v>0</v>
      </c>
      <c r="AB26" s="126">
        <f t="shared" ca="1" si="12"/>
        <v>0</v>
      </c>
      <c r="AC26" s="124">
        <v>2.5</v>
      </c>
      <c r="AD26" s="125">
        <f t="shared" ca="1" si="13"/>
        <v>14860.873943233659</v>
      </c>
      <c r="AE26" s="125">
        <f t="shared" ca="1" si="14"/>
        <v>11653.490937658391</v>
      </c>
      <c r="AF26" s="35">
        <f t="shared" ca="1" si="15"/>
        <v>2220.5903593337648</v>
      </c>
      <c r="AG26" s="70">
        <f t="shared" ref="AG26:AG32" ca="1" si="23">AE26*$AF$17</f>
        <v>1741.3262320638974</v>
      </c>
      <c r="AH26" s="35">
        <f t="shared" ca="1" si="16"/>
        <v>17081.464302567423</v>
      </c>
      <c r="AI26" s="35">
        <f t="shared" ref="AI26:AI32" ca="1" si="24">AE26+AG26</f>
        <v>13394.817169722288</v>
      </c>
      <c r="AJ26" s="35">
        <f t="shared" ca="1" si="17"/>
        <v>5124.4392907702268</v>
      </c>
      <c r="AK26" s="70">
        <f t="shared" ref="AK26:AK32" ca="1" si="25">AI26*$AJ$17</f>
        <v>4018.4451509166861</v>
      </c>
      <c r="AL26" s="35">
        <f t="shared" ca="1" si="18"/>
        <v>22205.903593337651</v>
      </c>
      <c r="AM26" s="70">
        <f t="shared" ref="AM26:AM32" ca="1" si="26">AK26+AI26</f>
        <v>17413.262320638973</v>
      </c>
      <c r="AN26" s="165"/>
      <c r="AO26" s="32"/>
      <c r="AP26" s="74"/>
      <c r="AQ26" s="33"/>
      <c r="AR26" s="32"/>
      <c r="AS26" s="36"/>
      <c r="AT26" s="32"/>
      <c r="AU26" s="36"/>
      <c r="AV26" s="36"/>
      <c r="AW26" s="36"/>
      <c r="AX26" s="36"/>
      <c r="AY26" s="36"/>
      <c r="AZ26" s="36"/>
      <c r="BA26" s="36"/>
      <c r="BB26" s="36"/>
      <c r="BC26" s="36"/>
      <c r="BD26" s="36"/>
      <c r="BE26" s="36"/>
      <c r="BF26" s="36"/>
      <c r="BG26" s="36"/>
      <c r="BH26" s="36"/>
      <c r="BI26" s="36"/>
      <c r="BJ26" s="36"/>
      <c r="BK26" s="80"/>
      <c r="BL26" s="36"/>
      <c r="BM26" s="36"/>
      <c r="BN26" s="38"/>
      <c r="BO26" s="36"/>
      <c r="BP26" s="38"/>
      <c r="BQ26" s="36"/>
      <c r="BR26" s="38"/>
      <c r="BS26" s="36"/>
      <c r="BT26" s="36"/>
      <c r="BU26" s="36">
        <f t="shared" ca="1" si="19"/>
        <v>39619.165913976627</v>
      </c>
      <c r="BV26" s="36">
        <f t="shared" ca="1" si="20"/>
        <v>396.19165913976627</v>
      </c>
      <c r="BW26" s="38">
        <f t="shared" si="21"/>
        <v>0.84</v>
      </c>
      <c r="BX26" s="38"/>
      <c r="BY26" s="39"/>
    </row>
    <row r="27" spans="1:77" ht="22.5" x14ac:dyDescent="0.2">
      <c r="A27" s="20">
        <f t="shared" si="4"/>
        <v>6</v>
      </c>
      <c r="B27" s="27" t="s">
        <v>23</v>
      </c>
      <c r="C27" s="66">
        <v>3</v>
      </c>
      <c r="D27" s="30" t="s">
        <v>105</v>
      </c>
      <c r="E27" s="31" t="s">
        <v>115</v>
      </c>
      <c r="F27" s="28" t="s">
        <v>109</v>
      </c>
      <c r="G27" s="177">
        <f>G26</f>
        <v>10.5</v>
      </c>
      <c r="H27" s="129">
        <v>42536</v>
      </c>
      <c r="I27" s="129">
        <v>42538</v>
      </c>
      <c r="J27" s="173">
        <f t="shared" si="3"/>
        <v>2</v>
      </c>
      <c r="K27" s="164">
        <f>G27/6</f>
        <v>1.75</v>
      </c>
      <c r="L27" s="33">
        <f t="shared" si="5"/>
        <v>6</v>
      </c>
      <c r="M27" s="34">
        <v>1</v>
      </c>
      <c r="N27" s="34">
        <v>1</v>
      </c>
      <c r="O27" s="35">
        <f t="shared" si="22"/>
        <v>42</v>
      </c>
      <c r="P27" s="35">
        <f t="shared" si="6"/>
        <v>42</v>
      </c>
      <c r="Q27" s="34">
        <v>2</v>
      </c>
      <c r="R27" s="78">
        <f ca="1">IF(AND(O27&gt;0,Q27&gt;0),SUMIF('Исходные данные'!$C$14:H30,Q27,'Исходные данные'!$C$18:$H$18),IF(O27=0,0,IF(Q27=0,"РОТ")))</f>
        <v>128.66557526609228</v>
      </c>
      <c r="S27" s="34">
        <v>2</v>
      </c>
      <c r="T27" s="78">
        <f ca="1">IF(AND(N27&gt;0,P27&gt;0),SUMIF('Исходные данные'!$C$14:$J$30,S27,'Исходные данные'!$C$34:$J$41),IF(N27=0,0,IF(S27=0,"РОТ")))</f>
        <v>105.700598073999</v>
      </c>
      <c r="U27" s="125">
        <f ca="1">O27*R27*'Исходные данные'!$C$39%</f>
        <v>0</v>
      </c>
      <c r="V27" s="125">
        <f ca="1">P27*T27*'Исходные данные'!$C$40%</f>
        <v>0</v>
      </c>
      <c r="W27" s="125">
        <f t="shared" ca="1" si="7"/>
        <v>0</v>
      </c>
      <c r="X27" s="126">
        <f t="shared" ca="1" si="8"/>
        <v>0</v>
      </c>
      <c r="Y27" s="125">
        <f t="shared" ca="1" si="9"/>
        <v>540.39541611758762</v>
      </c>
      <c r="Z27" s="126">
        <f t="shared" ca="1" si="10"/>
        <v>221.97125595539794</v>
      </c>
      <c r="AA27" s="125">
        <f t="shared" ca="1" si="11"/>
        <v>0</v>
      </c>
      <c r="AB27" s="126">
        <f t="shared" ca="1" si="12"/>
        <v>0</v>
      </c>
      <c r="AC27" s="124">
        <v>2.5</v>
      </c>
      <c r="AD27" s="125">
        <f t="shared" ca="1" si="13"/>
        <v>14860.873943233659</v>
      </c>
      <c r="AE27" s="125">
        <f t="shared" ca="1" si="14"/>
        <v>11653.490937658391</v>
      </c>
      <c r="AF27" s="35">
        <f t="shared" ca="1" si="15"/>
        <v>2220.5903593337648</v>
      </c>
      <c r="AG27" s="70">
        <f t="shared" ca="1" si="23"/>
        <v>1741.3262320638974</v>
      </c>
      <c r="AH27" s="35">
        <f t="shared" ca="1" si="16"/>
        <v>17081.464302567423</v>
      </c>
      <c r="AI27" s="35">
        <f t="shared" ca="1" si="24"/>
        <v>13394.817169722288</v>
      </c>
      <c r="AJ27" s="35">
        <f t="shared" ca="1" si="17"/>
        <v>5124.4392907702268</v>
      </c>
      <c r="AK27" s="70">
        <f t="shared" ca="1" si="25"/>
        <v>4018.4451509166861</v>
      </c>
      <c r="AL27" s="35">
        <f t="shared" ca="1" si="18"/>
        <v>22205.903593337651</v>
      </c>
      <c r="AM27" s="70">
        <f t="shared" ca="1" si="26"/>
        <v>17413.262320638973</v>
      </c>
      <c r="AN27" s="165">
        <v>0.96</v>
      </c>
      <c r="AO27" s="33">
        <f>'Исходные данные'!$C$55</f>
        <v>0.84</v>
      </c>
      <c r="AP27" s="74">
        <f>(G27*AN27)*AO27/100</f>
        <v>8.4671999999999997E-2</v>
      </c>
      <c r="AQ27" s="33" t="s">
        <v>152</v>
      </c>
      <c r="AR27" s="78" t="e">
        <f>'Исходные данные'!#REF!</f>
        <v>#REF!</v>
      </c>
      <c r="AS27" s="36" t="e">
        <f>AP27*AR27</f>
        <v>#REF!</v>
      </c>
      <c r="AT27" s="32"/>
      <c r="AU27" s="36"/>
      <c r="AV27" s="36"/>
      <c r="AW27" s="36"/>
      <c r="AX27" s="36"/>
      <c r="AY27" s="36"/>
      <c r="AZ27" s="36"/>
      <c r="BA27" s="36"/>
      <c r="BB27" s="36"/>
      <c r="BC27" s="36"/>
      <c r="BD27" s="36"/>
      <c r="BE27" s="36"/>
      <c r="BF27" s="36"/>
      <c r="BG27" s="36"/>
      <c r="BH27" s="36"/>
      <c r="BI27" s="36">
        <f>аморт!$G$11</f>
        <v>181.91312849162011</v>
      </c>
      <c r="BJ27" s="36">
        <f>BI27*L27</f>
        <v>1091.4787709497207</v>
      </c>
      <c r="BK27" s="80">
        <f>аморт!$G$23</f>
        <v>48.426111111111105</v>
      </c>
      <c r="BL27" s="36">
        <f>BK27*L27</f>
        <v>290.55666666666662</v>
      </c>
      <c r="BM27" s="36"/>
      <c r="BN27" s="38">
        <v>82.4</v>
      </c>
      <c r="BO27" s="36">
        <f>BN27*BY27</f>
        <v>2521.44</v>
      </c>
      <c r="BP27" s="38">
        <v>13.9</v>
      </c>
      <c r="BQ27" s="36">
        <f>BP27*BY27</f>
        <v>425.34</v>
      </c>
      <c r="BR27" s="38">
        <f>4.8*1.045*1.054</f>
        <v>5.2868639999999996</v>
      </c>
      <c r="BS27" s="36">
        <f>BR27*BY27</f>
        <v>161.77803839999999</v>
      </c>
      <c r="BT27" s="36">
        <f>аморт!$C$23*10%/аморт!$E$23*L27*7</f>
        <v>46128.776400000002</v>
      </c>
      <c r="BU27" s="36" t="e">
        <f t="shared" ca="1" si="19"/>
        <v>#REF!</v>
      </c>
      <c r="BV27" s="36" t="e">
        <f t="shared" ca="1" si="20"/>
        <v>#REF!</v>
      </c>
      <c r="BW27" s="38">
        <f t="shared" si="21"/>
        <v>0.84</v>
      </c>
      <c r="BX27" s="38">
        <v>5.0999999999999996</v>
      </c>
      <c r="BY27" s="39">
        <f>BX27*L27</f>
        <v>30.599999999999998</v>
      </c>
    </row>
    <row r="28" spans="1:77" x14ac:dyDescent="0.2">
      <c r="A28" s="20">
        <f t="shared" si="4"/>
        <v>7</v>
      </c>
      <c r="B28" s="27" t="s">
        <v>24</v>
      </c>
      <c r="C28" s="66">
        <v>3</v>
      </c>
      <c r="D28" s="478" t="s">
        <v>118</v>
      </c>
      <c r="E28" s="479"/>
      <c r="F28" s="28" t="s">
        <v>109</v>
      </c>
      <c r="G28" s="177">
        <f>G27</f>
        <v>10.5</v>
      </c>
      <c r="H28" s="129">
        <v>42536</v>
      </c>
      <c r="I28" s="129">
        <v>42538</v>
      </c>
      <c r="J28" s="173">
        <f t="shared" si="3"/>
        <v>2</v>
      </c>
      <c r="K28" s="164">
        <f>G28/6</f>
        <v>1.75</v>
      </c>
      <c r="L28" s="33">
        <f t="shared" si="5"/>
        <v>6</v>
      </c>
      <c r="M28" s="34"/>
      <c r="N28" s="34">
        <v>1</v>
      </c>
      <c r="O28" s="35">
        <f>IF(M28=0,0,L28*$O$17)</f>
        <v>0</v>
      </c>
      <c r="P28" s="35">
        <f>IF(N28=0,0,L28*$O$17)</f>
        <v>42</v>
      </c>
      <c r="Q28" s="34">
        <v>2</v>
      </c>
      <c r="R28" s="78">
        <f>IF(AND(O28&gt;0,Q28&gt;0),SUMIF('Исходные данные'!$C$14:H30,Q28,'Исходные данные'!$C$18:$H$18),IF(O28=0,0,IF(Q28=0,"РОТ")))</f>
        <v>0</v>
      </c>
      <c r="S28" s="34">
        <v>2</v>
      </c>
      <c r="T28" s="78">
        <f ca="1">IF(AND(N28&gt;0,P28&gt;0),SUMIF('Исходные данные'!$C$14:$J$30,S28,'Исходные данные'!$C$34:$J$41),IF(N28=0,0,IF(S28=0,"РОТ")))</f>
        <v>105.700598073999</v>
      </c>
      <c r="U28" s="125">
        <f>O28*R28*'Исходные данные'!$C$39%</f>
        <v>0</v>
      </c>
      <c r="V28" s="125">
        <f ca="1">P28*T28*'Исходные данные'!$C$40%</f>
        <v>0</v>
      </c>
      <c r="W28" s="125">
        <f t="shared" si="7"/>
        <v>0</v>
      </c>
      <c r="X28" s="126">
        <f t="shared" ca="1" si="8"/>
        <v>0</v>
      </c>
      <c r="Y28" s="125">
        <f t="shared" si="9"/>
        <v>0</v>
      </c>
      <c r="Z28" s="126">
        <f t="shared" ca="1" si="10"/>
        <v>221.97125595539794</v>
      </c>
      <c r="AA28" s="125">
        <f t="shared" si="11"/>
        <v>0</v>
      </c>
      <c r="AB28" s="126">
        <f t="shared" ca="1" si="12"/>
        <v>0</v>
      </c>
      <c r="AC28" s="124">
        <v>2.5</v>
      </c>
      <c r="AD28" s="125">
        <f t="shared" si="13"/>
        <v>0</v>
      </c>
      <c r="AE28" s="125">
        <f t="shared" ca="1" si="14"/>
        <v>11653.490937658391</v>
      </c>
      <c r="AF28" s="35">
        <f t="shared" ca="1" si="15"/>
        <v>0</v>
      </c>
      <c r="AG28" s="70">
        <f t="shared" ca="1" si="23"/>
        <v>1741.3262320638974</v>
      </c>
      <c r="AH28" s="35">
        <f t="shared" ca="1" si="16"/>
        <v>0</v>
      </c>
      <c r="AI28" s="35">
        <f t="shared" ca="1" si="24"/>
        <v>13394.817169722288</v>
      </c>
      <c r="AJ28" s="35">
        <f t="shared" ca="1" si="17"/>
        <v>0</v>
      </c>
      <c r="AK28" s="70">
        <f t="shared" ca="1" si="25"/>
        <v>4018.4451509166861</v>
      </c>
      <c r="AL28" s="35">
        <f t="shared" ca="1" si="18"/>
        <v>0</v>
      </c>
      <c r="AM28" s="70">
        <f t="shared" ca="1" si="26"/>
        <v>17413.262320638973</v>
      </c>
      <c r="AN28" s="165"/>
      <c r="AO28" s="32"/>
      <c r="AP28" s="74"/>
      <c r="AQ28" s="33"/>
      <c r="AR28" s="32"/>
      <c r="AS28" s="36"/>
      <c r="AT28" s="32"/>
      <c r="AU28" s="36"/>
      <c r="AV28" s="36"/>
      <c r="AW28" s="36"/>
      <c r="AX28" s="36"/>
      <c r="AY28" s="36"/>
      <c r="AZ28" s="36"/>
      <c r="BA28" s="36"/>
      <c r="BB28" s="36"/>
      <c r="BC28" s="36"/>
      <c r="BD28" s="36"/>
      <c r="BE28" s="36"/>
      <c r="BF28" s="36"/>
      <c r="BG28" s="36"/>
      <c r="BH28" s="36"/>
      <c r="BI28" s="36"/>
      <c r="BJ28" s="36"/>
      <c r="BK28" s="80"/>
      <c r="BL28" s="36"/>
      <c r="BM28" s="36"/>
      <c r="BN28" s="38"/>
      <c r="BO28" s="36"/>
      <c r="BP28" s="38"/>
      <c r="BQ28" s="36"/>
      <c r="BR28" s="38"/>
      <c r="BS28" s="36"/>
      <c r="BT28" s="36"/>
      <c r="BU28" s="36">
        <f t="shared" ca="1" si="19"/>
        <v>17413.262320638973</v>
      </c>
      <c r="BV28" s="36">
        <f ca="1">BU28/$D$6</f>
        <v>174.13262320638972</v>
      </c>
      <c r="BW28" s="38">
        <f>(O28+P28)/$D$6</f>
        <v>0.42</v>
      </c>
      <c r="BX28" s="38"/>
      <c r="BY28" s="39"/>
    </row>
    <row r="29" spans="1:77" ht="22.5" x14ac:dyDescent="0.2">
      <c r="A29" s="20">
        <f t="shared" si="4"/>
        <v>8</v>
      </c>
      <c r="B29" s="27" t="s">
        <v>25</v>
      </c>
      <c r="C29" s="66">
        <v>3</v>
      </c>
      <c r="D29" s="478" t="s">
        <v>118</v>
      </c>
      <c r="E29" s="479"/>
      <c r="F29" s="28" t="s">
        <v>109</v>
      </c>
      <c r="G29" s="36">
        <f>AY32</f>
        <v>50</v>
      </c>
      <c r="H29" s="129">
        <v>42536</v>
      </c>
      <c r="I29" s="129">
        <v>42538</v>
      </c>
      <c r="J29" s="173">
        <f t="shared" si="3"/>
        <v>2</v>
      </c>
      <c r="K29" s="164">
        <f>50/6</f>
        <v>8.3333333333333339</v>
      </c>
      <c r="L29" s="33">
        <f t="shared" si="5"/>
        <v>6</v>
      </c>
      <c r="M29" s="34"/>
      <c r="N29" s="34">
        <v>1</v>
      </c>
      <c r="O29" s="35">
        <f t="shared" si="22"/>
        <v>0</v>
      </c>
      <c r="P29" s="35">
        <f t="shared" si="6"/>
        <v>42</v>
      </c>
      <c r="Q29" s="34">
        <v>2</v>
      </c>
      <c r="R29" s="78">
        <f>IF(AND(O29&gt;0,Q29&gt;0),SUMIF('Исходные данные'!$C$14:H30,Q29,'Исходные данные'!$C$18:$H$18),IF(O29=0,0,IF(Q29=0,"РОТ")))</f>
        <v>0</v>
      </c>
      <c r="S29" s="34">
        <v>2</v>
      </c>
      <c r="T29" s="78">
        <f ca="1">IF(AND(N29&gt;0,P29&gt;0),SUMIF('Исходные данные'!$C$14:$J$30,S29,'Исходные данные'!$C$34:$J$41),IF(N29=0,0,IF(S29=0,"РОТ")))</f>
        <v>105.700598073999</v>
      </c>
      <c r="U29" s="125">
        <f>O29*R29*'Исходные данные'!$C$39%</f>
        <v>0</v>
      </c>
      <c r="V29" s="125">
        <f ca="1">P29*T29*'Исходные данные'!$C$40%</f>
        <v>0</v>
      </c>
      <c r="W29" s="125">
        <f t="shared" si="7"/>
        <v>0</v>
      </c>
      <c r="X29" s="126">
        <f t="shared" ca="1" si="8"/>
        <v>0</v>
      </c>
      <c r="Y29" s="125">
        <f t="shared" si="9"/>
        <v>0</v>
      </c>
      <c r="Z29" s="126">
        <f t="shared" ca="1" si="10"/>
        <v>221.97125595539794</v>
      </c>
      <c r="AA29" s="125">
        <f t="shared" si="11"/>
        <v>0</v>
      </c>
      <c r="AB29" s="126">
        <f t="shared" ca="1" si="12"/>
        <v>0</v>
      </c>
      <c r="AC29" s="124">
        <v>2.5</v>
      </c>
      <c r="AD29" s="125">
        <f t="shared" si="13"/>
        <v>0</v>
      </c>
      <c r="AE29" s="125">
        <f t="shared" ca="1" si="14"/>
        <v>11653.490937658391</v>
      </c>
      <c r="AF29" s="35">
        <f t="shared" ca="1" si="15"/>
        <v>0</v>
      </c>
      <c r="AG29" s="70">
        <f t="shared" ca="1" si="23"/>
        <v>1741.3262320638974</v>
      </c>
      <c r="AH29" s="35">
        <f t="shared" ca="1" si="16"/>
        <v>0</v>
      </c>
      <c r="AI29" s="35">
        <f t="shared" ca="1" si="24"/>
        <v>13394.817169722288</v>
      </c>
      <c r="AJ29" s="35">
        <f t="shared" ca="1" si="17"/>
        <v>0</v>
      </c>
      <c r="AK29" s="70">
        <f t="shared" ca="1" si="25"/>
        <v>4018.4451509166861</v>
      </c>
      <c r="AL29" s="35">
        <f t="shared" ca="1" si="18"/>
        <v>0</v>
      </c>
      <c r="AM29" s="70">
        <f t="shared" ca="1" si="26"/>
        <v>17413.262320638973</v>
      </c>
      <c r="AN29" s="165"/>
      <c r="AO29" s="32"/>
      <c r="AP29" s="74"/>
      <c r="AQ29" s="33"/>
      <c r="AR29" s="32"/>
      <c r="AS29" s="36"/>
      <c r="AT29" s="32"/>
      <c r="AU29" s="36"/>
      <c r="AV29" s="36"/>
      <c r="AW29" s="36"/>
      <c r="AX29" s="36"/>
      <c r="AY29" s="36"/>
      <c r="AZ29" s="36"/>
      <c r="BA29" s="36"/>
      <c r="BB29" s="36"/>
      <c r="BC29" s="36"/>
      <c r="BD29" s="36"/>
      <c r="BE29" s="36"/>
      <c r="BF29" s="36"/>
      <c r="BG29" s="36"/>
      <c r="BH29" s="36"/>
      <c r="BI29" s="36"/>
      <c r="BJ29" s="36"/>
      <c r="BK29" s="80"/>
      <c r="BL29" s="36"/>
      <c r="BM29" s="36"/>
      <c r="BN29" s="38"/>
      <c r="BO29" s="36"/>
      <c r="BP29" s="38"/>
      <c r="BQ29" s="36"/>
      <c r="BR29" s="38"/>
      <c r="BS29" s="36"/>
      <c r="BT29" s="36"/>
      <c r="BU29" s="36">
        <f t="shared" ca="1" si="19"/>
        <v>17413.262320638973</v>
      </c>
      <c r="BV29" s="36">
        <f t="shared" ca="1" si="20"/>
        <v>174.13262320638972</v>
      </c>
      <c r="BW29" s="38">
        <f t="shared" si="21"/>
        <v>0.42</v>
      </c>
      <c r="BX29" s="38"/>
      <c r="BY29" s="39"/>
    </row>
    <row r="30" spans="1:77" ht="33.75" x14ac:dyDescent="0.2">
      <c r="A30" s="20">
        <f t="shared" si="4"/>
        <v>9</v>
      </c>
      <c r="B30" s="27" t="s">
        <v>75</v>
      </c>
      <c r="C30" s="66">
        <v>3</v>
      </c>
      <c r="D30" s="30" t="s">
        <v>105</v>
      </c>
      <c r="E30" s="31" t="s">
        <v>115</v>
      </c>
      <c r="F30" s="28" t="s">
        <v>109</v>
      </c>
      <c r="G30" s="36">
        <f>G29</f>
        <v>50</v>
      </c>
      <c r="H30" s="129">
        <v>42536</v>
      </c>
      <c r="I30" s="129">
        <v>42538</v>
      </c>
      <c r="J30" s="173">
        <f t="shared" si="3"/>
        <v>2</v>
      </c>
      <c r="K30" s="164">
        <f>50/6</f>
        <v>8.3333333333333339</v>
      </c>
      <c r="L30" s="33">
        <f t="shared" si="5"/>
        <v>6</v>
      </c>
      <c r="M30" s="34">
        <v>1</v>
      </c>
      <c r="N30" s="34">
        <v>1</v>
      </c>
      <c r="O30" s="35">
        <f t="shared" si="22"/>
        <v>42</v>
      </c>
      <c r="P30" s="35">
        <f t="shared" si="6"/>
        <v>42</v>
      </c>
      <c r="Q30" s="34">
        <v>2</v>
      </c>
      <c r="R30" s="78">
        <f ca="1">IF(AND(O30&gt;0,Q30&gt;0),SUMIF('Исходные данные'!$C$14:H31,Q30,'Исходные данные'!$C$18:$H$18),IF(O30=0,0,IF(Q30=0,"РОТ")))</f>
        <v>128.66557526609228</v>
      </c>
      <c r="S30" s="34">
        <v>2</v>
      </c>
      <c r="T30" s="78">
        <f ca="1">IF(AND(N30&gt;0,P30&gt;0),SUMIF('Исходные данные'!$C$14:$J$30,S30,'Исходные данные'!$C$34:$J$41),IF(N30=0,0,IF(S30=0,"РОТ")))</f>
        <v>105.700598073999</v>
      </c>
      <c r="U30" s="125">
        <f ca="1">O30*R30*'Исходные данные'!$C$39%</f>
        <v>0</v>
      </c>
      <c r="V30" s="125">
        <f ca="1">P30*T30*'Исходные данные'!$C$40%</f>
        <v>0</v>
      </c>
      <c r="W30" s="125">
        <f t="shared" ca="1" si="7"/>
        <v>0</v>
      </c>
      <c r="X30" s="126">
        <f t="shared" ca="1" si="8"/>
        <v>0</v>
      </c>
      <c r="Y30" s="125">
        <f t="shared" ca="1" si="9"/>
        <v>540.39541611758762</v>
      </c>
      <c r="Z30" s="126">
        <f t="shared" ca="1" si="10"/>
        <v>221.97125595539794</v>
      </c>
      <c r="AA30" s="125">
        <f t="shared" ca="1" si="11"/>
        <v>0</v>
      </c>
      <c r="AB30" s="126">
        <f t="shared" ca="1" si="12"/>
        <v>0</v>
      </c>
      <c r="AC30" s="124">
        <v>2.5</v>
      </c>
      <c r="AD30" s="125">
        <f t="shared" ca="1" si="13"/>
        <v>14860.873943233659</v>
      </c>
      <c r="AE30" s="125">
        <f t="shared" ca="1" si="14"/>
        <v>11653.490937658391</v>
      </c>
      <c r="AF30" s="35">
        <f t="shared" ca="1" si="15"/>
        <v>2220.5903593337648</v>
      </c>
      <c r="AG30" s="70">
        <f t="shared" ca="1" si="23"/>
        <v>1741.3262320638974</v>
      </c>
      <c r="AH30" s="35">
        <f t="shared" ca="1" si="16"/>
        <v>17081.464302567423</v>
      </c>
      <c r="AI30" s="35">
        <f t="shared" ca="1" si="24"/>
        <v>13394.817169722288</v>
      </c>
      <c r="AJ30" s="35">
        <f t="shared" ca="1" si="17"/>
        <v>5124.4392907702268</v>
      </c>
      <c r="AK30" s="70">
        <f t="shared" ca="1" si="25"/>
        <v>4018.4451509166861</v>
      </c>
      <c r="AL30" s="35">
        <f t="shared" ca="1" si="18"/>
        <v>22205.903593337651</v>
      </c>
      <c r="AM30" s="70">
        <f t="shared" ca="1" si="26"/>
        <v>17413.262320638973</v>
      </c>
      <c r="AN30" s="165">
        <v>0.96</v>
      </c>
      <c r="AO30" s="33">
        <f>'Исходные данные'!$C$55</f>
        <v>0.84</v>
      </c>
      <c r="AP30" s="74">
        <f>(G30*AN30)*AO30/100</f>
        <v>0.4032</v>
      </c>
      <c r="AQ30" s="33" t="s">
        <v>152</v>
      </c>
      <c r="AR30" s="78" t="e">
        <f>'Исходные данные'!#REF!</f>
        <v>#REF!</v>
      </c>
      <c r="AS30" s="36" t="e">
        <f>AP30*AR30</f>
        <v>#REF!</v>
      </c>
      <c r="AT30" s="32"/>
      <c r="AU30" s="36"/>
      <c r="AV30" s="36"/>
      <c r="AW30" s="36"/>
      <c r="AX30" s="36"/>
      <c r="AY30" s="36"/>
      <c r="AZ30" s="36"/>
      <c r="BA30" s="36"/>
      <c r="BB30" s="36"/>
      <c r="BC30" s="36"/>
      <c r="BD30" s="36"/>
      <c r="BE30" s="36"/>
      <c r="BF30" s="36"/>
      <c r="BG30" s="36"/>
      <c r="BH30" s="36"/>
      <c r="BI30" s="36">
        <f>аморт!$G$11</f>
        <v>181.91312849162011</v>
      </c>
      <c r="BJ30" s="36">
        <f>BI30*L30</f>
        <v>1091.4787709497207</v>
      </c>
      <c r="BK30" s="80">
        <f>аморт!$G$23</f>
        <v>48.426111111111105</v>
      </c>
      <c r="BL30" s="36">
        <f>BK30*L30</f>
        <v>290.55666666666662</v>
      </c>
      <c r="BM30" s="36"/>
      <c r="BN30" s="38">
        <v>82.4</v>
      </c>
      <c r="BO30" s="36">
        <f>BN30*BY30</f>
        <v>2521.44</v>
      </c>
      <c r="BP30" s="38">
        <v>13.9</v>
      </c>
      <c r="BQ30" s="36">
        <f>BP30*BY30</f>
        <v>425.34</v>
      </c>
      <c r="BR30" s="38">
        <f>4.8*1.045*1.054</f>
        <v>5.2868639999999996</v>
      </c>
      <c r="BS30" s="36">
        <f>BR30*BY30</f>
        <v>161.77803839999999</v>
      </c>
      <c r="BT30" s="36">
        <f>аморт!$C$23*10%/аморт!$E$23*L30*7</f>
        <v>46128.776400000002</v>
      </c>
      <c r="BU30" s="36" t="e">
        <f t="shared" ca="1" si="19"/>
        <v>#REF!</v>
      </c>
      <c r="BV30" s="36" t="e">
        <f t="shared" ca="1" si="20"/>
        <v>#REF!</v>
      </c>
      <c r="BW30" s="38">
        <f t="shared" si="21"/>
        <v>0.84</v>
      </c>
      <c r="BX30" s="38">
        <v>5.0999999999999996</v>
      </c>
      <c r="BY30" s="39">
        <f>BX30*L30</f>
        <v>30.599999999999998</v>
      </c>
    </row>
    <row r="31" spans="1:77" ht="22.5" x14ac:dyDescent="0.2">
      <c r="A31" s="20">
        <f t="shared" si="4"/>
        <v>10</v>
      </c>
      <c r="B31" s="27" t="s">
        <v>26</v>
      </c>
      <c r="C31" s="66">
        <v>3</v>
      </c>
      <c r="D31" s="478" t="s">
        <v>118</v>
      </c>
      <c r="E31" s="479"/>
      <c r="F31" s="28" t="s">
        <v>109</v>
      </c>
      <c r="G31" s="36">
        <f>G30</f>
        <v>50</v>
      </c>
      <c r="H31" s="129">
        <v>42536</v>
      </c>
      <c r="I31" s="129">
        <v>42538</v>
      </c>
      <c r="J31" s="173">
        <f t="shared" si="3"/>
        <v>2</v>
      </c>
      <c r="K31" s="164">
        <f>50/6</f>
        <v>8.3333333333333339</v>
      </c>
      <c r="L31" s="33">
        <f t="shared" si="5"/>
        <v>6</v>
      </c>
      <c r="M31" s="34"/>
      <c r="N31" s="34">
        <v>1</v>
      </c>
      <c r="O31" s="35">
        <f>IF(M31=0,0,L31*$O$17)</f>
        <v>0</v>
      </c>
      <c r="P31" s="35">
        <f t="shared" si="6"/>
        <v>42</v>
      </c>
      <c r="Q31" s="34">
        <v>2</v>
      </c>
      <c r="R31" s="78">
        <f>IF(AND(O31&gt;0,Q31&gt;0),SUMIF('Исходные данные'!$C$14:H32,Q31,'Исходные данные'!$C$18:$H$18),IF(O31=0,0,IF(Q31=0,"РОТ")))</f>
        <v>0</v>
      </c>
      <c r="S31" s="34">
        <v>2</v>
      </c>
      <c r="T31" s="78">
        <f ca="1">IF(AND(N31&gt;0,P31&gt;0),SUMIF('Исходные данные'!$C$14:$J$30,S31,'Исходные данные'!$C$34:$J$41),IF(N31=0,0,IF(S31=0,"РОТ")))</f>
        <v>105.700598073999</v>
      </c>
      <c r="U31" s="125">
        <f>O31*R31*'Исходные данные'!$C$39%</f>
        <v>0</v>
      </c>
      <c r="V31" s="125">
        <f ca="1">P31*T31*'Исходные данные'!$C$40%</f>
        <v>0</v>
      </c>
      <c r="W31" s="125">
        <f t="shared" si="7"/>
        <v>0</v>
      </c>
      <c r="X31" s="126">
        <f t="shared" ca="1" si="8"/>
        <v>0</v>
      </c>
      <c r="Y31" s="125">
        <f t="shared" si="9"/>
        <v>0</v>
      </c>
      <c r="Z31" s="126">
        <f t="shared" ca="1" si="10"/>
        <v>221.97125595539794</v>
      </c>
      <c r="AA31" s="125">
        <f t="shared" si="11"/>
        <v>0</v>
      </c>
      <c r="AB31" s="126">
        <f t="shared" ca="1" si="12"/>
        <v>0</v>
      </c>
      <c r="AC31" s="124">
        <v>2.5</v>
      </c>
      <c r="AD31" s="125">
        <f t="shared" si="13"/>
        <v>0</v>
      </c>
      <c r="AE31" s="125">
        <f t="shared" ca="1" si="14"/>
        <v>11653.490937658391</v>
      </c>
      <c r="AF31" s="35">
        <f t="shared" ca="1" si="15"/>
        <v>0</v>
      </c>
      <c r="AG31" s="70">
        <f t="shared" ca="1" si="23"/>
        <v>1741.3262320638974</v>
      </c>
      <c r="AH31" s="35">
        <f t="shared" ca="1" si="16"/>
        <v>0</v>
      </c>
      <c r="AI31" s="35">
        <f t="shared" ca="1" si="24"/>
        <v>13394.817169722288</v>
      </c>
      <c r="AJ31" s="35">
        <f t="shared" ca="1" si="17"/>
        <v>0</v>
      </c>
      <c r="AK31" s="70">
        <f t="shared" ca="1" si="25"/>
        <v>4018.4451509166861</v>
      </c>
      <c r="AL31" s="35">
        <f t="shared" ca="1" si="18"/>
        <v>0</v>
      </c>
      <c r="AM31" s="70">
        <f t="shared" ca="1" si="26"/>
        <v>17413.262320638973</v>
      </c>
      <c r="AN31" s="165"/>
      <c r="AO31" s="32"/>
      <c r="AP31" s="74"/>
      <c r="AQ31" s="33"/>
      <c r="AR31" s="32"/>
      <c r="AS31" s="36"/>
      <c r="AT31" s="32"/>
      <c r="AU31" s="36"/>
      <c r="AV31" s="36"/>
      <c r="AW31" s="36"/>
      <c r="AX31" s="36"/>
      <c r="AY31" s="36"/>
      <c r="AZ31" s="36"/>
      <c r="BA31" s="36"/>
      <c r="BB31" s="36"/>
      <c r="BC31" s="36"/>
      <c r="BD31" s="36"/>
      <c r="BE31" s="36"/>
      <c r="BF31" s="36"/>
      <c r="BG31" s="36"/>
      <c r="BH31" s="36"/>
      <c r="BI31" s="36"/>
      <c r="BJ31" s="36"/>
      <c r="BK31" s="80"/>
      <c r="BL31" s="36"/>
      <c r="BM31" s="36"/>
      <c r="BN31" s="38"/>
      <c r="BO31" s="36"/>
      <c r="BP31" s="38"/>
      <c r="BQ31" s="36"/>
      <c r="BR31" s="38"/>
      <c r="BS31" s="36"/>
      <c r="BT31" s="36"/>
      <c r="BU31" s="36">
        <f ca="1">AL31+AM31+AS31+AW31+BA31+BE31+BH31+BJ31+BL31+BM31+BO31+BQ31+BS31+BT31</f>
        <v>17413.262320638973</v>
      </c>
      <c r="BV31" s="36">
        <f t="shared" ca="1" si="20"/>
        <v>174.13262320638972</v>
      </c>
      <c r="BW31" s="38">
        <f t="shared" si="21"/>
        <v>0.42</v>
      </c>
      <c r="BX31" s="38"/>
      <c r="BY31" s="39"/>
    </row>
    <row r="32" spans="1:77" ht="67.5" x14ac:dyDescent="0.2">
      <c r="A32" s="20">
        <f t="shared" si="4"/>
        <v>11</v>
      </c>
      <c r="B32" s="27" t="s">
        <v>492</v>
      </c>
      <c r="C32" s="66">
        <v>2</v>
      </c>
      <c r="D32" s="30" t="s">
        <v>183</v>
      </c>
      <c r="E32" s="79" t="s">
        <v>488</v>
      </c>
      <c r="F32" s="28" t="s">
        <v>106</v>
      </c>
      <c r="G32" s="29">
        <f>D6</f>
        <v>100</v>
      </c>
      <c r="H32" s="129">
        <f>H25</f>
        <v>42536</v>
      </c>
      <c r="I32" s="129">
        <v>42538</v>
      </c>
      <c r="J32" s="173">
        <f>I32-H32</f>
        <v>2</v>
      </c>
      <c r="K32" s="164">
        <f>6.7*8</f>
        <v>53.6</v>
      </c>
      <c r="L32" s="33">
        <f t="shared" si="5"/>
        <v>1.8656716417910448</v>
      </c>
      <c r="M32" s="34">
        <v>1</v>
      </c>
      <c r="N32" s="34">
        <v>1</v>
      </c>
      <c r="O32" s="35">
        <f t="shared" si="22"/>
        <v>13.059701492537314</v>
      </c>
      <c r="P32" s="35">
        <f>IF(N32=0,0,L32*$O$17)</f>
        <v>13.059701492537314</v>
      </c>
      <c r="Q32" s="34">
        <v>5</v>
      </c>
      <c r="R32" s="78">
        <f ca="1">IF(AND(O32&gt;0,Q32&gt;0),SUMIF('Исходные данные'!$C$14:H33,Q32,'Исходные данные'!$C$18:$H$18),IF(O32=0,0,IF(Q32=0,"РОТ")))</f>
        <v>179.78980233147493</v>
      </c>
      <c r="S32" s="34">
        <v>2</v>
      </c>
      <c r="T32" s="78">
        <f ca="1">IF(AND(N32&gt;0,P32&gt;0),SUMIF('Исходные данные'!$C$14:$J$30,S32,'Исходные данные'!$C$34:$J$41),IF(N32=0,0,IF(S32=0,"РОТ")))</f>
        <v>105.700598073999</v>
      </c>
      <c r="U32" s="125">
        <f ca="1">O32*R32*'Исходные данные'!$C$39%</f>
        <v>0</v>
      </c>
      <c r="V32" s="125">
        <f ca="1">P32*T32*'Исходные данные'!$C$40%</f>
        <v>0</v>
      </c>
      <c r="W32" s="125">
        <f t="shared" ca="1" si="7"/>
        <v>0</v>
      </c>
      <c r="X32" s="126">
        <f t="shared" ca="1" si="8"/>
        <v>0</v>
      </c>
      <c r="Y32" s="125">
        <f t="shared" ca="1" si="9"/>
        <v>234.8001149851352</v>
      </c>
      <c r="Z32" s="126">
        <f t="shared" ca="1" si="10"/>
        <v>69.020912921454581</v>
      </c>
      <c r="AA32" s="125">
        <f t="shared" ca="1" si="11"/>
        <v>0</v>
      </c>
      <c r="AB32" s="126">
        <f t="shared" ca="1" si="12"/>
        <v>0</v>
      </c>
      <c r="AC32" s="124">
        <v>2.5</v>
      </c>
      <c r="AD32" s="125">
        <f t="shared" ca="1" si="13"/>
        <v>6457.0031620912177</v>
      </c>
      <c r="AE32" s="125">
        <f t="shared" ca="1" si="14"/>
        <v>3623.5979283763654</v>
      </c>
      <c r="AF32" s="35">
        <f t="shared" ca="1" si="15"/>
        <v>964.83955295615885</v>
      </c>
      <c r="AG32" s="70">
        <f t="shared" ca="1" si="23"/>
        <v>541.45716171141089</v>
      </c>
      <c r="AH32" s="35">
        <f t="shared" ca="1" si="16"/>
        <v>7421.8427150473763</v>
      </c>
      <c r="AI32" s="35">
        <f t="shared" ca="1" si="24"/>
        <v>4165.0550900877761</v>
      </c>
      <c r="AJ32" s="35">
        <f t="shared" ca="1" si="17"/>
        <v>2226.552814514213</v>
      </c>
      <c r="AK32" s="70">
        <f t="shared" ca="1" si="25"/>
        <v>1249.5165270263328</v>
      </c>
      <c r="AL32" s="35">
        <f t="shared" ca="1" si="18"/>
        <v>9648.3955295615888</v>
      </c>
      <c r="AM32" s="70">
        <f t="shared" ca="1" si="26"/>
        <v>5414.5716171141084</v>
      </c>
      <c r="AN32" s="165">
        <v>9</v>
      </c>
      <c r="AO32" s="33">
        <f>'Исходные данные'!$C$55</f>
        <v>0.84</v>
      </c>
      <c r="AP32" s="74">
        <f>(G32*AN32)*AO32/100</f>
        <v>7.56</v>
      </c>
      <c r="AQ32" s="33" t="s">
        <v>152</v>
      </c>
      <c r="AR32" s="78" t="e">
        <f>'Исходные данные'!#REF!</f>
        <v>#REF!</v>
      </c>
      <c r="AS32" s="36" t="e">
        <f>AP32*AR32</f>
        <v>#REF!</v>
      </c>
      <c r="AT32" s="165">
        <f>1+0.05</f>
        <v>1.05</v>
      </c>
      <c r="AU32" s="36">
        <f>AT32*G32/10</f>
        <v>10.5</v>
      </c>
      <c r="AV32" s="74">
        <v>21</v>
      </c>
      <c r="AW32" s="36">
        <f>AU32*AV32*1000</f>
        <v>220500</v>
      </c>
      <c r="AX32" s="38">
        <v>5</v>
      </c>
      <c r="AY32" s="36">
        <f>AX32*G32/10</f>
        <v>50</v>
      </c>
      <c r="AZ32" s="38" t="e">
        <f>Нормы!#REF!</f>
        <v>#REF!</v>
      </c>
      <c r="BA32" s="36" t="e">
        <f>AY32*AZ32*1000</f>
        <v>#REF!</v>
      </c>
      <c r="BB32" s="36"/>
      <c r="BC32" s="36"/>
      <c r="BD32" s="36"/>
      <c r="BE32" s="36"/>
      <c r="BF32" s="36"/>
      <c r="BG32" s="36"/>
      <c r="BH32" s="36"/>
      <c r="BI32" s="36">
        <f>аморт!$G$11</f>
        <v>181.91312849162011</v>
      </c>
      <c r="BJ32" s="36">
        <f>BI32*L32</f>
        <v>339.39016509630619</v>
      </c>
      <c r="BK32" s="36">
        <f>аморт!$G$83</f>
        <v>214.94602272727272</v>
      </c>
      <c r="BL32" s="36">
        <f>BK32*L32</f>
        <v>401.01869911804613</v>
      </c>
      <c r="BM32" s="36"/>
      <c r="BN32" s="38">
        <v>82.4</v>
      </c>
      <c r="BO32" s="36">
        <f>BN32*BY32</f>
        <v>784.02985074626872</v>
      </c>
      <c r="BP32" s="38">
        <v>13.9</v>
      </c>
      <c r="BQ32" s="36">
        <f>BP32*BY32</f>
        <v>132.25746268656718</v>
      </c>
      <c r="BR32" s="38">
        <f>4.8*1.045*1.054</f>
        <v>5.2868639999999996</v>
      </c>
      <c r="BS32" s="36">
        <f>BR32*BY32</f>
        <v>50.304116417910443</v>
      </c>
      <c r="BT32" s="36">
        <f>аморт!$C$83*10%/аморт!$E$83*L32*7</f>
        <v>19762.201492537315</v>
      </c>
      <c r="BU32" s="36" t="e">
        <f t="shared" ca="1" si="19"/>
        <v>#REF!</v>
      </c>
      <c r="BV32" s="36" t="e">
        <f t="shared" ca="1" si="20"/>
        <v>#REF!</v>
      </c>
      <c r="BW32" s="38">
        <f>(O32+P32)/$D$6</f>
        <v>0.2611940298507463</v>
      </c>
      <c r="BX32" s="38">
        <v>5.0999999999999996</v>
      </c>
      <c r="BY32" s="39">
        <f>BX32*L32</f>
        <v>9.5149253731343286</v>
      </c>
    </row>
    <row r="33" spans="1:77" x14ac:dyDescent="0.2">
      <c r="A33" s="20"/>
      <c r="B33" s="27"/>
      <c r="C33" s="66"/>
      <c r="D33" s="30"/>
      <c r="E33" s="31"/>
      <c r="F33" s="28"/>
      <c r="G33" s="29"/>
      <c r="H33" s="76"/>
      <c r="I33" s="76"/>
      <c r="J33" s="78"/>
      <c r="K33" s="32"/>
      <c r="L33" s="33"/>
      <c r="M33" s="34"/>
      <c r="N33" s="34"/>
      <c r="O33" s="35"/>
      <c r="P33" s="35"/>
      <c r="Q33" s="34"/>
      <c r="R33" s="78"/>
      <c r="S33" s="34"/>
      <c r="T33" s="33"/>
      <c r="U33" s="125"/>
      <c r="V33" s="125"/>
      <c r="W33" s="125"/>
      <c r="X33" s="126"/>
      <c r="Y33" s="125"/>
      <c r="Z33" s="126"/>
      <c r="AA33" s="125"/>
      <c r="AB33" s="126"/>
      <c r="AC33" s="124"/>
      <c r="AD33" s="125"/>
      <c r="AE33" s="125"/>
      <c r="AF33" s="35"/>
      <c r="AG33" s="70"/>
      <c r="AH33" s="35"/>
      <c r="AI33" s="35"/>
      <c r="AJ33" s="35"/>
      <c r="AK33" s="70"/>
      <c r="AL33" s="35"/>
      <c r="AM33" s="70"/>
      <c r="AN33" s="32"/>
      <c r="AO33" s="33"/>
      <c r="AP33" s="74"/>
      <c r="AQ33" s="33"/>
      <c r="AR33" s="78"/>
      <c r="AS33" s="36"/>
      <c r="AT33" s="32"/>
      <c r="AU33" s="36"/>
      <c r="AV33" s="36"/>
      <c r="AW33" s="36"/>
      <c r="AX33" s="36"/>
      <c r="AY33" s="36"/>
      <c r="AZ33" s="36"/>
      <c r="BA33" s="36"/>
      <c r="BB33" s="36"/>
      <c r="BC33" s="36"/>
      <c r="BD33" s="36"/>
      <c r="BE33" s="36"/>
      <c r="BF33" s="36"/>
      <c r="BG33" s="36"/>
      <c r="BH33" s="36"/>
      <c r="BI33" s="36"/>
      <c r="BJ33" s="36"/>
      <c r="BK33" s="36"/>
      <c r="BL33" s="36"/>
      <c r="BM33" s="36"/>
      <c r="BN33" s="38"/>
      <c r="BO33" s="36"/>
      <c r="BP33" s="38"/>
      <c r="BQ33" s="36"/>
      <c r="BR33" s="38"/>
      <c r="BS33" s="36"/>
      <c r="BT33" s="36"/>
      <c r="BU33" s="36"/>
      <c r="BV33" s="36"/>
      <c r="BW33" s="38"/>
      <c r="BX33" s="38"/>
      <c r="BY33" s="39"/>
    </row>
    <row r="34" spans="1:77" s="54" customFormat="1" x14ac:dyDescent="0.2">
      <c r="A34" s="52"/>
      <c r="B34" s="53" t="s">
        <v>21</v>
      </c>
      <c r="C34" s="53"/>
      <c r="D34" s="53"/>
      <c r="E34" s="53"/>
      <c r="F34" s="55"/>
      <c r="G34" s="56"/>
      <c r="H34" s="56"/>
      <c r="I34" s="56"/>
      <c r="J34" s="65">
        <f>SUM(J22:J33)</f>
        <v>33</v>
      </c>
      <c r="K34" s="65"/>
      <c r="L34" s="65">
        <f>SUM(L22:L33)</f>
        <v>57.359719260838666</v>
      </c>
      <c r="M34" s="65">
        <f>SUM(M22:M33)</f>
        <v>8</v>
      </c>
      <c r="N34" s="65">
        <f>SUM(N22:N33)</f>
        <v>7</v>
      </c>
      <c r="O34" s="65">
        <f>SUM(O22:O33)</f>
        <v>275.5180348258707</v>
      </c>
      <c r="P34" s="65">
        <f>SUM(P22:P33)</f>
        <v>265.05970149253733</v>
      </c>
      <c r="Q34" s="65"/>
      <c r="R34" s="65"/>
      <c r="S34" s="65"/>
      <c r="T34" s="65"/>
      <c r="U34" s="65">
        <f t="shared" ref="U34:AM34" ca="1" si="27">SUM(U22:U33)</f>
        <v>0</v>
      </c>
      <c r="V34" s="65">
        <f t="shared" ca="1" si="27"/>
        <v>0</v>
      </c>
      <c r="W34" s="65">
        <f t="shared" ca="1" si="27"/>
        <v>0</v>
      </c>
      <c r="X34" s="65">
        <f t="shared" ca="1" si="27"/>
        <v>0</v>
      </c>
      <c r="Y34" s="65">
        <f t="shared" ca="1" si="27"/>
        <v>4319.0407982086526</v>
      </c>
      <c r="Z34" s="65">
        <f t="shared" ca="1" si="27"/>
        <v>1400.8484486538421</v>
      </c>
      <c r="AA34" s="65">
        <f t="shared" ca="1" si="27"/>
        <v>0</v>
      </c>
      <c r="AB34" s="65">
        <f t="shared" ca="1" si="27"/>
        <v>0</v>
      </c>
      <c r="AC34" s="65"/>
      <c r="AD34" s="65">
        <f t="shared" ca="1" si="27"/>
        <v>118773.62195073797</v>
      </c>
      <c r="AE34" s="65">
        <f t="shared" ca="1" si="27"/>
        <v>73544.543554326709</v>
      </c>
      <c r="AF34" s="65">
        <f t="shared" ca="1" si="27"/>
        <v>17747.782590340154</v>
      </c>
      <c r="AG34" s="65">
        <f t="shared" ca="1" si="27"/>
        <v>10989.414554094794</v>
      </c>
      <c r="AH34" s="65">
        <f t="shared" ca="1" si="27"/>
        <v>136521.40454107811</v>
      </c>
      <c r="AI34" s="65">
        <f t="shared" ca="1" si="27"/>
        <v>84533.958108421502</v>
      </c>
      <c r="AJ34" s="65">
        <f t="shared" ca="1" si="27"/>
        <v>40956.421362323439</v>
      </c>
      <c r="AK34" s="65">
        <f t="shared" ca="1" si="27"/>
        <v>25360.187432526447</v>
      </c>
      <c r="AL34" s="65">
        <f t="shared" ca="1" si="27"/>
        <v>177477.82590340159</v>
      </c>
      <c r="AM34" s="65">
        <f t="shared" ca="1" si="27"/>
        <v>109894.14554094794</v>
      </c>
      <c r="AN34" s="65"/>
      <c r="AO34" s="65"/>
      <c r="AP34" s="65">
        <f>SUM(AP22:AP33)</f>
        <v>33.979872</v>
      </c>
      <c r="AQ34" s="65"/>
      <c r="AR34" s="65"/>
      <c r="AS34" s="65" t="e">
        <f>SUM(AS22:AS33)</f>
        <v>#REF!</v>
      </c>
      <c r="AT34" s="65"/>
      <c r="AU34" s="65">
        <f>SUM(AU22:AU33)</f>
        <v>10.5</v>
      </c>
      <c r="AV34" s="65"/>
      <c r="AW34" s="65">
        <f>SUM(AW22:AW33)</f>
        <v>220500</v>
      </c>
      <c r="AX34" s="65"/>
      <c r="AY34" s="65">
        <f>SUM(AY22:AY33)</f>
        <v>50</v>
      </c>
      <c r="AZ34" s="65"/>
      <c r="BA34" s="65" t="e">
        <f>SUM(BA22:BA33)</f>
        <v>#REF!</v>
      </c>
      <c r="BB34" s="65"/>
      <c r="BC34" s="65">
        <f>SUM(BC22:BC33)</f>
        <v>0</v>
      </c>
      <c r="BD34" s="65"/>
      <c r="BE34" s="65">
        <f>SUM(BE22:BE33)</f>
        <v>0</v>
      </c>
      <c r="BF34" s="65"/>
      <c r="BG34" s="65"/>
      <c r="BH34" s="65"/>
      <c r="BI34" s="65"/>
      <c r="BJ34" s="65">
        <f>SUM(BJ22:BJ33)</f>
        <v>4084.2616120032744</v>
      </c>
      <c r="BK34" s="65"/>
      <c r="BL34" s="65">
        <f>SUM(BL22:BL33)</f>
        <v>2216.9069720156754</v>
      </c>
      <c r="BM34" s="65"/>
      <c r="BN34" s="65"/>
      <c r="BO34" s="65">
        <f>SUM(BO22:BO33)</f>
        <v>23268.427707889121</v>
      </c>
      <c r="BP34" s="65"/>
      <c r="BQ34" s="65">
        <f>SUM(BQ22:BQ33)</f>
        <v>2995.0267484008532</v>
      </c>
      <c r="BR34" s="65"/>
      <c r="BS34" s="65">
        <f>SUM(BS22:BS33)</f>
        <v>1868.0876669679103</v>
      </c>
      <c r="BT34" s="65">
        <f>SUM(BT22:BT33)</f>
        <v>238347.68595920398</v>
      </c>
      <c r="BU34" s="65" t="e">
        <f ca="1">SUM(BU22:BU33)</f>
        <v>#REF!</v>
      </c>
      <c r="BV34" s="65"/>
      <c r="BW34" s="65"/>
      <c r="BX34" s="65"/>
      <c r="BY34" s="65">
        <f>SUM(BY22:BY33)</f>
        <v>277.50063965884857</v>
      </c>
    </row>
    <row r="35" spans="1:77" s="7" customFormat="1" x14ac:dyDescent="0.2">
      <c r="A35" s="21"/>
      <c r="B35" s="477" t="s">
        <v>72</v>
      </c>
      <c r="C35" s="477"/>
      <c r="D35" s="477"/>
      <c r="E35" s="477"/>
      <c r="F35" s="22"/>
      <c r="G35" s="23"/>
      <c r="H35" s="23"/>
      <c r="I35" s="23"/>
      <c r="J35" s="23"/>
      <c r="K35" s="23"/>
      <c r="L35" s="40"/>
      <c r="M35" s="23"/>
      <c r="N35" s="23"/>
      <c r="O35" s="41"/>
      <c r="P35" s="41"/>
      <c r="Q35" s="25"/>
      <c r="R35" s="23"/>
      <c r="S35" s="25"/>
      <c r="T35" s="23"/>
      <c r="U35" s="41"/>
      <c r="V35" s="41"/>
      <c r="W35" s="41"/>
      <c r="X35" s="41"/>
      <c r="Y35" s="41"/>
      <c r="Z35" s="41"/>
      <c r="AA35" s="41"/>
      <c r="AB35" s="41"/>
      <c r="AC35" s="41"/>
      <c r="AD35" s="41"/>
      <c r="AE35" s="41"/>
      <c r="AF35" s="41"/>
      <c r="AG35" s="41"/>
      <c r="AH35" s="41"/>
      <c r="AI35" s="41"/>
      <c r="AJ35" s="41"/>
      <c r="AK35" s="41"/>
      <c r="AL35" s="41"/>
      <c r="AM35" s="41"/>
      <c r="AN35" s="23"/>
      <c r="AO35" s="23"/>
      <c r="AP35" s="42"/>
      <c r="AQ35" s="26"/>
      <c r="AR35" s="26"/>
      <c r="AS35" s="42"/>
      <c r="AT35" s="23"/>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row>
    <row r="36" spans="1:77" s="7" customFormat="1" ht="22.5" x14ac:dyDescent="0.2">
      <c r="A36" s="19">
        <v>1</v>
      </c>
      <c r="B36" s="27" t="s">
        <v>73</v>
      </c>
      <c r="C36" s="66">
        <v>1</v>
      </c>
      <c r="D36" s="480" t="s">
        <v>131</v>
      </c>
      <c r="E36" s="481"/>
      <c r="F36" s="28" t="s">
        <v>106</v>
      </c>
      <c r="G36" s="29">
        <v>100</v>
      </c>
      <c r="H36" s="172">
        <v>42537</v>
      </c>
      <c r="I36" s="172">
        <v>42542</v>
      </c>
      <c r="J36" s="173">
        <f t="shared" ref="J36:J41" si="28">I36-H36+1</f>
        <v>6</v>
      </c>
      <c r="K36" s="164">
        <f t="shared" ref="K36:K41" si="29">G36/J36</f>
        <v>16.666666666666668</v>
      </c>
      <c r="L36" s="33">
        <f t="shared" ref="L36:L41" si="30">G36/K36</f>
        <v>6</v>
      </c>
      <c r="M36" s="30"/>
      <c r="N36" s="30">
        <v>1</v>
      </c>
      <c r="O36" s="35">
        <f t="shared" ref="O36:O41" si="31">IF(M36=0,0,L36*$O$17)</f>
        <v>0</v>
      </c>
      <c r="P36" s="35">
        <f t="shared" ref="P36:P41" si="32">IF(N36=0,0,L36*$O$17)</f>
        <v>42</v>
      </c>
      <c r="Q36" s="80">
        <v>5</v>
      </c>
      <c r="R36" s="78">
        <f>'Исходные данные'!$G$22</f>
        <v>197.57121135326915</v>
      </c>
      <c r="S36" s="178">
        <v>5</v>
      </c>
      <c r="T36" s="78">
        <f ca="1">IF(AND(N36&gt;0,P36&gt;0),SUMIF('Исходные данные'!$C$14:$J$30,S36,'Исходные данные'!$C$34:$J$41),IF(N36=0,0,IF(S36=0,"РОТ")))</f>
        <v>136.32413583375569</v>
      </c>
      <c r="U36" s="125">
        <f>O36*R36*'Исходные данные'!$C$39%</f>
        <v>0</v>
      </c>
      <c r="V36" s="125">
        <f ca="1">P36*T36*'Исходные данные'!$C$40%</f>
        <v>0</v>
      </c>
      <c r="W36" s="125">
        <f t="shared" ref="W36:W41" si="33">O36*R36*$W$17</f>
        <v>0</v>
      </c>
      <c r="X36" s="126">
        <f t="shared" ref="X36:X41" ca="1" si="34">P36*T36*$W$17</f>
        <v>0</v>
      </c>
      <c r="Y36" s="125">
        <f t="shared" ref="Y36:Y41" si="35">(O36*R36+U36+W36)*$Y$17</f>
        <v>0</v>
      </c>
      <c r="Z36" s="126">
        <f t="shared" ref="Z36:Z41" ca="1" si="36">(P36*T36+V36+X36)*$Z$17</f>
        <v>286.28068525088696</v>
      </c>
      <c r="AA36" s="125">
        <f t="shared" ref="AA36:AA41" si="37">(O36*R36+U36)*$AA$17</f>
        <v>0</v>
      </c>
      <c r="AB36" s="126">
        <f t="shared" ref="AB36:AB41" ca="1" si="38">(P36*T36+V36)*$AA$17</f>
        <v>0</v>
      </c>
      <c r="AC36" s="124">
        <v>2.5</v>
      </c>
      <c r="AD36" s="125">
        <f t="shared" ref="AD36:AD41" si="39">(O36*R36+U36+W36+Y36+AA36)*AC36</f>
        <v>0</v>
      </c>
      <c r="AE36" s="125">
        <f t="shared" ref="AE36:AE41" ca="1" si="40">(P36*T36+V36+X36+Z36+AB36)*AC36</f>
        <v>15029.735975671563</v>
      </c>
      <c r="AF36" s="35">
        <f t="shared" ref="AF36:AG41" ca="1" si="41">AD36*$AF$17</f>
        <v>0</v>
      </c>
      <c r="AG36" s="70">
        <f t="shared" ca="1" si="41"/>
        <v>2245.8226170543712</v>
      </c>
      <c r="AH36" s="35">
        <f t="shared" ref="AH36:AI41" ca="1" si="42">AD36+AF36</f>
        <v>0</v>
      </c>
      <c r="AI36" s="35">
        <f t="shared" ca="1" si="42"/>
        <v>17275.558592725934</v>
      </c>
      <c r="AJ36" s="35">
        <f t="shared" ref="AJ36:AK41" ca="1" si="43">AH36*$AJ$17</f>
        <v>0</v>
      </c>
      <c r="AK36" s="70">
        <f t="shared" ca="1" si="43"/>
        <v>5182.6675778177805</v>
      </c>
      <c r="AL36" s="35">
        <f t="shared" ref="AL36:AL41" ca="1" si="44">AH36+AJ36</f>
        <v>0</v>
      </c>
      <c r="AM36" s="70">
        <f t="shared" ref="AM36:AM41" ca="1" si="45">AK36+AI36</f>
        <v>22458.226170543716</v>
      </c>
      <c r="AN36" s="165">
        <f>2419/G36</f>
        <v>24.19</v>
      </c>
      <c r="AO36" s="33">
        <f>'Исходные данные'!$C$55</f>
        <v>0.84</v>
      </c>
      <c r="AP36" s="74">
        <f t="shared" ref="AP36:AP41" si="46">(G36*AN36)*AO36/100</f>
        <v>20.319600000000001</v>
      </c>
      <c r="AQ36" s="33" t="s">
        <v>152</v>
      </c>
      <c r="AR36" s="78" t="e">
        <f>'Исходные данные'!#REF!</f>
        <v>#REF!</v>
      </c>
      <c r="AS36" s="36" t="e">
        <f t="shared" ref="AS36:AS41" si="47">AP36*AR36</f>
        <v>#REF!</v>
      </c>
      <c r="AT36" s="23"/>
      <c r="AU36" s="42"/>
      <c r="AV36" s="42"/>
      <c r="AW36" s="42"/>
      <c r="AX36" s="42"/>
      <c r="AY36" s="42"/>
      <c r="AZ36" s="42"/>
      <c r="BA36" s="42"/>
      <c r="BB36" s="42"/>
      <c r="BC36" s="42"/>
      <c r="BD36" s="42"/>
      <c r="BE36" s="42"/>
      <c r="BF36" s="42"/>
      <c r="BG36" s="42"/>
      <c r="BH36" s="42"/>
      <c r="BI36" s="42"/>
      <c r="BJ36" s="36">
        <f t="shared" ref="BJ36:BJ41" si="48">BI36*L36</f>
        <v>0</v>
      </c>
      <c r="BK36" s="36">
        <f>аморт!$G$88</f>
        <v>114.406775</v>
      </c>
      <c r="BL36" s="36">
        <f t="shared" ref="BL36:BL41" si="49">BK36*L36</f>
        <v>686.44065000000001</v>
      </c>
      <c r="BM36" s="36"/>
      <c r="BN36" s="42"/>
      <c r="BO36" s="36">
        <f t="shared" ref="BO36:BO41" si="50">BN36*BY36</f>
        <v>0</v>
      </c>
      <c r="BP36" s="42"/>
      <c r="BQ36" s="36">
        <f t="shared" ref="BQ36:BQ41" si="51">BP36*BY36</f>
        <v>0</v>
      </c>
      <c r="BR36" s="42"/>
      <c r="BS36" s="36">
        <f t="shared" ref="BS36:BS41" si="52">BR36*BY36</f>
        <v>0</v>
      </c>
      <c r="BT36" s="36">
        <f>аморт!$C$88*10%/аморт!$E$88*L36*7</f>
        <v>30752.541119999998</v>
      </c>
      <c r="BU36" s="36" t="e">
        <f t="shared" ref="BU36:BU41" ca="1" si="53">AL36+AM36+AS36+AW36+BA36+BE36+BH36+BJ36+BL36+BM36+BO36+BQ36+BS36+BT36</f>
        <v>#REF!</v>
      </c>
      <c r="BV36" s="36" t="e">
        <f t="shared" ref="BV36:BV41" ca="1" si="54">BU36/$D$6</f>
        <v>#REF!</v>
      </c>
      <c r="BW36" s="38">
        <f t="shared" ref="BW36:BW41" si="55">(O36+P36)/$D$6</f>
        <v>0.42</v>
      </c>
      <c r="BX36" s="42"/>
      <c r="BY36" s="39">
        <f t="shared" ref="BY36:BY41" si="56">BX36*L36</f>
        <v>0</v>
      </c>
    </row>
    <row r="37" spans="1:77" s="7" customFormat="1" x14ac:dyDescent="0.2">
      <c r="A37" s="20">
        <f>A36+1</f>
        <v>2</v>
      </c>
      <c r="B37" s="27" t="s">
        <v>74</v>
      </c>
      <c r="C37" s="66">
        <v>1</v>
      </c>
      <c r="D37" s="30" t="s">
        <v>103</v>
      </c>
      <c r="E37" s="31" t="s">
        <v>132</v>
      </c>
      <c r="F37" s="28" t="s">
        <v>106</v>
      </c>
      <c r="G37" s="29">
        <v>100</v>
      </c>
      <c r="H37" s="172">
        <f>H36</f>
        <v>42537</v>
      </c>
      <c r="I37" s="172">
        <f>I36</f>
        <v>42542</v>
      </c>
      <c r="J37" s="173">
        <f t="shared" si="28"/>
        <v>6</v>
      </c>
      <c r="K37" s="164">
        <f t="shared" si="29"/>
        <v>16.666666666666668</v>
      </c>
      <c r="L37" s="33">
        <f t="shared" si="30"/>
        <v>6</v>
      </c>
      <c r="M37" s="30">
        <v>1</v>
      </c>
      <c r="N37" s="30"/>
      <c r="O37" s="35">
        <f t="shared" si="31"/>
        <v>42</v>
      </c>
      <c r="P37" s="35">
        <f t="shared" si="32"/>
        <v>0</v>
      </c>
      <c r="Q37" s="80">
        <v>5</v>
      </c>
      <c r="R37" s="78">
        <f>'Исходные данные'!$G$22</f>
        <v>197.57121135326915</v>
      </c>
      <c r="S37" s="178">
        <v>5</v>
      </c>
      <c r="T37" s="78">
        <f>IF(AND(N37&gt;0,P37&gt;0),SUMIF('Исходные данные'!$C$14:$J$30,S37,'Исходные данные'!$C$34:$J$41),IF(N37=0,0,IF(S37=0,"РОТ")))</f>
        <v>0</v>
      </c>
      <c r="U37" s="125">
        <f>O37*R37*'Исходные данные'!$C$39%</f>
        <v>0</v>
      </c>
      <c r="V37" s="125">
        <f>P37*T37*'Исходные данные'!$C$40%</f>
        <v>0</v>
      </c>
      <c r="W37" s="125">
        <f t="shared" si="33"/>
        <v>0</v>
      </c>
      <c r="X37" s="126">
        <f t="shared" si="34"/>
        <v>0</v>
      </c>
      <c r="Y37" s="125">
        <f t="shared" si="35"/>
        <v>829.79908768373048</v>
      </c>
      <c r="Z37" s="126">
        <f t="shared" si="36"/>
        <v>0</v>
      </c>
      <c r="AA37" s="125">
        <f t="shared" si="37"/>
        <v>0</v>
      </c>
      <c r="AB37" s="126">
        <f t="shared" si="38"/>
        <v>0</v>
      </c>
      <c r="AC37" s="124">
        <v>2.5</v>
      </c>
      <c r="AD37" s="125">
        <f t="shared" si="39"/>
        <v>22819.474911302586</v>
      </c>
      <c r="AE37" s="125">
        <f t="shared" si="40"/>
        <v>0</v>
      </c>
      <c r="AF37" s="35">
        <f t="shared" ca="1" si="41"/>
        <v>3409.8065959417654</v>
      </c>
      <c r="AG37" s="70">
        <f t="shared" ca="1" si="41"/>
        <v>0</v>
      </c>
      <c r="AH37" s="35">
        <f t="shared" ca="1" si="42"/>
        <v>26229.281507244352</v>
      </c>
      <c r="AI37" s="35">
        <f t="shared" ca="1" si="42"/>
        <v>0</v>
      </c>
      <c r="AJ37" s="35">
        <f t="shared" ca="1" si="43"/>
        <v>7868.784452173305</v>
      </c>
      <c r="AK37" s="70">
        <f t="shared" ca="1" si="43"/>
        <v>0</v>
      </c>
      <c r="AL37" s="35">
        <f t="shared" ca="1" si="44"/>
        <v>34098.065959417654</v>
      </c>
      <c r="AM37" s="70">
        <f t="shared" ca="1" si="45"/>
        <v>0</v>
      </c>
      <c r="AN37" s="165">
        <f>1440/G37</f>
        <v>14.4</v>
      </c>
      <c r="AO37" s="33">
        <f>'Исходные данные'!$C$55</f>
        <v>0.84</v>
      </c>
      <c r="AP37" s="74">
        <f t="shared" si="46"/>
        <v>12.095999999999998</v>
      </c>
      <c r="AQ37" s="33" t="s">
        <v>152</v>
      </c>
      <c r="AR37" s="78" t="e">
        <f>'Исходные данные'!#REF!</f>
        <v>#REF!</v>
      </c>
      <c r="AS37" s="36" t="e">
        <f t="shared" si="47"/>
        <v>#REF!</v>
      </c>
      <c r="AT37" s="23"/>
      <c r="AU37" s="42"/>
      <c r="AV37" s="42"/>
      <c r="AW37" s="42"/>
      <c r="AX37" s="42"/>
      <c r="AY37" s="42"/>
      <c r="AZ37" s="42"/>
      <c r="BA37" s="42"/>
      <c r="BB37" s="42"/>
      <c r="BC37" s="42"/>
      <c r="BD37" s="42"/>
      <c r="BE37" s="42"/>
      <c r="BF37" s="42"/>
      <c r="BG37" s="42"/>
      <c r="BH37" s="42"/>
      <c r="BI37" s="36">
        <f>аморт!$G$8</f>
        <v>75.11864416666667</v>
      </c>
      <c r="BJ37" s="36">
        <f t="shared" si="48"/>
        <v>450.71186499999999</v>
      </c>
      <c r="BK37" s="36">
        <f>аморт!$G$42</f>
        <v>30.100819672131149</v>
      </c>
      <c r="BL37" s="36">
        <f t="shared" si="49"/>
        <v>180.60491803278688</v>
      </c>
      <c r="BM37" s="36"/>
      <c r="BN37" s="38">
        <v>111.7</v>
      </c>
      <c r="BO37" s="36">
        <f t="shared" si="50"/>
        <v>4825.4400000000005</v>
      </c>
      <c r="BP37" s="38">
        <v>12.5</v>
      </c>
      <c r="BQ37" s="36">
        <f t="shared" si="51"/>
        <v>540</v>
      </c>
      <c r="BR37" s="42"/>
      <c r="BS37" s="36">
        <f t="shared" si="52"/>
        <v>0</v>
      </c>
      <c r="BT37" s="36">
        <f>аморт!$C$42*10%/аморт!$E$42*L37*7</f>
        <v>5552.5175999999992</v>
      </c>
      <c r="BU37" s="36" t="e">
        <f t="shared" ca="1" si="53"/>
        <v>#REF!</v>
      </c>
      <c r="BV37" s="36" t="e">
        <f t="shared" ca="1" si="54"/>
        <v>#REF!</v>
      </c>
      <c r="BW37" s="38">
        <f t="shared" si="55"/>
        <v>0.42</v>
      </c>
      <c r="BX37" s="38">
        <v>7.2</v>
      </c>
      <c r="BY37" s="39">
        <f t="shared" si="56"/>
        <v>43.2</v>
      </c>
    </row>
    <row r="38" spans="1:77" s="7" customFormat="1" ht="22.5" x14ac:dyDescent="0.2">
      <c r="A38" s="19">
        <v>3</v>
      </c>
      <c r="B38" s="27" t="s">
        <v>73</v>
      </c>
      <c r="C38" s="66">
        <v>1</v>
      </c>
      <c r="D38" s="485" t="s">
        <v>131</v>
      </c>
      <c r="E38" s="486"/>
      <c r="F38" s="28" t="s">
        <v>106</v>
      </c>
      <c r="G38" s="29">
        <f>G37</f>
        <v>100</v>
      </c>
      <c r="H38" s="172">
        <v>42565</v>
      </c>
      <c r="I38" s="172">
        <v>42570</v>
      </c>
      <c r="J38" s="173">
        <f t="shared" si="28"/>
        <v>6</v>
      </c>
      <c r="K38" s="164">
        <f t="shared" si="29"/>
        <v>16.666666666666668</v>
      </c>
      <c r="L38" s="33">
        <f t="shared" si="30"/>
        <v>6</v>
      </c>
      <c r="M38" s="30"/>
      <c r="N38" s="30">
        <v>1</v>
      </c>
      <c r="O38" s="35">
        <f t="shared" si="31"/>
        <v>0</v>
      </c>
      <c r="P38" s="35">
        <f t="shared" si="32"/>
        <v>42</v>
      </c>
      <c r="Q38" s="80">
        <v>5</v>
      </c>
      <c r="R38" s="78">
        <f>'Исходные данные'!$G$22</f>
        <v>197.57121135326915</v>
      </c>
      <c r="S38" s="178">
        <v>5</v>
      </c>
      <c r="T38" s="78">
        <f ca="1">IF(AND(N38&gt;0,P38&gt;0),SUMIF('Исходные данные'!$C$14:$J$30,S38,'Исходные данные'!$C$34:$J$41),IF(N38=0,0,IF(S38=0,"РОТ")))</f>
        <v>136.32413583375569</v>
      </c>
      <c r="U38" s="125">
        <f>O38*R38*'Исходные данные'!$C$39%</f>
        <v>0</v>
      </c>
      <c r="V38" s="125">
        <f ca="1">P38*T38*'Исходные данные'!$C$40%</f>
        <v>0</v>
      </c>
      <c r="W38" s="125">
        <f t="shared" si="33"/>
        <v>0</v>
      </c>
      <c r="X38" s="126">
        <f t="shared" ca="1" si="34"/>
        <v>0</v>
      </c>
      <c r="Y38" s="125">
        <f t="shared" si="35"/>
        <v>0</v>
      </c>
      <c r="Z38" s="126">
        <f t="shared" ca="1" si="36"/>
        <v>286.28068525088696</v>
      </c>
      <c r="AA38" s="125">
        <f t="shared" si="37"/>
        <v>0</v>
      </c>
      <c r="AB38" s="126">
        <f t="shared" ca="1" si="38"/>
        <v>0</v>
      </c>
      <c r="AC38" s="124">
        <v>3.5</v>
      </c>
      <c r="AD38" s="125">
        <f t="shared" si="39"/>
        <v>0</v>
      </c>
      <c r="AE38" s="125">
        <f t="shared" ca="1" si="40"/>
        <v>21041.630365940189</v>
      </c>
      <c r="AF38" s="35">
        <f t="shared" ca="1" si="41"/>
        <v>0</v>
      </c>
      <c r="AG38" s="70">
        <f t="shared" ca="1" si="41"/>
        <v>3144.15166387612</v>
      </c>
      <c r="AH38" s="35">
        <f t="shared" ca="1" si="42"/>
        <v>0</v>
      </c>
      <c r="AI38" s="35">
        <f t="shared" ca="1" si="42"/>
        <v>24185.78202981631</v>
      </c>
      <c r="AJ38" s="35">
        <f t="shared" ca="1" si="43"/>
        <v>0</v>
      </c>
      <c r="AK38" s="70">
        <f t="shared" ca="1" si="43"/>
        <v>7255.7346089448929</v>
      </c>
      <c r="AL38" s="35">
        <f t="shared" ca="1" si="44"/>
        <v>0</v>
      </c>
      <c r="AM38" s="70">
        <f t="shared" ca="1" si="45"/>
        <v>31441.516638761204</v>
      </c>
      <c r="AN38" s="165">
        <f>2419/G38</f>
        <v>24.19</v>
      </c>
      <c r="AO38" s="33">
        <f>'Исходные данные'!$C$55</f>
        <v>0.84</v>
      </c>
      <c r="AP38" s="74">
        <f t="shared" si="46"/>
        <v>20.319600000000001</v>
      </c>
      <c r="AQ38" s="33" t="s">
        <v>152</v>
      </c>
      <c r="AR38" s="78" t="e">
        <f>'Исходные данные'!#REF!</f>
        <v>#REF!</v>
      </c>
      <c r="AS38" s="36" t="e">
        <f t="shared" si="47"/>
        <v>#REF!</v>
      </c>
      <c r="AT38" s="23"/>
      <c r="AU38" s="42"/>
      <c r="AV38" s="42"/>
      <c r="AW38" s="42"/>
      <c r="AX38" s="42"/>
      <c r="AY38" s="42"/>
      <c r="AZ38" s="42"/>
      <c r="BA38" s="42"/>
      <c r="BB38" s="42"/>
      <c r="BC38" s="42"/>
      <c r="BD38" s="42"/>
      <c r="BE38" s="42"/>
      <c r="BF38" s="42"/>
      <c r="BG38" s="42"/>
      <c r="BH38" s="42"/>
      <c r="BI38" s="42"/>
      <c r="BJ38" s="36">
        <f t="shared" si="48"/>
        <v>0</v>
      </c>
      <c r="BK38" s="36">
        <f>аморт!$G$88</f>
        <v>114.406775</v>
      </c>
      <c r="BL38" s="36">
        <f t="shared" si="49"/>
        <v>686.44065000000001</v>
      </c>
      <c r="BM38" s="36"/>
      <c r="BN38" s="42"/>
      <c r="BO38" s="36">
        <f t="shared" si="50"/>
        <v>0</v>
      </c>
      <c r="BP38" s="42"/>
      <c r="BQ38" s="36">
        <f t="shared" si="51"/>
        <v>0</v>
      </c>
      <c r="BR38" s="42"/>
      <c r="BS38" s="36">
        <f t="shared" si="52"/>
        <v>0</v>
      </c>
      <c r="BT38" s="36">
        <f>аморт!$C$88*10%/аморт!$E$88*L38*7</f>
        <v>30752.541119999998</v>
      </c>
      <c r="BU38" s="36" t="e">
        <f t="shared" ca="1" si="53"/>
        <v>#REF!</v>
      </c>
      <c r="BV38" s="36" t="e">
        <f t="shared" ca="1" si="54"/>
        <v>#REF!</v>
      </c>
      <c r="BW38" s="38">
        <f t="shared" si="55"/>
        <v>0.42</v>
      </c>
      <c r="BX38" s="42"/>
      <c r="BY38" s="39">
        <f t="shared" si="56"/>
        <v>0</v>
      </c>
    </row>
    <row r="39" spans="1:77" s="7" customFormat="1" x14ac:dyDescent="0.2">
      <c r="A39" s="20">
        <v>4</v>
      </c>
      <c r="B39" s="27" t="s">
        <v>74</v>
      </c>
      <c r="C39" s="66">
        <v>1</v>
      </c>
      <c r="D39" s="30" t="s">
        <v>103</v>
      </c>
      <c r="E39" s="174" t="s">
        <v>132</v>
      </c>
      <c r="F39" s="28" t="s">
        <v>106</v>
      </c>
      <c r="G39" s="29">
        <f>G38</f>
        <v>100</v>
      </c>
      <c r="H39" s="172">
        <v>42565</v>
      </c>
      <c r="I39" s="172">
        <v>42570</v>
      </c>
      <c r="J39" s="173">
        <f t="shared" si="28"/>
        <v>6</v>
      </c>
      <c r="K39" s="164">
        <f t="shared" si="29"/>
        <v>16.666666666666668</v>
      </c>
      <c r="L39" s="33">
        <f t="shared" si="30"/>
        <v>6</v>
      </c>
      <c r="M39" s="30">
        <v>1</v>
      </c>
      <c r="N39" s="30"/>
      <c r="O39" s="35">
        <f t="shared" si="31"/>
        <v>42</v>
      </c>
      <c r="P39" s="35">
        <f t="shared" si="32"/>
        <v>0</v>
      </c>
      <c r="Q39" s="80">
        <v>5</v>
      </c>
      <c r="R39" s="78">
        <f>'Исходные данные'!$G$22</f>
        <v>197.57121135326915</v>
      </c>
      <c r="S39" s="178">
        <v>5</v>
      </c>
      <c r="T39" s="78">
        <f>IF(AND(N39&gt;0,P39&gt;0),SUMIF('Исходные данные'!$C$14:$J$30,S39,'Исходные данные'!$C$34:$J$41),IF(N39=0,0,IF(S39=0,"РОТ")))</f>
        <v>0</v>
      </c>
      <c r="U39" s="125">
        <f>O39*R39*'Исходные данные'!$C$39%</f>
        <v>0</v>
      </c>
      <c r="V39" s="125">
        <f>P39*T39*'Исходные данные'!$C$40%</f>
        <v>0</v>
      </c>
      <c r="W39" s="125">
        <f t="shared" si="33"/>
        <v>0</v>
      </c>
      <c r="X39" s="126">
        <f t="shared" si="34"/>
        <v>0</v>
      </c>
      <c r="Y39" s="125">
        <f t="shared" si="35"/>
        <v>829.79908768373048</v>
      </c>
      <c r="Z39" s="126">
        <f t="shared" si="36"/>
        <v>0</v>
      </c>
      <c r="AA39" s="125">
        <f t="shared" si="37"/>
        <v>0</v>
      </c>
      <c r="AB39" s="126">
        <f t="shared" si="38"/>
        <v>0</v>
      </c>
      <c r="AC39" s="124">
        <v>4.5</v>
      </c>
      <c r="AD39" s="125">
        <f t="shared" si="39"/>
        <v>41075.054840344659</v>
      </c>
      <c r="AE39" s="125">
        <f t="shared" si="40"/>
        <v>0</v>
      </c>
      <c r="AF39" s="35">
        <f t="shared" ca="1" si="41"/>
        <v>6137.6518726951781</v>
      </c>
      <c r="AG39" s="70">
        <f t="shared" ca="1" si="41"/>
        <v>0</v>
      </c>
      <c r="AH39" s="35">
        <f t="shared" ca="1" si="42"/>
        <v>47212.706713039835</v>
      </c>
      <c r="AI39" s="35">
        <f t="shared" ca="1" si="42"/>
        <v>0</v>
      </c>
      <c r="AJ39" s="35">
        <f t="shared" ca="1" si="43"/>
        <v>14163.812013911951</v>
      </c>
      <c r="AK39" s="70">
        <f t="shared" ca="1" si="43"/>
        <v>0</v>
      </c>
      <c r="AL39" s="35">
        <f t="shared" ca="1" si="44"/>
        <v>61376.518726951785</v>
      </c>
      <c r="AM39" s="70">
        <f t="shared" ca="1" si="45"/>
        <v>0</v>
      </c>
      <c r="AN39" s="165">
        <f>1440/G39</f>
        <v>14.4</v>
      </c>
      <c r="AO39" s="33">
        <f>'Исходные данные'!$C$55</f>
        <v>0.84</v>
      </c>
      <c r="AP39" s="74">
        <f t="shared" si="46"/>
        <v>12.095999999999998</v>
      </c>
      <c r="AQ39" s="33" t="s">
        <v>152</v>
      </c>
      <c r="AR39" s="78" t="e">
        <f>'Исходные данные'!#REF!</f>
        <v>#REF!</v>
      </c>
      <c r="AS39" s="36" t="e">
        <f t="shared" si="47"/>
        <v>#REF!</v>
      </c>
      <c r="AT39" s="23"/>
      <c r="AU39" s="42"/>
      <c r="AV39" s="42"/>
      <c r="AW39" s="42"/>
      <c r="AX39" s="42"/>
      <c r="AY39" s="42"/>
      <c r="AZ39" s="42"/>
      <c r="BA39" s="42"/>
      <c r="BB39" s="42"/>
      <c r="BC39" s="42"/>
      <c r="BD39" s="42"/>
      <c r="BE39" s="42"/>
      <c r="BF39" s="42"/>
      <c r="BG39" s="42"/>
      <c r="BH39" s="42"/>
      <c r="BI39" s="36">
        <f>аморт!$G$8</f>
        <v>75.11864416666667</v>
      </c>
      <c r="BJ39" s="36">
        <f t="shared" si="48"/>
        <v>450.71186499999999</v>
      </c>
      <c r="BK39" s="36">
        <f>аморт!$G$42</f>
        <v>30.100819672131149</v>
      </c>
      <c r="BL39" s="36">
        <f t="shared" si="49"/>
        <v>180.60491803278688</v>
      </c>
      <c r="BM39" s="36"/>
      <c r="BN39" s="38">
        <v>112.7</v>
      </c>
      <c r="BO39" s="36">
        <f t="shared" si="50"/>
        <v>4868.6400000000003</v>
      </c>
      <c r="BP39" s="38">
        <v>12.5</v>
      </c>
      <c r="BQ39" s="36">
        <f t="shared" si="51"/>
        <v>540</v>
      </c>
      <c r="BR39" s="42"/>
      <c r="BS39" s="36">
        <f t="shared" si="52"/>
        <v>0</v>
      </c>
      <c r="BT39" s="36">
        <f>аморт!$C$42*10%/аморт!$E$42*L39*7</f>
        <v>5552.5175999999992</v>
      </c>
      <c r="BU39" s="36" t="e">
        <f t="shared" ca="1" si="53"/>
        <v>#REF!</v>
      </c>
      <c r="BV39" s="36" t="e">
        <f t="shared" ca="1" si="54"/>
        <v>#REF!</v>
      </c>
      <c r="BW39" s="38">
        <f t="shared" si="55"/>
        <v>0.42</v>
      </c>
      <c r="BX39" s="38">
        <v>7.2</v>
      </c>
      <c r="BY39" s="39">
        <f t="shared" si="56"/>
        <v>43.2</v>
      </c>
    </row>
    <row r="40" spans="1:77" s="7" customFormat="1" ht="22.5" x14ac:dyDescent="0.2">
      <c r="A40" s="19">
        <v>5</v>
      </c>
      <c r="B40" s="27" t="s">
        <v>73</v>
      </c>
      <c r="C40" s="66">
        <v>1</v>
      </c>
      <c r="D40" s="485" t="s">
        <v>131</v>
      </c>
      <c r="E40" s="486"/>
      <c r="F40" s="28" t="s">
        <v>106</v>
      </c>
      <c r="G40" s="29">
        <f>G39</f>
        <v>100</v>
      </c>
      <c r="H40" s="172">
        <v>42586</v>
      </c>
      <c r="I40" s="172">
        <v>42594</v>
      </c>
      <c r="J40" s="173">
        <f t="shared" si="28"/>
        <v>9</v>
      </c>
      <c r="K40" s="164">
        <f t="shared" si="29"/>
        <v>11.111111111111111</v>
      </c>
      <c r="L40" s="33">
        <f t="shared" si="30"/>
        <v>9</v>
      </c>
      <c r="M40" s="30"/>
      <c r="N40" s="30">
        <v>1</v>
      </c>
      <c r="O40" s="35">
        <f t="shared" si="31"/>
        <v>0</v>
      </c>
      <c r="P40" s="35">
        <f t="shared" si="32"/>
        <v>63</v>
      </c>
      <c r="Q40" s="80">
        <v>5</v>
      </c>
      <c r="R40" s="78">
        <f>'Исходные данные'!$G$22</f>
        <v>197.57121135326915</v>
      </c>
      <c r="S40" s="178">
        <v>5</v>
      </c>
      <c r="T40" s="78">
        <f ca="1">IF(AND(N40&gt;0,P40&gt;0),SUMIF('Исходные данные'!$C$14:$J$30,S40,'Исходные данные'!$C$34:$J$41),IF(N40=0,0,IF(S40=0,"РОТ")))</f>
        <v>136.32413583375569</v>
      </c>
      <c r="U40" s="125">
        <f>O40*R40*'Исходные данные'!$C$39%</f>
        <v>0</v>
      </c>
      <c r="V40" s="125">
        <f ca="1">P40*T40*'Исходные данные'!$C$40%</f>
        <v>0</v>
      </c>
      <c r="W40" s="125">
        <f t="shared" si="33"/>
        <v>0</v>
      </c>
      <c r="X40" s="126">
        <f t="shared" ca="1" si="34"/>
        <v>0</v>
      </c>
      <c r="Y40" s="125">
        <f t="shared" si="35"/>
        <v>0</v>
      </c>
      <c r="Z40" s="126">
        <f t="shared" ca="1" si="36"/>
        <v>429.42102787633041</v>
      </c>
      <c r="AA40" s="125">
        <f t="shared" si="37"/>
        <v>0</v>
      </c>
      <c r="AB40" s="126">
        <f t="shared" ca="1" si="38"/>
        <v>0</v>
      </c>
      <c r="AC40" s="124">
        <v>5.5</v>
      </c>
      <c r="AD40" s="125">
        <f t="shared" si="39"/>
        <v>0</v>
      </c>
      <c r="AE40" s="125">
        <f t="shared" ca="1" si="40"/>
        <v>49598.128719716166</v>
      </c>
      <c r="AF40" s="35">
        <f t="shared" ca="1" si="41"/>
        <v>0</v>
      </c>
      <c r="AG40" s="70">
        <f t="shared" ca="1" si="41"/>
        <v>7411.2146362794265</v>
      </c>
      <c r="AH40" s="35">
        <f t="shared" ca="1" si="42"/>
        <v>0</v>
      </c>
      <c r="AI40" s="35">
        <f t="shared" ca="1" si="42"/>
        <v>57009.343355995588</v>
      </c>
      <c r="AJ40" s="35">
        <f t="shared" ca="1" si="43"/>
        <v>0</v>
      </c>
      <c r="AK40" s="70">
        <f t="shared" ca="1" si="43"/>
        <v>17102.803006798677</v>
      </c>
      <c r="AL40" s="35">
        <f t="shared" ca="1" si="44"/>
        <v>0</v>
      </c>
      <c r="AM40" s="70">
        <f t="shared" ca="1" si="45"/>
        <v>74112.146362794272</v>
      </c>
      <c r="AN40" s="165">
        <f>3628.8/G40</f>
        <v>36.288000000000004</v>
      </c>
      <c r="AO40" s="33">
        <f>'Исходные данные'!$C$55</f>
        <v>0.84</v>
      </c>
      <c r="AP40" s="74">
        <f t="shared" si="46"/>
        <v>30.481919999999999</v>
      </c>
      <c r="AQ40" s="33" t="s">
        <v>152</v>
      </c>
      <c r="AR40" s="78" t="e">
        <f>'Исходные данные'!#REF!</f>
        <v>#REF!</v>
      </c>
      <c r="AS40" s="36" t="e">
        <f t="shared" si="47"/>
        <v>#REF!</v>
      </c>
      <c r="AT40" s="23"/>
      <c r="AU40" s="42"/>
      <c r="AV40" s="42"/>
      <c r="AW40" s="42"/>
      <c r="AX40" s="42"/>
      <c r="AY40" s="42"/>
      <c r="AZ40" s="42"/>
      <c r="BA40" s="42"/>
      <c r="BB40" s="42"/>
      <c r="BC40" s="42"/>
      <c r="BD40" s="42"/>
      <c r="BE40" s="42"/>
      <c r="BF40" s="42"/>
      <c r="BG40" s="42"/>
      <c r="BH40" s="42"/>
      <c r="BI40" s="42"/>
      <c r="BJ40" s="36">
        <f t="shared" si="48"/>
        <v>0</v>
      </c>
      <c r="BK40" s="36">
        <f>аморт!$G$88</f>
        <v>114.406775</v>
      </c>
      <c r="BL40" s="36">
        <f t="shared" si="49"/>
        <v>1029.660975</v>
      </c>
      <c r="BM40" s="36"/>
      <c r="BN40" s="42"/>
      <c r="BO40" s="36">
        <f t="shared" si="50"/>
        <v>0</v>
      </c>
      <c r="BP40" s="42"/>
      <c r="BQ40" s="36">
        <f t="shared" si="51"/>
        <v>0</v>
      </c>
      <c r="BR40" s="42"/>
      <c r="BS40" s="36">
        <f t="shared" si="52"/>
        <v>0</v>
      </c>
      <c r="BT40" s="36">
        <f>аморт!$C$88*10%/аморт!$E$88*L40*7</f>
        <v>46128.811679999999</v>
      </c>
      <c r="BU40" s="36" t="e">
        <f t="shared" ca="1" si="53"/>
        <v>#REF!</v>
      </c>
      <c r="BV40" s="36" t="e">
        <f t="shared" ca="1" si="54"/>
        <v>#REF!</v>
      </c>
      <c r="BW40" s="38">
        <f t="shared" si="55"/>
        <v>0.63</v>
      </c>
      <c r="BX40" s="42"/>
      <c r="BY40" s="39">
        <f t="shared" si="56"/>
        <v>0</v>
      </c>
    </row>
    <row r="41" spans="1:77" s="7" customFormat="1" x14ac:dyDescent="0.2">
      <c r="A41" s="20">
        <f>A40+1</f>
        <v>6</v>
      </c>
      <c r="B41" s="27" t="s">
        <v>74</v>
      </c>
      <c r="C41" s="66">
        <v>1</v>
      </c>
      <c r="D41" s="30" t="s">
        <v>103</v>
      </c>
      <c r="E41" s="174" t="s">
        <v>132</v>
      </c>
      <c r="F41" s="28" t="s">
        <v>106</v>
      </c>
      <c r="G41" s="29">
        <f>G40</f>
        <v>100</v>
      </c>
      <c r="H41" s="172">
        <v>42586</v>
      </c>
      <c r="I41" s="172">
        <f>I40</f>
        <v>42594</v>
      </c>
      <c r="J41" s="173">
        <f t="shared" si="28"/>
        <v>9</v>
      </c>
      <c r="K41" s="164">
        <f t="shared" si="29"/>
        <v>11.111111111111111</v>
      </c>
      <c r="L41" s="33">
        <f t="shared" si="30"/>
        <v>9</v>
      </c>
      <c r="M41" s="30">
        <v>1</v>
      </c>
      <c r="N41" s="30"/>
      <c r="O41" s="35">
        <f t="shared" si="31"/>
        <v>63</v>
      </c>
      <c r="P41" s="35">
        <f t="shared" si="32"/>
        <v>0</v>
      </c>
      <c r="Q41" s="80">
        <v>5</v>
      </c>
      <c r="R41" s="78">
        <f>'Исходные данные'!$G$22</f>
        <v>197.57121135326915</v>
      </c>
      <c r="S41" s="178">
        <v>5</v>
      </c>
      <c r="T41" s="78">
        <f>IF(AND(N41&gt;0,P41&gt;0),SUMIF('Исходные данные'!$C$14:$J$30,S41,'Исходные данные'!$C$34:$J$41),IF(N41=0,0,IF(S41=0,"РОТ")))</f>
        <v>0</v>
      </c>
      <c r="U41" s="125">
        <f>O41*R41*'Исходные данные'!$C$39%</f>
        <v>0</v>
      </c>
      <c r="V41" s="125">
        <f>P41*T41*'Исходные данные'!$C$40%</f>
        <v>0</v>
      </c>
      <c r="W41" s="125">
        <f t="shared" si="33"/>
        <v>0</v>
      </c>
      <c r="X41" s="126">
        <f t="shared" si="34"/>
        <v>0</v>
      </c>
      <c r="Y41" s="125">
        <f t="shared" si="35"/>
        <v>1244.6986315255956</v>
      </c>
      <c r="Z41" s="126">
        <f t="shared" si="36"/>
        <v>0</v>
      </c>
      <c r="AA41" s="125">
        <f t="shared" si="37"/>
        <v>0</v>
      </c>
      <c r="AB41" s="126">
        <f t="shared" si="38"/>
        <v>0</v>
      </c>
      <c r="AC41" s="124">
        <v>6.5</v>
      </c>
      <c r="AD41" s="125">
        <f t="shared" si="39"/>
        <v>88995.952154080092</v>
      </c>
      <c r="AE41" s="125">
        <f t="shared" si="40"/>
        <v>0</v>
      </c>
      <c r="AF41" s="35">
        <f t="shared" ca="1" si="41"/>
        <v>13298.245724172886</v>
      </c>
      <c r="AG41" s="70">
        <f t="shared" ca="1" si="41"/>
        <v>0</v>
      </c>
      <c r="AH41" s="35">
        <f t="shared" ca="1" si="42"/>
        <v>102294.19787825298</v>
      </c>
      <c r="AI41" s="35">
        <f t="shared" ca="1" si="42"/>
        <v>0</v>
      </c>
      <c r="AJ41" s="35">
        <f t="shared" ca="1" si="43"/>
        <v>30688.259363475892</v>
      </c>
      <c r="AK41" s="70">
        <f t="shared" ca="1" si="43"/>
        <v>0</v>
      </c>
      <c r="AL41" s="35">
        <f t="shared" ca="1" si="44"/>
        <v>132982.45724172887</v>
      </c>
      <c r="AM41" s="70">
        <f t="shared" ca="1" si="45"/>
        <v>0</v>
      </c>
      <c r="AN41" s="165">
        <f>2160/G41</f>
        <v>21.6</v>
      </c>
      <c r="AO41" s="33">
        <f>'Исходные данные'!$C$55</f>
        <v>0.84</v>
      </c>
      <c r="AP41" s="74">
        <f t="shared" si="46"/>
        <v>18.143999999999998</v>
      </c>
      <c r="AQ41" s="33" t="s">
        <v>152</v>
      </c>
      <c r="AR41" s="78" t="e">
        <f>'Исходные данные'!#REF!</f>
        <v>#REF!</v>
      </c>
      <c r="AS41" s="36" t="e">
        <f t="shared" si="47"/>
        <v>#REF!</v>
      </c>
      <c r="AT41" s="23"/>
      <c r="AU41" s="42"/>
      <c r="AV41" s="42"/>
      <c r="AW41" s="42"/>
      <c r="AX41" s="42"/>
      <c r="AY41" s="42"/>
      <c r="AZ41" s="42"/>
      <c r="BA41" s="42"/>
      <c r="BB41" s="42"/>
      <c r="BC41" s="42"/>
      <c r="BD41" s="42"/>
      <c r="BE41" s="42"/>
      <c r="BF41" s="42"/>
      <c r="BG41" s="42"/>
      <c r="BH41" s="42"/>
      <c r="BI41" s="36">
        <f>аморт!$G$8</f>
        <v>75.11864416666667</v>
      </c>
      <c r="BJ41" s="36">
        <f t="shared" si="48"/>
        <v>676.06779749999998</v>
      </c>
      <c r="BK41" s="36">
        <f>аморт!$G$42</f>
        <v>30.100819672131149</v>
      </c>
      <c r="BL41" s="36">
        <f t="shared" si="49"/>
        <v>270.90737704918035</v>
      </c>
      <c r="BM41" s="36"/>
      <c r="BN41" s="38">
        <v>113.7</v>
      </c>
      <c r="BO41" s="36">
        <f t="shared" si="50"/>
        <v>7367.76</v>
      </c>
      <c r="BP41" s="38">
        <v>12.5</v>
      </c>
      <c r="BQ41" s="36">
        <f t="shared" si="51"/>
        <v>810</v>
      </c>
      <c r="BR41" s="42"/>
      <c r="BS41" s="36">
        <f t="shared" si="52"/>
        <v>0</v>
      </c>
      <c r="BT41" s="36">
        <f>аморт!$C$42*10%/аморт!$E$42*L41*7</f>
        <v>8328.7764000000006</v>
      </c>
      <c r="BU41" s="36" t="e">
        <f t="shared" ca="1" si="53"/>
        <v>#REF!</v>
      </c>
      <c r="BV41" s="36" t="e">
        <f t="shared" ca="1" si="54"/>
        <v>#REF!</v>
      </c>
      <c r="BW41" s="38">
        <f t="shared" si="55"/>
        <v>0.63</v>
      </c>
      <c r="BX41" s="38">
        <v>7.2</v>
      </c>
      <c r="BY41" s="39">
        <f t="shared" si="56"/>
        <v>64.8</v>
      </c>
    </row>
    <row r="42" spans="1:77" s="54" customFormat="1" x14ac:dyDescent="0.2">
      <c r="A42" s="52"/>
      <c r="B42" s="53" t="s">
        <v>21</v>
      </c>
      <c r="C42" s="56"/>
      <c r="D42" s="56"/>
      <c r="E42" s="56"/>
      <c r="F42" s="55"/>
      <c r="G42" s="56"/>
      <c r="H42" s="56"/>
      <c r="I42" s="56"/>
      <c r="J42" s="65">
        <f>SUM(J36:J41)</f>
        <v>42</v>
      </c>
      <c r="K42" s="65"/>
      <c r="L42" s="65">
        <f>SUM(L36:L41)</f>
        <v>42</v>
      </c>
      <c r="M42" s="65">
        <f>SUM(M36:M41)</f>
        <v>3</v>
      </c>
      <c r="N42" s="65">
        <f>SUM(N36:N41)</f>
        <v>3</v>
      </c>
      <c r="O42" s="65">
        <f>SUM(O36:O41)</f>
        <v>147</v>
      </c>
      <c r="P42" s="65">
        <f>SUM(P36:P41)</f>
        <v>147</v>
      </c>
      <c r="Q42" s="65"/>
      <c r="R42" s="65"/>
      <c r="S42" s="65"/>
      <c r="T42" s="65"/>
      <c r="U42" s="65">
        <f t="shared" ref="U42:AA42" si="57">SUM(U36:U41)</f>
        <v>0</v>
      </c>
      <c r="V42" s="65">
        <f t="shared" ca="1" si="57"/>
        <v>0</v>
      </c>
      <c r="W42" s="65">
        <f t="shared" si="57"/>
        <v>0</v>
      </c>
      <c r="X42" s="65">
        <f t="shared" ca="1" si="57"/>
        <v>0</v>
      </c>
      <c r="Y42" s="65">
        <f t="shared" si="57"/>
        <v>2904.2968068930568</v>
      </c>
      <c r="Z42" s="65">
        <f t="shared" ca="1" si="57"/>
        <v>1001.9823983781043</v>
      </c>
      <c r="AA42" s="65">
        <f t="shared" si="57"/>
        <v>0</v>
      </c>
      <c r="AB42" s="65">
        <f ca="1">SUM(AB36:AB41)</f>
        <v>0</v>
      </c>
      <c r="AC42" s="65"/>
      <c r="AD42" s="65">
        <f>SUM(AD36:AD41)</f>
        <v>152890.48190572736</v>
      </c>
      <c r="AE42" s="65">
        <f ca="1">SUM(AE36:AE41)</f>
        <v>85669.495061327907</v>
      </c>
      <c r="AF42" s="65">
        <f ca="1">SUM(AF36:AF41)</f>
        <v>22845.70419280983</v>
      </c>
      <c r="AG42" s="65">
        <f t="shared" ref="AG42:AL42" ca="1" si="58">SUM(AG36:AG41)</f>
        <v>12801.188917209918</v>
      </c>
      <c r="AH42" s="65">
        <f t="shared" ca="1" si="58"/>
        <v>175736.18609853717</v>
      </c>
      <c r="AI42" s="65">
        <f t="shared" ca="1" si="58"/>
        <v>98470.683978537825</v>
      </c>
      <c r="AJ42" s="65">
        <f t="shared" ca="1" si="58"/>
        <v>52720.855829561144</v>
      </c>
      <c r="AK42" s="65">
        <f t="shared" ca="1" si="58"/>
        <v>29541.205193561349</v>
      </c>
      <c r="AL42" s="65">
        <f t="shared" ca="1" si="58"/>
        <v>228457.0419280983</v>
      </c>
      <c r="AM42" s="65">
        <f ca="1">SUM(AM36:AM41)</f>
        <v>128011.8891720992</v>
      </c>
      <c r="AN42" s="65"/>
      <c r="AO42" s="65"/>
      <c r="AP42" s="65">
        <f>SUM(AP36:AP41)</f>
        <v>113.45712</v>
      </c>
      <c r="AQ42" s="65"/>
      <c r="AR42" s="65"/>
      <c r="AS42" s="65" t="e">
        <f>SUM(AS36:AS41)</f>
        <v>#REF!</v>
      </c>
      <c r="AT42" s="65"/>
      <c r="AU42" s="65">
        <f>SUM(AU36:AU41)</f>
        <v>0</v>
      </c>
      <c r="AV42" s="65"/>
      <c r="AW42" s="65">
        <f>SUM(AW36:AW41)</f>
        <v>0</v>
      </c>
      <c r="AX42" s="65"/>
      <c r="AY42" s="65">
        <f>SUM(AY36:AY41)</f>
        <v>0</v>
      </c>
      <c r="AZ42" s="65">
        <f>SUM(AZ36:AZ41)</f>
        <v>0</v>
      </c>
      <c r="BA42" s="65">
        <f>SUM(BA36:BA41)</f>
        <v>0</v>
      </c>
      <c r="BB42" s="65"/>
      <c r="BC42" s="65">
        <f>SUM(BC36:BC41)</f>
        <v>0</v>
      </c>
      <c r="BD42" s="65"/>
      <c r="BE42" s="65">
        <f>SUM(BE36:BE41)</f>
        <v>0</v>
      </c>
      <c r="BF42" s="65"/>
      <c r="BG42" s="65"/>
      <c r="BH42" s="65"/>
      <c r="BI42" s="65"/>
      <c r="BJ42" s="65">
        <f>SUM(BJ36:BJ41)</f>
        <v>1577.4915274999998</v>
      </c>
      <c r="BK42" s="65"/>
      <c r="BL42" s="65">
        <f>SUM(BL36:BL41)</f>
        <v>3034.6594881147539</v>
      </c>
      <c r="BM42" s="65"/>
      <c r="BN42" s="65"/>
      <c r="BO42" s="65">
        <f>SUM(BO36:BO41)</f>
        <v>17061.840000000004</v>
      </c>
      <c r="BP42" s="65"/>
      <c r="BQ42" s="65">
        <f>SUM(BQ36:BQ41)</f>
        <v>1890</v>
      </c>
      <c r="BR42" s="65"/>
      <c r="BS42" s="65">
        <f>SUM(BS36:BS37)</f>
        <v>0</v>
      </c>
      <c r="BT42" s="65">
        <f>SUM(BT36:BT41)</f>
        <v>127067.70552</v>
      </c>
      <c r="BU42" s="65" t="e">
        <f ca="1">SUM(BU36:BU37)</f>
        <v>#REF!</v>
      </c>
      <c r="BV42" s="65"/>
      <c r="BW42" s="65"/>
      <c r="BX42" s="65"/>
      <c r="BY42" s="65">
        <f>SUM(BY36:BY41)</f>
        <v>151.19999999999999</v>
      </c>
    </row>
    <row r="43" spans="1:77" s="7" customFormat="1" ht="12.75" customHeight="1" x14ac:dyDescent="0.2">
      <c r="A43" s="21"/>
      <c r="B43" s="477" t="s">
        <v>82</v>
      </c>
      <c r="C43" s="477"/>
      <c r="D43" s="477"/>
      <c r="E43" s="477"/>
      <c r="F43" s="22"/>
      <c r="G43" s="23"/>
      <c r="H43" s="23"/>
      <c r="I43" s="23"/>
      <c r="J43" s="23"/>
      <c r="K43" s="23"/>
      <c r="L43" s="23"/>
      <c r="M43" s="23"/>
      <c r="N43" s="23"/>
      <c r="O43" s="23"/>
      <c r="P43" s="23"/>
      <c r="Q43" s="2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5"/>
      <c r="AQ43" s="26"/>
      <c r="AR43" s="26"/>
      <c r="AS43" s="25"/>
      <c r="AT43" s="23"/>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3"/>
    </row>
    <row r="44" spans="1:77" ht="22.5" x14ac:dyDescent="0.2">
      <c r="A44" s="19">
        <v>1</v>
      </c>
      <c r="B44" s="27" t="s">
        <v>423</v>
      </c>
      <c r="C44" s="66">
        <v>1</v>
      </c>
      <c r="D44" s="175" t="s">
        <v>491</v>
      </c>
      <c r="E44" s="176" t="s">
        <v>490</v>
      </c>
      <c r="F44" s="28" t="s">
        <v>106</v>
      </c>
      <c r="G44" s="29">
        <v>100</v>
      </c>
      <c r="H44" s="166">
        <v>42597</v>
      </c>
      <c r="I44" s="166">
        <v>42600</v>
      </c>
      <c r="J44" s="179">
        <f t="shared" ref="J44:J49" si="59">I44-H44</f>
        <v>3</v>
      </c>
      <c r="K44" s="164">
        <f>5*8</f>
        <v>40</v>
      </c>
      <c r="L44" s="33">
        <f t="shared" ref="L44:L49" si="60">G44/K44</f>
        <v>2.5</v>
      </c>
      <c r="M44" s="34">
        <v>1</v>
      </c>
      <c r="N44" s="34"/>
      <c r="O44" s="35">
        <f t="shared" ref="O44:O49" si="61">IF(M44=0,0,L44*$O$17)</f>
        <v>17.5</v>
      </c>
      <c r="P44" s="35">
        <f t="shared" ref="P44:P49" si="62">IF(N44=0,0,L44*$O$17)</f>
        <v>0</v>
      </c>
      <c r="Q44" s="34">
        <v>4</v>
      </c>
      <c r="R44" s="78">
        <f ca="1">IF(AND(O44&gt;0,Q44&gt;0),SUMIF('Исходные данные'!$C$14:H38,Q44,'Исходные данные'!$C$18:$H$18),IF(O44=0,0,IF(Q44=0,"РОТ")))</f>
        <v>156.08125696908263</v>
      </c>
      <c r="S44" s="34"/>
      <c r="T44" s="33"/>
      <c r="U44" s="125">
        <f ca="1">O44*R44*'Исходные данные'!$C$39%</f>
        <v>0</v>
      </c>
      <c r="V44" s="125">
        <f>P44*T44*'Исходные данные'!$C$40%</f>
        <v>0</v>
      </c>
      <c r="W44" s="125">
        <f t="shared" ref="W44:W49" ca="1" si="63">O44*R44*$W$17</f>
        <v>0</v>
      </c>
      <c r="X44" s="126">
        <f t="shared" ref="X44:X49" si="64">P44*T44*$W$17</f>
        <v>0</v>
      </c>
      <c r="Y44" s="125">
        <f t="shared" ref="Y44:Y49" ca="1" si="65">(O44*R44+U44+W44)*$Y$17</f>
        <v>273.14219969589465</v>
      </c>
      <c r="Z44" s="126">
        <f t="shared" ref="Z44:Z49" si="66">(P44*T44+V44+X44)*$Z$17</f>
        <v>0</v>
      </c>
      <c r="AA44" s="125">
        <f t="shared" ref="AA44:AA49" ca="1" si="67">(O44*R44+U44)*$AA$17</f>
        <v>0</v>
      </c>
      <c r="AB44" s="126">
        <f t="shared" ref="AB44:AB49" si="68">(P44*T44+V44)*$AA$17</f>
        <v>0</v>
      </c>
      <c r="AC44" s="124">
        <v>2.5</v>
      </c>
      <c r="AD44" s="125">
        <f t="shared" ref="AD44:AD49" ca="1" si="69">(O44*R44+U44+W44+Y44+AA44)*AC44</f>
        <v>7511.4104916371025</v>
      </c>
      <c r="AE44" s="125">
        <f t="shared" ref="AE44:AE49" si="70">(P44*T44+V44+X44+Z44+AB44)*AC44</f>
        <v>0</v>
      </c>
      <c r="AF44" s="35">
        <f ca="1">AD44*$AF$17</f>
        <v>1122.3946711641647</v>
      </c>
      <c r="AG44" s="70">
        <f ca="1">AE44*$AF$17</f>
        <v>0</v>
      </c>
      <c r="AH44" s="35">
        <f ca="1">AD44+AF44</f>
        <v>8633.8051628012672</v>
      </c>
      <c r="AI44" s="35">
        <f ca="1">AE44+AG44</f>
        <v>0</v>
      </c>
      <c r="AJ44" s="35">
        <f ca="1">AH44*$AJ$17</f>
        <v>2590.14154884038</v>
      </c>
      <c r="AK44" s="70">
        <f ca="1">AI44*$AJ$17</f>
        <v>0</v>
      </c>
      <c r="AL44" s="35">
        <f ca="1">AH44+AJ44</f>
        <v>11223.946711641647</v>
      </c>
      <c r="AM44" s="70">
        <f ca="1">AK44+AI44</f>
        <v>0</v>
      </c>
      <c r="AN44" s="165">
        <f>12.5/0.84</f>
        <v>14.880952380952381</v>
      </c>
      <c r="AO44" s="33">
        <f>'Исходные данные'!$C$55</f>
        <v>0.84</v>
      </c>
      <c r="AP44" s="74">
        <f>(G44*AN44)*AO44/100</f>
        <v>12.5</v>
      </c>
      <c r="AQ44" s="33" t="s">
        <v>152</v>
      </c>
      <c r="AR44" s="78" t="e">
        <f>'Исходные данные'!#REF!</f>
        <v>#REF!</v>
      </c>
      <c r="AS44" s="36" t="e">
        <f>AP44*AR44</f>
        <v>#REF!</v>
      </c>
      <c r="AT44" s="32"/>
      <c r="AU44" s="36"/>
      <c r="AV44" s="36"/>
      <c r="AW44" s="36"/>
      <c r="AX44" s="36"/>
      <c r="AY44" s="36"/>
      <c r="AZ44" s="36"/>
      <c r="BA44" s="36"/>
      <c r="BB44" s="36"/>
      <c r="BC44" s="36"/>
      <c r="BD44" s="36"/>
      <c r="BE44" s="36"/>
      <c r="BF44" s="36"/>
      <c r="BG44" s="36"/>
      <c r="BH44" s="36"/>
      <c r="BI44" s="36">
        <f>аморт!$G$11</f>
        <v>181.91312849162011</v>
      </c>
      <c r="BJ44" s="36">
        <f>BI44*L44</f>
        <v>454.78282122905028</v>
      </c>
      <c r="BK44" s="36">
        <f>аморт!G60</f>
        <v>41.864400000000003</v>
      </c>
      <c r="BL44" s="36">
        <f>BK44*L44</f>
        <v>104.661</v>
      </c>
      <c r="BM44" s="36"/>
      <c r="BN44" s="38">
        <v>82.4</v>
      </c>
      <c r="BO44" s="36">
        <f>BN44*BY44</f>
        <v>1050.6000000000001</v>
      </c>
      <c r="BP44" s="38">
        <v>13.9</v>
      </c>
      <c r="BQ44" s="36">
        <f>BP44*BY44</f>
        <v>177.22499999999999</v>
      </c>
      <c r="BR44" s="38">
        <f>4.8*1.045*1.054</f>
        <v>5.2868639999999996</v>
      </c>
      <c r="BS44" s="36">
        <f>BR44*BY44</f>
        <v>67.407516000000001</v>
      </c>
      <c r="BT44" s="36">
        <f>аморт!C56*10%/аморт!E56*L44*7</f>
        <v>7308.4759999999997</v>
      </c>
      <c r="BU44" s="36" t="e">
        <f t="shared" ref="BU44:BU49" ca="1" si="71">AL44+AM44+AS44+AW44+BA44+BE44+BH44+BJ44+BL44+BM44+BO44+BQ44+BS44+BT44</f>
        <v>#REF!</v>
      </c>
      <c r="BV44" s="36" t="e">
        <f t="shared" ref="BV44:BV49" ca="1" si="72">BU44/$D$6</f>
        <v>#REF!</v>
      </c>
      <c r="BW44" s="38">
        <f t="shared" ref="BW44:BW49" si="73">(O44+P44)/$D$6</f>
        <v>0.17499999999999999</v>
      </c>
      <c r="BX44" s="38">
        <v>5.0999999999999996</v>
      </c>
      <c r="BY44" s="39">
        <f>BX44*L44</f>
        <v>12.75</v>
      </c>
    </row>
    <row r="45" spans="1:77" ht="22.5" x14ac:dyDescent="0.2">
      <c r="A45" s="19">
        <v>2</v>
      </c>
      <c r="B45" s="27" t="s">
        <v>77</v>
      </c>
      <c r="C45" s="66">
        <v>5</v>
      </c>
      <c r="D45" s="19" t="s">
        <v>224</v>
      </c>
      <c r="E45" s="31"/>
      <c r="F45" s="28" t="s">
        <v>119</v>
      </c>
      <c r="G45" s="29">
        <f>D12/10</f>
        <v>1250</v>
      </c>
      <c r="H45" s="166">
        <v>42597</v>
      </c>
      <c r="I45" s="166">
        <f>I44</f>
        <v>42600</v>
      </c>
      <c r="J45" s="179">
        <f t="shared" si="59"/>
        <v>3</v>
      </c>
      <c r="K45" s="164">
        <v>80</v>
      </c>
      <c r="L45" s="33">
        <f t="shared" si="60"/>
        <v>15.625</v>
      </c>
      <c r="M45" s="34">
        <v>1</v>
      </c>
      <c r="N45" s="34"/>
      <c r="O45" s="35">
        <f t="shared" si="61"/>
        <v>109.375</v>
      </c>
      <c r="P45" s="35">
        <f t="shared" si="62"/>
        <v>0</v>
      </c>
      <c r="Q45" s="34">
        <v>5</v>
      </c>
      <c r="R45" s="78">
        <f>'Исходные данные'!G22</f>
        <v>197.57121135326915</v>
      </c>
      <c r="S45" s="34"/>
      <c r="T45" s="33"/>
      <c r="U45" s="125">
        <f>O45*R45*'Исходные данные'!$C$39%</f>
        <v>0</v>
      </c>
      <c r="V45" s="125">
        <f>P45*T45*'Исходные данные'!$C$40%</f>
        <v>0</v>
      </c>
      <c r="W45" s="125">
        <f t="shared" si="63"/>
        <v>0</v>
      </c>
      <c r="X45" s="126">
        <f t="shared" si="64"/>
        <v>0</v>
      </c>
      <c r="Y45" s="125">
        <f t="shared" si="65"/>
        <v>2160.9351241763811</v>
      </c>
      <c r="Z45" s="126">
        <f t="shared" si="66"/>
        <v>0</v>
      </c>
      <c r="AA45" s="125">
        <f t="shared" si="67"/>
        <v>0</v>
      </c>
      <c r="AB45" s="126">
        <f t="shared" si="68"/>
        <v>0</v>
      </c>
      <c r="AC45" s="124">
        <v>2.5</v>
      </c>
      <c r="AD45" s="125">
        <f t="shared" si="69"/>
        <v>59425.71591485048</v>
      </c>
      <c r="AE45" s="125">
        <f t="shared" si="70"/>
        <v>0</v>
      </c>
      <c r="AF45" s="35">
        <f ca="1">AD45*$AF$17</f>
        <v>8879.7046769316803</v>
      </c>
      <c r="AG45" s="70"/>
      <c r="AH45" s="35">
        <f ca="1">AD45+AF45</f>
        <v>68305.420591782167</v>
      </c>
      <c r="AI45" s="35"/>
      <c r="AJ45" s="35">
        <f ca="1">AH45*$AJ$17</f>
        <v>20491.62617753465</v>
      </c>
      <c r="AK45" s="70"/>
      <c r="AL45" s="35">
        <f ca="1">AH45+AJ45</f>
        <v>88797.046769316818</v>
      </c>
      <c r="AM45" s="70"/>
      <c r="AN45" s="32">
        <v>12.33</v>
      </c>
      <c r="AO45" s="33">
        <f>'Исходные данные'!$C$55</f>
        <v>0.84</v>
      </c>
      <c r="AP45" s="74">
        <f>(G45*AN45)*AO45/100</f>
        <v>129.465</v>
      </c>
      <c r="AQ45" s="33" t="s">
        <v>152</v>
      </c>
      <c r="AR45" s="78" t="e">
        <f>'Исходные данные'!#REF!</f>
        <v>#REF!</v>
      </c>
      <c r="AS45" s="36" t="e">
        <f>AP45*AR45</f>
        <v>#REF!</v>
      </c>
      <c r="AT45" s="32"/>
      <c r="AU45" s="36"/>
      <c r="AV45" s="36"/>
      <c r="AW45" s="36"/>
      <c r="AX45" s="36"/>
      <c r="AY45" s="36"/>
      <c r="AZ45" s="36"/>
      <c r="BA45" s="36"/>
      <c r="BB45" s="36"/>
      <c r="BC45" s="36"/>
      <c r="BD45" s="36"/>
      <c r="BE45" s="36"/>
      <c r="BF45" s="36"/>
      <c r="BG45" s="36"/>
      <c r="BH45" s="36"/>
      <c r="BI45" s="36">
        <f>аморт!$G$11</f>
        <v>181.91312849162011</v>
      </c>
      <c r="BJ45" s="36">
        <f>BI45*L45</f>
        <v>2842.3926326815645</v>
      </c>
      <c r="BK45" s="80">
        <f>аморт!$G$23</f>
        <v>48.426111111111105</v>
      </c>
      <c r="BL45" s="36">
        <f>BK45*L45</f>
        <v>756.65798611111097</v>
      </c>
      <c r="BM45" s="36"/>
      <c r="BN45" s="38">
        <v>82.4</v>
      </c>
      <c r="BO45" s="36">
        <f>BN45*BY45</f>
        <v>6566.25</v>
      </c>
      <c r="BP45" s="38">
        <v>13.9</v>
      </c>
      <c r="BQ45" s="36">
        <f>BP45*BY45</f>
        <v>1107.65625</v>
      </c>
      <c r="BR45" s="38">
        <f>4.8*1.045*1.054</f>
        <v>5.2868639999999996</v>
      </c>
      <c r="BS45" s="36">
        <f>BR45*BY45</f>
        <v>421.29697499999997</v>
      </c>
      <c r="BT45" s="36">
        <f>аморт!$C$23*10%/аморт!$E$23*L45*7</f>
        <v>120127.02187499999</v>
      </c>
      <c r="BU45" s="36" t="e">
        <f t="shared" ca="1" si="71"/>
        <v>#REF!</v>
      </c>
      <c r="BV45" s="36" t="e">
        <f t="shared" ca="1" si="72"/>
        <v>#REF!</v>
      </c>
      <c r="BW45" s="38">
        <f t="shared" si="73"/>
        <v>1.09375</v>
      </c>
      <c r="BX45" s="38">
        <v>5.0999999999999996</v>
      </c>
      <c r="BY45" s="39">
        <f>BX45*L45</f>
        <v>79.6875</v>
      </c>
    </row>
    <row r="46" spans="1:77" x14ac:dyDescent="0.2">
      <c r="A46" s="20">
        <f>A45+1</f>
        <v>3</v>
      </c>
      <c r="B46" s="27" t="s">
        <v>78</v>
      </c>
      <c r="C46" s="66">
        <v>1</v>
      </c>
      <c r="D46" s="478" t="s">
        <v>486</v>
      </c>
      <c r="E46" s="479"/>
      <c r="F46" s="28" t="s">
        <v>119</v>
      </c>
      <c r="G46" s="29">
        <f>D12/10</f>
        <v>1250</v>
      </c>
      <c r="H46" s="166">
        <v>42597</v>
      </c>
      <c r="I46" s="166">
        <f>I45</f>
        <v>42600</v>
      </c>
      <c r="J46" s="179">
        <f t="shared" si="59"/>
        <v>3</v>
      </c>
      <c r="K46" s="164">
        <f>G46/J46</f>
        <v>416.66666666666669</v>
      </c>
      <c r="L46" s="33">
        <f t="shared" si="60"/>
        <v>3</v>
      </c>
      <c r="M46" s="34">
        <v>1</v>
      </c>
      <c r="N46" s="34"/>
      <c r="O46" s="35">
        <f t="shared" si="61"/>
        <v>21</v>
      </c>
      <c r="P46" s="35">
        <f t="shared" si="62"/>
        <v>0</v>
      </c>
      <c r="Q46" s="34">
        <v>5</v>
      </c>
      <c r="R46" s="78">
        <f>'Исходные данные'!$G$22</f>
        <v>197.57121135326915</v>
      </c>
      <c r="S46" s="34"/>
      <c r="T46" s="33"/>
      <c r="U46" s="125">
        <f>O46*R46*'Исходные данные'!$C$39%</f>
        <v>0</v>
      </c>
      <c r="V46" s="125">
        <f>P46*T46*'Исходные данные'!$C$40%</f>
        <v>0</v>
      </c>
      <c r="W46" s="125">
        <f t="shared" si="63"/>
        <v>0</v>
      </c>
      <c r="X46" s="126">
        <f t="shared" si="64"/>
        <v>0</v>
      </c>
      <c r="Y46" s="125">
        <f t="shared" si="65"/>
        <v>414.89954384186524</v>
      </c>
      <c r="Z46" s="126">
        <f t="shared" si="66"/>
        <v>0</v>
      </c>
      <c r="AA46" s="125">
        <f t="shared" si="67"/>
        <v>0</v>
      </c>
      <c r="AB46" s="126">
        <f t="shared" si="68"/>
        <v>0</v>
      </c>
      <c r="AC46" s="124">
        <v>2.5</v>
      </c>
      <c r="AD46" s="125">
        <f t="shared" si="69"/>
        <v>11409.737455651293</v>
      </c>
      <c r="AE46" s="125">
        <f t="shared" si="70"/>
        <v>0</v>
      </c>
      <c r="AF46" s="35">
        <f ca="1">AD46*$AF$17</f>
        <v>1704.9032979708827</v>
      </c>
      <c r="AG46" s="70"/>
      <c r="AH46" s="35">
        <f ca="1">AD46+AF46</f>
        <v>13114.640753622176</v>
      </c>
      <c r="AI46" s="35"/>
      <c r="AJ46" s="35">
        <f ca="1">AH46*$AJ$17</f>
        <v>3934.3922260866525</v>
      </c>
      <c r="AK46" s="70"/>
      <c r="AL46" s="35">
        <f ca="1">AH46+AJ46</f>
        <v>17049.032979708827</v>
      </c>
      <c r="AM46" s="70"/>
      <c r="AN46" s="165">
        <v>10</v>
      </c>
      <c r="AO46" s="33">
        <f>'Исходные данные'!$C$55</f>
        <v>0.84</v>
      </c>
      <c r="AP46" s="74">
        <f>(G46*AN46)*AO46/100</f>
        <v>105</v>
      </c>
      <c r="AQ46" s="33" t="s">
        <v>152</v>
      </c>
      <c r="AR46" s="78" t="e">
        <f>'Исходные данные'!#REF!</f>
        <v>#REF!</v>
      </c>
      <c r="AS46" s="36" t="e">
        <f>AP46*AR46</f>
        <v>#REF!</v>
      </c>
      <c r="AT46" s="32"/>
      <c r="AU46" s="36"/>
      <c r="AV46" s="36"/>
      <c r="AW46" s="36"/>
      <c r="AX46" s="36"/>
      <c r="AY46" s="36"/>
      <c r="AZ46" s="36"/>
      <c r="BA46" s="36"/>
      <c r="BB46" s="36"/>
      <c r="BC46" s="36"/>
      <c r="BD46" s="36"/>
      <c r="BE46" s="36"/>
      <c r="BF46" s="36"/>
      <c r="BG46" s="36"/>
      <c r="BH46" s="36"/>
      <c r="BI46" s="36">
        <f>аморт!$G$8</f>
        <v>75.11864416666667</v>
      </c>
      <c r="BJ46" s="36">
        <f>BI46*L46</f>
        <v>225.35593249999999</v>
      </c>
      <c r="BK46" s="36">
        <f>аморт!$G$36</f>
        <v>294.73684210526318</v>
      </c>
      <c r="BL46" s="36">
        <f>BK46*L46</f>
        <v>884.21052631578959</v>
      </c>
      <c r="BM46" s="36">
        <f>(2596950)*6.7%</f>
        <v>173995.65000000002</v>
      </c>
      <c r="BN46" s="38">
        <v>111.7</v>
      </c>
      <c r="BO46" s="36">
        <f>BN46*BY46</f>
        <v>2412.7200000000003</v>
      </c>
      <c r="BP46" s="38">
        <v>12.5</v>
      </c>
      <c r="BQ46" s="36">
        <f>BP46*BY46</f>
        <v>270</v>
      </c>
      <c r="BR46" s="36"/>
      <c r="BS46" s="36">
        <f>BR46*BY46</f>
        <v>0</v>
      </c>
      <c r="BT46" s="36"/>
      <c r="BU46" s="36" t="e">
        <f t="shared" ca="1" si="71"/>
        <v>#REF!</v>
      </c>
      <c r="BV46" s="36" t="e">
        <f t="shared" ca="1" si="72"/>
        <v>#REF!</v>
      </c>
      <c r="BW46" s="38">
        <f t="shared" si="73"/>
        <v>0.21</v>
      </c>
      <c r="BX46" s="38">
        <v>7.2</v>
      </c>
      <c r="BY46" s="39">
        <f>BX46*L46</f>
        <v>21.6</v>
      </c>
    </row>
    <row r="47" spans="1:77" ht="33.75" x14ac:dyDescent="0.2">
      <c r="A47" s="20">
        <f>A46+1</f>
        <v>4</v>
      </c>
      <c r="B47" s="27" t="s">
        <v>79</v>
      </c>
      <c r="C47" s="66"/>
      <c r="D47" s="478" t="s">
        <v>118</v>
      </c>
      <c r="E47" s="479"/>
      <c r="F47" s="28" t="s">
        <v>119</v>
      </c>
      <c r="G47" s="38">
        <f>BC47</f>
        <v>2.5</v>
      </c>
      <c r="H47" s="167">
        <v>42597</v>
      </c>
      <c r="I47" s="166">
        <f>I46</f>
        <v>42600</v>
      </c>
      <c r="J47" s="179">
        <f t="shared" si="59"/>
        <v>3</v>
      </c>
      <c r="K47" s="164">
        <v>2</v>
      </c>
      <c r="L47" s="33">
        <f t="shared" si="60"/>
        <v>1.25</v>
      </c>
      <c r="M47" s="34"/>
      <c r="N47" s="34">
        <v>1</v>
      </c>
      <c r="O47" s="35">
        <f t="shared" si="61"/>
        <v>0</v>
      </c>
      <c r="P47" s="35">
        <f t="shared" si="62"/>
        <v>8.75</v>
      </c>
      <c r="Q47" s="34"/>
      <c r="R47" s="33"/>
      <c r="S47" s="34">
        <v>2</v>
      </c>
      <c r="T47" s="78">
        <f ca="1">IF(AND(N47&gt;0,P47&gt;0),SUMIF('Исходные данные'!$C$14:$J$30,S47,'Исходные данные'!$C$34:$J$41),IF(N47=0,0,IF(S47=0,"РОТ")))</f>
        <v>105.700598073999</v>
      </c>
      <c r="U47" s="125">
        <f>O47*R47*'Исходные данные'!$C$39%</f>
        <v>0</v>
      </c>
      <c r="V47" s="125">
        <f ca="1">P47*T47*'Исходные данные'!$C$40%</f>
        <v>0</v>
      </c>
      <c r="W47" s="125">
        <f t="shared" si="63"/>
        <v>0</v>
      </c>
      <c r="X47" s="126">
        <f t="shared" ca="1" si="64"/>
        <v>0</v>
      </c>
      <c r="Y47" s="125">
        <f t="shared" si="65"/>
        <v>0</v>
      </c>
      <c r="Z47" s="126">
        <f t="shared" ca="1" si="66"/>
        <v>46.244011657374564</v>
      </c>
      <c r="AA47" s="125">
        <f t="shared" si="67"/>
        <v>0</v>
      </c>
      <c r="AB47" s="126">
        <f t="shared" ca="1" si="68"/>
        <v>0</v>
      </c>
      <c r="AC47" s="124">
        <v>2.5</v>
      </c>
      <c r="AD47" s="125">
        <f t="shared" si="69"/>
        <v>0</v>
      </c>
      <c r="AE47" s="125">
        <f t="shared" ca="1" si="70"/>
        <v>2427.8106120121647</v>
      </c>
      <c r="AF47" s="35"/>
      <c r="AG47" s="70">
        <f ca="1">AE47*$AF$17</f>
        <v>362.77629834664526</v>
      </c>
      <c r="AH47" s="35"/>
      <c r="AI47" s="35">
        <f ca="1">AE47+AG47</f>
        <v>2790.5869103588102</v>
      </c>
      <c r="AJ47" s="35"/>
      <c r="AK47" s="70">
        <f ca="1">AI47*$AJ$17</f>
        <v>837.17607310764299</v>
      </c>
      <c r="AL47" s="35"/>
      <c r="AM47" s="70">
        <f ca="1">AK47+AI47</f>
        <v>3627.7629834664531</v>
      </c>
      <c r="AN47" s="33"/>
      <c r="AO47" s="32"/>
      <c r="AP47" s="36"/>
      <c r="AQ47" s="37"/>
      <c r="AR47" s="37"/>
      <c r="AS47" s="36"/>
      <c r="AT47" s="32"/>
      <c r="AU47" s="36"/>
      <c r="AV47" s="36"/>
      <c r="AW47" s="36"/>
      <c r="AX47" s="36"/>
      <c r="AY47" s="36"/>
      <c r="AZ47" s="36"/>
      <c r="BA47" s="36"/>
      <c r="BB47" s="36">
        <v>2</v>
      </c>
      <c r="BC47" s="38">
        <f>BB47*D12/10/1000</f>
        <v>2.5</v>
      </c>
      <c r="BD47" s="108">
        <v>12.5</v>
      </c>
      <c r="BE47" s="36">
        <f>BC47*BD47*1000</f>
        <v>31250</v>
      </c>
      <c r="BF47" s="36"/>
      <c r="BG47" s="36"/>
      <c r="BH47" s="36"/>
      <c r="BI47" s="36"/>
      <c r="BJ47" s="36"/>
      <c r="BK47" s="36"/>
      <c r="BL47" s="36"/>
      <c r="BM47" s="36"/>
      <c r="BN47" s="36"/>
      <c r="BO47" s="36"/>
      <c r="BP47" s="36"/>
      <c r="BQ47" s="36"/>
      <c r="BR47" s="36"/>
      <c r="BS47" s="36"/>
      <c r="BT47" s="36"/>
      <c r="BU47" s="36">
        <f t="shared" ca="1" si="71"/>
        <v>34877.762983466455</v>
      </c>
      <c r="BV47" s="36">
        <f t="shared" ca="1" si="72"/>
        <v>348.77762983466454</v>
      </c>
      <c r="BW47" s="38">
        <f t="shared" si="73"/>
        <v>8.7499999999999994E-2</v>
      </c>
      <c r="BX47" s="38"/>
      <c r="BY47" s="39"/>
    </row>
    <row r="48" spans="1:77" ht="22.5" x14ac:dyDescent="0.2">
      <c r="A48" s="20">
        <v>5</v>
      </c>
      <c r="B48" s="27" t="s">
        <v>80</v>
      </c>
      <c r="C48" s="66"/>
      <c r="D48" s="478" t="s">
        <v>118</v>
      </c>
      <c r="E48" s="479"/>
      <c r="F48" s="28" t="s">
        <v>123</v>
      </c>
      <c r="G48" s="66">
        <f>D10*D9*2</f>
        <v>840</v>
      </c>
      <c r="H48" s="167">
        <v>42597</v>
      </c>
      <c r="I48" s="166">
        <f>I47</f>
        <v>42600</v>
      </c>
      <c r="J48" s="179">
        <f t="shared" si="59"/>
        <v>3</v>
      </c>
      <c r="K48" s="164">
        <f>G48/J48</f>
        <v>280</v>
      </c>
      <c r="L48" s="33">
        <f t="shared" si="60"/>
        <v>3</v>
      </c>
      <c r="M48" s="34"/>
      <c r="N48" s="34">
        <v>1</v>
      </c>
      <c r="O48" s="35">
        <f t="shared" si="61"/>
        <v>0</v>
      </c>
      <c r="P48" s="35">
        <f t="shared" si="62"/>
        <v>21</v>
      </c>
      <c r="Q48" s="34"/>
      <c r="R48" s="33"/>
      <c r="S48" s="34">
        <v>2</v>
      </c>
      <c r="T48" s="78">
        <f ca="1">IF(AND(N48&gt;0,P48&gt;0),SUMIF('Исходные данные'!$C$14:$J$30,S48,'Исходные данные'!$C$34:$J$41),IF(N48=0,0,IF(S48=0,"РОТ")))</f>
        <v>105.700598073999</v>
      </c>
      <c r="U48" s="125">
        <f>O48*R48*'Исходные данные'!$C$39%</f>
        <v>0</v>
      </c>
      <c r="V48" s="125">
        <f ca="1">P48*T48*'Исходные данные'!$C$40%</f>
        <v>0</v>
      </c>
      <c r="W48" s="125">
        <f t="shared" si="63"/>
        <v>0</v>
      </c>
      <c r="X48" s="126">
        <f t="shared" ca="1" si="64"/>
        <v>0</v>
      </c>
      <c r="Y48" s="125">
        <f t="shared" si="65"/>
        <v>0</v>
      </c>
      <c r="Z48" s="126">
        <f t="shared" ca="1" si="66"/>
        <v>110.98562797769897</v>
      </c>
      <c r="AA48" s="125">
        <f t="shared" si="67"/>
        <v>0</v>
      </c>
      <c r="AB48" s="126">
        <f t="shared" ca="1" si="68"/>
        <v>0</v>
      </c>
      <c r="AC48" s="124">
        <v>2.5</v>
      </c>
      <c r="AD48" s="125">
        <f t="shared" si="69"/>
        <v>0</v>
      </c>
      <c r="AE48" s="125">
        <f t="shared" ca="1" si="70"/>
        <v>5826.7454688291955</v>
      </c>
      <c r="AF48" s="35"/>
      <c r="AG48" s="70">
        <f ca="1">AE48*$AF$17</f>
        <v>870.66311603194868</v>
      </c>
      <c r="AH48" s="35"/>
      <c r="AI48" s="35">
        <f ca="1">AE48+AG48</f>
        <v>6697.4085848611439</v>
      </c>
      <c r="AJ48" s="35"/>
      <c r="AK48" s="70">
        <f ca="1">AI48*$AJ$17</f>
        <v>2009.222575458343</v>
      </c>
      <c r="AL48" s="35"/>
      <c r="AM48" s="70">
        <f ca="1">AK48+AI48</f>
        <v>8706.6311603194863</v>
      </c>
      <c r="AN48" s="32"/>
      <c r="AO48" s="32"/>
      <c r="AP48" s="36"/>
      <c r="AQ48" s="37"/>
      <c r="AR48" s="37"/>
      <c r="AS48" s="36"/>
      <c r="AT48" s="32"/>
      <c r="AU48" s="36"/>
      <c r="AV48" s="36"/>
      <c r="AW48" s="36"/>
      <c r="AX48" s="36"/>
      <c r="AY48" s="36"/>
      <c r="AZ48" s="36"/>
      <c r="BA48" s="36"/>
      <c r="BB48" s="36"/>
      <c r="BC48" s="36"/>
      <c r="BD48" s="36"/>
      <c r="BE48" s="36"/>
      <c r="BF48" s="36">
        <f>G48*1.13</f>
        <v>949.19999999999993</v>
      </c>
      <c r="BG48" s="38">
        <f>30*1.045*1.054</f>
        <v>33.042899999999996</v>
      </c>
      <c r="BH48" s="36">
        <f>BF48*BG48</f>
        <v>31364.320679999993</v>
      </c>
      <c r="BI48" s="36"/>
      <c r="BJ48" s="36"/>
      <c r="BK48" s="36"/>
      <c r="BL48" s="36"/>
      <c r="BM48" s="36"/>
      <c r="BN48" s="36"/>
      <c r="BO48" s="36"/>
      <c r="BP48" s="36"/>
      <c r="BQ48" s="36"/>
      <c r="BR48" s="36"/>
      <c r="BS48" s="36"/>
      <c r="BT48" s="36"/>
      <c r="BU48" s="36">
        <f t="shared" ca="1" si="71"/>
        <v>40070.951840319482</v>
      </c>
      <c r="BV48" s="36">
        <f t="shared" ca="1" si="72"/>
        <v>400.70951840319481</v>
      </c>
      <c r="BW48" s="38">
        <f t="shared" si="73"/>
        <v>0.21</v>
      </c>
      <c r="BX48" s="38"/>
      <c r="BY48" s="39"/>
    </row>
    <row r="49" spans="1:77" ht="22.5" x14ac:dyDescent="0.2">
      <c r="A49" s="20">
        <v>6</v>
      </c>
      <c r="B49" s="27" t="s">
        <v>81</v>
      </c>
      <c r="C49" s="66"/>
      <c r="D49" s="478" t="s">
        <v>118</v>
      </c>
      <c r="E49" s="479"/>
      <c r="F49" s="28" t="s">
        <v>123</v>
      </c>
      <c r="G49" s="66">
        <f>G48</f>
        <v>840</v>
      </c>
      <c r="H49" s="167">
        <v>42597</v>
      </c>
      <c r="I49" s="166">
        <f>I48</f>
        <v>42600</v>
      </c>
      <c r="J49" s="179">
        <f t="shared" si="59"/>
        <v>3</v>
      </c>
      <c r="K49" s="164">
        <f>G49/J49</f>
        <v>280</v>
      </c>
      <c r="L49" s="33">
        <f t="shared" si="60"/>
        <v>3</v>
      </c>
      <c r="M49" s="34"/>
      <c r="N49" s="34">
        <v>1</v>
      </c>
      <c r="O49" s="35">
        <f t="shared" si="61"/>
        <v>0</v>
      </c>
      <c r="P49" s="35">
        <f t="shared" si="62"/>
        <v>21</v>
      </c>
      <c r="Q49" s="34"/>
      <c r="R49" s="33"/>
      <c r="S49" s="34">
        <v>2</v>
      </c>
      <c r="T49" s="78">
        <f ca="1">IF(AND(N49&gt;0,P49&gt;0),SUMIF('Исходные данные'!$C$14:$J$30,S49,'Исходные данные'!$C$34:$J$41),IF(N49=0,0,IF(S49=0,"РОТ")))</f>
        <v>105.700598073999</v>
      </c>
      <c r="U49" s="125">
        <f>O49*R49*'Исходные данные'!$C$39%</f>
        <v>0</v>
      </c>
      <c r="V49" s="125">
        <f ca="1">P49*T49*'Исходные данные'!$C$40%</f>
        <v>0</v>
      </c>
      <c r="W49" s="125">
        <f t="shared" si="63"/>
        <v>0</v>
      </c>
      <c r="X49" s="126">
        <f t="shared" ca="1" si="64"/>
        <v>0</v>
      </c>
      <c r="Y49" s="125">
        <f t="shared" si="65"/>
        <v>0</v>
      </c>
      <c r="Z49" s="126">
        <f t="shared" ca="1" si="66"/>
        <v>110.98562797769897</v>
      </c>
      <c r="AA49" s="125">
        <f t="shared" si="67"/>
        <v>0</v>
      </c>
      <c r="AB49" s="126">
        <f t="shared" ca="1" si="68"/>
        <v>0</v>
      </c>
      <c r="AC49" s="124">
        <v>2.5</v>
      </c>
      <c r="AD49" s="125">
        <f t="shared" si="69"/>
        <v>0</v>
      </c>
      <c r="AE49" s="125">
        <f t="shared" ca="1" si="70"/>
        <v>5826.7454688291955</v>
      </c>
      <c r="AF49" s="35"/>
      <c r="AG49" s="70">
        <f ca="1">AE49*$AF$17</f>
        <v>870.66311603194868</v>
      </c>
      <c r="AH49" s="35"/>
      <c r="AI49" s="35">
        <f ca="1">AE49+AG49</f>
        <v>6697.4085848611439</v>
      </c>
      <c r="AJ49" s="35"/>
      <c r="AK49" s="70">
        <f ca="1">AI49*$AJ$17</f>
        <v>2009.222575458343</v>
      </c>
      <c r="AL49" s="35"/>
      <c r="AM49" s="70">
        <f ca="1">AK49+AI49</f>
        <v>8706.6311603194863</v>
      </c>
      <c r="AN49" s="32"/>
      <c r="AO49" s="32"/>
      <c r="AP49" s="36"/>
      <c r="AQ49" s="37"/>
      <c r="AR49" s="37"/>
      <c r="AS49" s="36"/>
      <c r="AT49" s="32"/>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f t="shared" ca="1" si="71"/>
        <v>8706.6311603194863</v>
      </c>
      <c r="BV49" s="36">
        <f t="shared" ca="1" si="72"/>
        <v>87.066311603194862</v>
      </c>
      <c r="BW49" s="38">
        <f t="shared" si="73"/>
        <v>0.21</v>
      </c>
      <c r="BX49" s="38"/>
      <c r="BY49" s="39"/>
    </row>
    <row r="50" spans="1:77" s="54" customFormat="1" x14ac:dyDescent="0.2">
      <c r="A50" s="52"/>
      <c r="B50" s="53" t="s">
        <v>21</v>
      </c>
      <c r="C50" s="56"/>
      <c r="D50" s="56"/>
      <c r="E50" s="56"/>
      <c r="F50" s="55"/>
      <c r="G50" s="56"/>
      <c r="H50" s="56"/>
      <c r="I50" s="56"/>
      <c r="J50" s="65">
        <f>SUM(J44:J49)</f>
        <v>18</v>
      </c>
      <c r="K50" s="65"/>
      <c r="L50" s="65">
        <f t="shared" ref="L50:BQ50" si="74">SUM(L44:L49)</f>
        <v>28.375</v>
      </c>
      <c r="M50" s="65">
        <f t="shared" si="74"/>
        <v>3</v>
      </c>
      <c r="N50" s="65">
        <f t="shared" si="74"/>
        <v>3</v>
      </c>
      <c r="O50" s="65">
        <f t="shared" si="74"/>
        <v>147.875</v>
      </c>
      <c r="P50" s="65">
        <f t="shared" si="74"/>
        <v>50.75</v>
      </c>
      <c r="Q50" s="65"/>
      <c r="R50" s="65"/>
      <c r="S50" s="65"/>
      <c r="T50" s="65"/>
      <c r="U50" s="65">
        <f t="shared" ca="1" si="74"/>
        <v>0</v>
      </c>
      <c r="V50" s="65">
        <f t="shared" ca="1" si="74"/>
        <v>0</v>
      </c>
      <c r="W50" s="65">
        <f t="shared" ca="1" si="74"/>
        <v>0</v>
      </c>
      <c r="X50" s="65">
        <f t="shared" ca="1" si="74"/>
        <v>0</v>
      </c>
      <c r="Y50" s="65">
        <f t="shared" ca="1" si="74"/>
        <v>2848.976867714141</v>
      </c>
      <c r="Z50" s="65">
        <f t="shared" ca="1" si="74"/>
        <v>268.21526761277249</v>
      </c>
      <c r="AA50" s="65">
        <f t="shared" ca="1" si="74"/>
        <v>0</v>
      </c>
      <c r="AB50" s="65">
        <f t="shared" ca="1" si="74"/>
        <v>0</v>
      </c>
      <c r="AC50" s="65"/>
      <c r="AD50" s="65">
        <f t="shared" ca="1" si="74"/>
        <v>78346.863862138882</v>
      </c>
      <c r="AE50" s="65">
        <f t="shared" ca="1" si="74"/>
        <v>14081.301549670556</v>
      </c>
      <c r="AF50" s="65">
        <f t="shared" ca="1" si="74"/>
        <v>11707.002646066729</v>
      </c>
      <c r="AG50" s="65">
        <f t="shared" ca="1" si="74"/>
        <v>2104.1025304105424</v>
      </c>
      <c r="AH50" s="65">
        <f t="shared" ca="1" si="74"/>
        <v>90053.86650820561</v>
      </c>
      <c r="AI50" s="65">
        <f t="shared" ca="1" si="74"/>
        <v>16185.404080081098</v>
      </c>
      <c r="AJ50" s="65">
        <f t="shared" ca="1" si="74"/>
        <v>27016.159952461683</v>
      </c>
      <c r="AK50" s="65">
        <f t="shared" ca="1" si="74"/>
        <v>4855.6212240243294</v>
      </c>
      <c r="AL50" s="65">
        <f t="shared" ca="1" si="74"/>
        <v>117070.02646066729</v>
      </c>
      <c r="AM50" s="65">
        <f t="shared" ca="1" si="74"/>
        <v>21041.025304105424</v>
      </c>
      <c r="AN50" s="65"/>
      <c r="AO50" s="65"/>
      <c r="AP50" s="65">
        <f t="shared" si="74"/>
        <v>246.965</v>
      </c>
      <c r="AQ50" s="65"/>
      <c r="AR50" s="65"/>
      <c r="AS50" s="65" t="e">
        <f t="shared" si="74"/>
        <v>#REF!</v>
      </c>
      <c r="AT50" s="65"/>
      <c r="AU50" s="65">
        <f t="shared" si="74"/>
        <v>0</v>
      </c>
      <c r="AV50" s="65"/>
      <c r="AW50" s="65">
        <f t="shared" si="74"/>
        <v>0</v>
      </c>
      <c r="AX50" s="65"/>
      <c r="AY50" s="65">
        <f t="shared" si="74"/>
        <v>0</v>
      </c>
      <c r="AZ50" s="65"/>
      <c r="BA50" s="65">
        <f t="shared" si="74"/>
        <v>0</v>
      </c>
      <c r="BB50" s="65"/>
      <c r="BC50" s="65">
        <f t="shared" si="74"/>
        <v>2.5</v>
      </c>
      <c r="BD50" s="65"/>
      <c r="BE50" s="65">
        <f t="shared" si="74"/>
        <v>31250</v>
      </c>
      <c r="BF50" s="65">
        <f>SUM(BF44:BF49)</f>
        <v>949.19999999999993</v>
      </c>
      <c r="BG50" s="65"/>
      <c r="BH50" s="65">
        <f>SUM(BH44:BH49)</f>
        <v>31364.320679999993</v>
      </c>
      <c r="BI50" s="65"/>
      <c r="BJ50" s="65">
        <f t="shared" si="74"/>
        <v>3522.5313864106147</v>
      </c>
      <c r="BK50" s="65"/>
      <c r="BL50" s="65">
        <f t="shared" si="74"/>
        <v>1745.5295124269005</v>
      </c>
      <c r="BM50" s="65">
        <f t="shared" si="74"/>
        <v>173995.65000000002</v>
      </c>
      <c r="BN50" s="65"/>
      <c r="BO50" s="65">
        <f t="shared" si="74"/>
        <v>10029.57</v>
      </c>
      <c r="BP50" s="65"/>
      <c r="BQ50" s="65">
        <f t="shared" si="74"/>
        <v>1554.8812499999999</v>
      </c>
      <c r="BR50" s="65"/>
      <c r="BS50" s="65">
        <f t="shared" ref="BS50:BY50" si="75">SUM(BS44:BS49)</f>
        <v>488.70449099999996</v>
      </c>
      <c r="BT50" s="65">
        <f t="shared" si="75"/>
        <v>127435.49787499999</v>
      </c>
      <c r="BU50" s="65" t="e">
        <f t="shared" ca="1" si="75"/>
        <v>#REF!</v>
      </c>
      <c r="BV50" s="65"/>
      <c r="BW50" s="65"/>
      <c r="BX50" s="65"/>
      <c r="BY50" s="65">
        <f t="shared" si="75"/>
        <v>114.03749999999999</v>
      </c>
    </row>
    <row r="51" spans="1:77" s="51" customFormat="1" x14ac:dyDescent="0.2">
      <c r="A51" s="48"/>
      <c r="B51" s="58" t="s">
        <v>29</v>
      </c>
      <c r="C51" s="50"/>
      <c r="D51" s="50"/>
      <c r="E51" s="50"/>
      <c r="F51" s="49"/>
      <c r="G51" s="50"/>
      <c r="H51" s="50"/>
      <c r="I51" s="50"/>
      <c r="J51" s="73">
        <f>J34+J42+J50</f>
        <v>93</v>
      </c>
      <c r="K51" s="73"/>
      <c r="L51" s="73">
        <f>L34+L42+L50</f>
        <v>127.73471926083866</v>
      </c>
      <c r="M51" s="73">
        <f>M34+M42+M50</f>
        <v>14</v>
      </c>
      <c r="N51" s="73">
        <f>N34+N42+N50</f>
        <v>13</v>
      </c>
      <c r="O51" s="73">
        <f>O34+O42+O50</f>
        <v>570.3930348258707</v>
      </c>
      <c r="P51" s="73">
        <f>P34+P42+P50</f>
        <v>462.80970149253733</v>
      </c>
      <c r="Q51" s="73"/>
      <c r="R51" s="73"/>
      <c r="S51" s="73"/>
      <c r="T51" s="73"/>
      <c r="U51" s="73">
        <f t="shared" ref="U51:AM51" ca="1" si="76">U34+U42+U50</f>
        <v>0</v>
      </c>
      <c r="V51" s="73">
        <f t="shared" ca="1" si="76"/>
        <v>0</v>
      </c>
      <c r="W51" s="73">
        <f t="shared" ca="1" si="76"/>
        <v>0</v>
      </c>
      <c r="X51" s="73">
        <f t="shared" ca="1" si="76"/>
        <v>0</v>
      </c>
      <c r="Y51" s="73">
        <f t="shared" ca="1" si="76"/>
        <v>10072.314472815851</v>
      </c>
      <c r="Z51" s="73">
        <f t="shared" ca="1" si="76"/>
        <v>2671.0461146447187</v>
      </c>
      <c r="AA51" s="73">
        <f t="shared" ca="1" si="76"/>
        <v>0</v>
      </c>
      <c r="AB51" s="73">
        <f t="shared" ca="1" si="76"/>
        <v>0</v>
      </c>
      <c r="AC51" s="73"/>
      <c r="AD51" s="73">
        <f t="shared" ca="1" si="76"/>
        <v>350010.9677186042</v>
      </c>
      <c r="AE51" s="73">
        <f t="shared" ca="1" si="76"/>
        <v>173295.34016532518</v>
      </c>
      <c r="AF51" s="73">
        <f t="shared" ca="1" si="76"/>
        <v>52300.489429216716</v>
      </c>
      <c r="AG51" s="73">
        <f t="shared" ca="1" si="76"/>
        <v>25894.706001715254</v>
      </c>
      <c r="AH51" s="73">
        <f t="shared" ca="1" si="76"/>
        <v>402311.45714782091</v>
      </c>
      <c r="AI51" s="73">
        <f t="shared" ca="1" si="76"/>
        <v>199190.04616704042</v>
      </c>
      <c r="AJ51" s="73">
        <f t="shared" ca="1" si="76"/>
        <v>120693.43714434627</v>
      </c>
      <c r="AK51" s="73">
        <f t="shared" ca="1" si="76"/>
        <v>59757.013850112126</v>
      </c>
      <c r="AL51" s="73">
        <f t="shared" ca="1" si="76"/>
        <v>523004.89429216716</v>
      </c>
      <c r="AM51" s="73">
        <f t="shared" ca="1" si="76"/>
        <v>258947.06001715257</v>
      </c>
      <c r="AN51" s="73"/>
      <c r="AO51" s="73"/>
      <c r="AP51" s="73">
        <f>AP34+AP42+AP50</f>
        <v>394.40199200000001</v>
      </c>
      <c r="AQ51" s="73"/>
      <c r="AR51" s="73"/>
      <c r="AS51" s="73" t="e">
        <f>AS34+AS42+AS50</f>
        <v>#REF!</v>
      </c>
      <c r="AT51" s="73"/>
      <c r="AU51" s="73">
        <f>AU34+AU42+AU50</f>
        <v>10.5</v>
      </c>
      <c r="AV51" s="73"/>
      <c r="AW51" s="73">
        <f>AW34+AW42+AW50</f>
        <v>220500</v>
      </c>
      <c r="AX51" s="73"/>
      <c r="AY51" s="73">
        <f>AY34+AY42+AY50</f>
        <v>50</v>
      </c>
      <c r="AZ51" s="73"/>
      <c r="BA51" s="73" t="e">
        <f>BA34+BA42+BA50</f>
        <v>#REF!</v>
      </c>
      <c r="BB51" s="73"/>
      <c r="BC51" s="73">
        <f>BC34+BC42+BC50</f>
        <v>2.5</v>
      </c>
      <c r="BD51" s="73"/>
      <c r="BE51" s="73">
        <f>BE34+BE42+BE50</f>
        <v>31250</v>
      </c>
      <c r="BF51" s="73">
        <f>BF34+BF42+BF50</f>
        <v>949.19999999999993</v>
      </c>
      <c r="BG51" s="73"/>
      <c r="BH51" s="73">
        <f>BH34+BH42+BH50</f>
        <v>31364.320679999993</v>
      </c>
      <c r="BI51" s="73"/>
      <c r="BJ51" s="73">
        <f>BJ34+BJ42+BJ50</f>
        <v>9184.2845259138885</v>
      </c>
      <c r="BK51" s="73"/>
      <c r="BL51" s="73">
        <f>BL34+BL42+BL50</f>
        <v>6997.0959725573293</v>
      </c>
      <c r="BM51" s="73">
        <f>BM34+BM42+BM50</f>
        <v>173995.65000000002</v>
      </c>
      <c r="BN51" s="73"/>
      <c r="BO51" s="73">
        <f>BO34+BO42+BO50</f>
        <v>50359.837707889128</v>
      </c>
      <c r="BP51" s="73"/>
      <c r="BQ51" s="73">
        <f>BQ34+BQ42+BQ50</f>
        <v>6439.9079984008531</v>
      </c>
      <c r="BR51" s="73"/>
      <c r="BS51" s="73">
        <f>BS34+BS42+BS50</f>
        <v>2356.7921579679105</v>
      </c>
      <c r="BT51" s="73">
        <f>BT34+BT42+BT50</f>
        <v>492850.889354204</v>
      </c>
      <c r="BU51" s="73" t="e">
        <f ca="1">BU34+BU42+BU50</f>
        <v>#REF!</v>
      </c>
      <c r="BV51" s="73"/>
      <c r="BW51" s="73"/>
      <c r="BX51" s="73"/>
      <c r="BY51" s="73">
        <f>BY34+BY42+BY50</f>
        <v>542.73813965884858</v>
      </c>
    </row>
  </sheetData>
  <mergeCells count="128">
    <mergeCell ref="D26:E26"/>
    <mergeCell ref="B20:E20"/>
    <mergeCell ref="B21:E21"/>
    <mergeCell ref="AF18:AF19"/>
    <mergeCell ref="M17:M19"/>
    <mergeCell ref="J15:J19"/>
    <mergeCell ref="AD17:AD19"/>
    <mergeCell ref="V17:V19"/>
    <mergeCell ref="AA18:AA19"/>
    <mergeCell ref="AB18:AB19"/>
    <mergeCell ref="H15:I16"/>
    <mergeCell ref="E18:E19"/>
    <mergeCell ref="O18:O19"/>
    <mergeCell ref="P18:P19"/>
    <mergeCell ref="Q18:Q19"/>
    <mergeCell ref="H17:H19"/>
    <mergeCell ref="I17:I19"/>
    <mergeCell ref="U17:U19"/>
    <mergeCell ref="U15:V16"/>
    <mergeCell ref="AE17:AE19"/>
    <mergeCell ref="AA15:AB16"/>
    <mergeCell ref="Y15:Z16"/>
    <mergeCell ref="AC15:AE16"/>
    <mergeCell ref="AC17:AC19"/>
    <mergeCell ref="AH15:AI16"/>
    <mergeCell ref="AJ15:AK16"/>
    <mergeCell ref="AG18:AG19"/>
    <mergeCell ref="AJ18:AJ19"/>
    <mergeCell ref="AK18:AK19"/>
    <mergeCell ref="AI17:AI19"/>
    <mergeCell ref="AJ17:AK17"/>
    <mergeCell ref="AL17:AL19"/>
    <mergeCell ref="AL15:AM16"/>
    <mergeCell ref="AF15:AG16"/>
    <mergeCell ref="AF17:AG17"/>
    <mergeCell ref="D48:E48"/>
    <mergeCell ref="D49:E49"/>
    <mergeCell ref="D36:E36"/>
    <mergeCell ref="D28:E28"/>
    <mergeCell ref="D29:E29"/>
    <mergeCell ref="D31:E31"/>
    <mergeCell ref="D47:E47"/>
    <mergeCell ref="B43:E43"/>
    <mergeCell ref="B35:E35"/>
    <mergeCell ref="D46:E46"/>
    <mergeCell ref="D38:E38"/>
    <mergeCell ref="D40:E40"/>
    <mergeCell ref="BB15:BE16"/>
    <mergeCell ref="AX17:AX19"/>
    <mergeCell ref="BF15:BH16"/>
    <mergeCell ref="AZ17:AZ19"/>
    <mergeCell ref="BR17:BS17"/>
    <mergeCell ref="BN18:BN19"/>
    <mergeCell ref="BO18:BO19"/>
    <mergeCell ref="BF17:BF19"/>
    <mergeCell ref="BG17:BG19"/>
    <mergeCell ref="BS18:BS19"/>
    <mergeCell ref="BI17:BJ17"/>
    <mergeCell ref="BK17:BL17"/>
    <mergeCell ref="BI18:BI19"/>
    <mergeCell ref="BJ18:BJ19"/>
    <mergeCell ref="BK18:BK19"/>
    <mergeCell ref="BY17:BY19"/>
    <mergeCell ref="BP18:BP19"/>
    <mergeCell ref="AS17:AS19"/>
    <mergeCell ref="AT17:AT19"/>
    <mergeCell ref="BU17:BU19"/>
    <mergeCell ref="BX17:BX19"/>
    <mergeCell ref="BU15:BV16"/>
    <mergeCell ref="BW15:BW19"/>
    <mergeCell ref="AU17:AU19"/>
    <mergeCell ref="AY17:AY19"/>
    <mergeCell ref="BH17:BH19"/>
    <mergeCell ref="BL18:BL19"/>
    <mergeCell ref="BB17:BB19"/>
    <mergeCell ref="BC17:BC19"/>
    <mergeCell ref="BQ18:BQ19"/>
    <mergeCell ref="BR18:BR19"/>
    <mergeCell ref="BX15:BY16"/>
    <mergeCell ref="AN15:AS16"/>
    <mergeCell ref="AT15:AW16"/>
    <mergeCell ref="AX15:BA16"/>
    <mergeCell ref="BN15:BT16"/>
    <mergeCell ref="AW17:AW19"/>
    <mergeCell ref="BI15:BM16"/>
    <mergeCell ref="AV17:AV19"/>
    <mergeCell ref="W18:W19"/>
    <mergeCell ref="X18:X19"/>
    <mergeCell ref="W17:X17"/>
    <mergeCell ref="BN17:BO17"/>
    <mergeCell ref="BP17:BQ17"/>
    <mergeCell ref="BT17:BT19"/>
    <mergeCell ref="BV17:BV19"/>
    <mergeCell ref="BD17:BD19"/>
    <mergeCell ref="BE17:BE19"/>
    <mergeCell ref="BM17:BM19"/>
    <mergeCell ref="AM17:AM19"/>
    <mergeCell ref="AH17:AH19"/>
    <mergeCell ref="BA17:BA19"/>
    <mergeCell ref="AN17:AN19"/>
    <mergeCell ref="AO17:AO19"/>
    <mergeCell ref="AP17:AP19"/>
    <mergeCell ref="AQ17:AQ19"/>
    <mergeCell ref="AR17:AR19"/>
    <mergeCell ref="A15:A19"/>
    <mergeCell ref="B15:E16"/>
    <mergeCell ref="F15:F19"/>
    <mergeCell ref="G15:G19"/>
    <mergeCell ref="B17:B19"/>
    <mergeCell ref="C17:E17"/>
    <mergeCell ref="O17:P17"/>
    <mergeCell ref="O15:P16"/>
    <mergeCell ref="AA17:AB17"/>
    <mergeCell ref="L15:L19"/>
    <mergeCell ref="Y18:Y19"/>
    <mergeCell ref="Z18:Z19"/>
    <mergeCell ref="T18:T19"/>
    <mergeCell ref="W15:X16"/>
    <mergeCell ref="K15:K19"/>
    <mergeCell ref="M15:N16"/>
    <mergeCell ref="N17:N19"/>
    <mergeCell ref="S18:S19"/>
    <mergeCell ref="Q15:T16"/>
    <mergeCell ref="Q17:R17"/>
    <mergeCell ref="R18:R19"/>
    <mergeCell ref="S17:T17"/>
    <mergeCell ref="C18:C19"/>
    <mergeCell ref="D18:D19"/>
  </mergeCells>
  <phoneticPr fontId="4" type="noConversion"/>
  <conditionalFormatting sqref="AO47:AS49 AN48:AN49 AR26:AS26 AO26:AP26 AO28:AP29 AR28:AS29 AP27 AS27 AR31:AS31 AO31:AP31 AP30 AS30 AP32:AP33 AS32:AS33 AN35:AS35 T45:T46 AS25 AS22:BY24 G21:BY21 G50:BY51 R47:R49 G34:G35 G42:G43 K35 R35 O35:P35 K34:BY34 T33 S45:S49 U45:AM49 T25 S25:S33 T35:AE35 U25:AM33 AP22:AP25 Q22:Q33 L22:N33 S22:AM24 AS45:AS46 AT25:BY33 AP44:AP46 S44:AM44 AS44:BQ44 AT45:BQ49 BR44:BY49 H22:J49 L35:N41 Q35:Q41 S35:S41 U36:AE41 AF35:AM41 AP36:AP41 AS36:AS41 K42:BY43 AT35:BY41 Q44:Q49 L44:N49">
    <cfRule type="cellIs" dxfId="110" priority="41" stopIfTrue="1" operator="greaterThan">
      <formula>0</formula>
    </cfRule>
  </conditionalFormatting>
  <conditionalFormatting sqref="AN36:AN41 K22:K33 AN22:AN33 AN44:AN47 K36:K41 K44:K49">
    <cfRule type="cellIs" dxfId="109" priority="42" stopIfTrue="1" operator="greaterThan">
      <formula>0</formula>
    </cfRule>
  </conditionalFormatting>
  <conditionalFormatting sqref="E22:E25 E32:E33 E27 E30 E37:E41 E44:E45">
    <cfRule type="cellIs" dxfId="108" priority="43" stopIfTrue="1" operator="equal">
      <formula>0</formula>
    </cfRule>
  </conditionalFormatting>
  <conditionalFormatting sqref="O22:P33 O44:P49 O36:P41">
    <cfRule type="cellIs" dxfId="107" priority="44" stopIfTrue="1" operator="greaterThan">
      <formula>0</formula>
    </cfRule>
  </conditionalFormatting>
  <conditionalFormatting sqref="E32">
    <cfRule type="cellIs" dxfId="106" priority="40" stopIfTrue="1" operator="equal">
      <formula>0</formula>
    </cfRule>
  </conditionalFormatting>
  <conditionalFormatting sqref="E44">
    <cfRule type="cellIs" dxfId="105" priority="39" stopIfTrue="1" operator="equal">
      <formula>0</formula>
    </cfRule>
  </conditionalFormatting>
  <conditionalFormatting sqref="E44">
    <cfRule type="cellIs" dxfId="104" priority="38" stopIfTrue="1" operator="equal">
      <formula>0</formula>
    </cfRule>
  </conditionalFormatting>
  <conditionalFormatting sqref="E32">
    <cfRule type="cellIs" dxfId="103" priority="37" stopIfTrue="1" operator="equal">
      <formula>0</formula>
    </cfRule>
  </conditionalFormatting>
  <conditionalFormatting sqref="E44">
    <cfRule type="cellIs" dxfId="102" priority="36" stopIfTrue="1" operator="equal">
      <formula>0</formula>
    </cfRule>
  </conditionalFormatting>
  <conditionalFormatting sqref="E44">
    <cfRule type="cellIs" dxfId="101" priority="35" stopIfTrue="1" operator="equal">
      <formula>0</formula>
    </cfRule>
  </conditionalFormatting>
  <conditionalFormatting sqref="E44">
    <cfRule type="cellIs" dxfId="100" priority="34" stopIfTrue="1" operator="equal">
      <formula>0</formula>
    </cfRule>
  </conditionalFormatting>
  <conditionalFormatting sqref="E39">
    <cfRule type="cellIs" dxfId="99" priority="33" stopIfTrue="1" operator="equal">
      <formula>0</formula>
    </cfRule>
  </conditionalFormatting>
  <conditionalFormatting sqref="J36:J41">
    <cfRule type="cellIs" dxfId="98" priority="32" stopIfTrue="1" operator="greaterThan">
      <formula>0</formula>
    </cfRule>
  </conditionalFormatting>
  <conditionalFormatting sqref="L36:L39">
    <cfRule type="cellIs" dxfId="97" priority="31" stopIfTrue="1" operator="greaterThan">
      <formula>0</formula>
    </cfRule>
  </conditionalFormatting>
  <conditionalFormatting sqref="H38:I39">
    <cfRule type="cellIs" dxfId="96" priority="30" stopIfTrue="1" operator="greaterThan">
      <formula>0</formula>
    </cfRule>
  </conditionalFormatting>
  <conditionalFormatting sqref="L40:L41">
    <cfRule type="cellIs" dxfId="95" priority="29" stopIfTrue="1" operator="greaterThan">
      <formula>0</formula>
    </cfRule>
  </conditionalFormatting>
  <conditionalFormatting sqref="E41">
    <cfRule type="cellIs" dxfId="94" priority="28" stopIfTrue="1" operator="equal">
      <formula>0</formula>
    </cfRule>
  </conditionalFormatting>
  <conditionalFormatting sqref="H40:I41">
    <cfRule type="cellIs" dxfId="93" priority="27" stopIfTrue="1" operator="greaterThan">
      <formula>0</formula>
    </cfRule>
  </conditionalFormatting>
  <conditionalFormatting sqref="K36:K41">
    <cfRule type="cellIs" dxfId="92" priority="26" stopIfTrue="1" operator="greaterThan">
      <formula>0</formula>
    </cfRule>
  </conditionalFormatting>
  <conditionalFormatting sqref="H36:I37">
    <cfRule type="cellIs" dxfId="91" priority="25" stopIfTrue="1" operator="greaterThan">
      <formula>0</formula>
    </cfRule>
  </conditionalFormatting>
  <conditionalFormatting sqref="H22:I32">
    <cfRule type="cellIs" dxfId="90" priority="24" stopIfTrue="1" operator="greaterThan">
      <formula>0</formula>
    </cfRule>
  </conditionalFormatting>
  <conditionalFormatting sqref="E25">
    <cfRule type="cellIs" dxfId="89" priority="23" stopIfTrue="1" operator="equal">
      <formula>0</formula>
    </cfRule>
  </conditionalFormatting>
  <conditionalFormatting sqref="K32">
    <cfRule type="cellIs" dxfId="88" priority="22" stopIfTrue="1" operator="greaterThan">
      <formula>0</formula>
    </cfRule>
  </conditionalFormatting>
  <conditionalFormatting sqref="AT32">
    <cfRule type="cellIs" dxfId="87" priority="21" stopIfTrue="1" operator="greaterThan">
      <formula>0</formula>
    </cfRule>
  </conditionalFormatting>
  <conditionalFormatting sqref="K22">
    <cfRule type="cellIs" dxfId="86" priority="20" stopIfTrue="1" operator="greaterThan">
      <formula>0</formula>
    </cfRule>
  </conditionalFormatting>
  <conditionalFormatting sqref="K23:K24">
    <cfRule type="cellIs" dxfId="85" priority="19" stopIfTrue="1" operator="greaterThan">
      <formula>0</formula>
    </cfRule>
  </conditionalFormatting>
  <conditionalFormatting sqref="J22">
    <cfRule type="cellIs" dxfId="84" priority="18" stopIfTrue="1" operator="greaterThan">
      <formula>0</formula>
    </cfRule>
  </conditionalFormatting>
  <conditionalFormatting sqref="J23:J24">
    <cfRule type="cellIs" dxfId="83" priority="17" stopIfTrue="1" operator="greaterThan">
      <formula>0</formula>
    </cfRule>
  </conditionalFormatting>
  <conditionalFormatting sqref="J32">
    <cfRule type="cellIs" dxfId="82" priority="16" stopIfTrue="1" operator="greaterThan">
      <formula>0</formula>
    </cfRule>
  </conditionalFormatting>
  <conditionalFormatting sqref="H44:I49">
    <cfRule type="cellIs" dxfId="81" priority="15" stopIfTrue="1" operator="greaterThan">
      <formula>0</formula>
    </cfRule>
  </conditionalFormatting>
  <conditionalFormatting sqref="K44">
    <cfRule type="cellIs" dxfId="80" priority="14" stopIfTrue="1" operator="greaterThan">
      <formula>0</formula>
    </cfRule>
  </conditionalFormatting>
  <conditionalFormatting sqref="K45">
    <cfRule type="cellIs" dxfId="79" priority="13" stopIfTrue="1" operator="greaterThan">
      <formula>0</formula>
    </cfRule>
  </conditionalFormatting>
  <conditionalFormatting sqref="K46">
    <cfRule type="cellIs" dxfId="78" priority="12" stopIfTrue="1" operator="greaterThan">
      <formula>0</formula>
    </cfRule>
  </conditionalFormatting>
  <conditionalFormatting sqref="J44:J49">
    <cfRule type="cellIs" dxfId="77" priority="11" stopIfTrue="1" operator="greaterThan">
      <formula>0</formula>
    </cfRule>
  </conditionalFormatting>
  <conditionalFormatting sqref="K48:K49">
    <cfRule type="cellIs" dxfId="76" priority="10" stopIfTrue="1" operator="greaterThan">
      <formula>0</formula>
    </cfRule>
  </conditionalFormatting>
  <conditionalFormatting sqref="K23:K31">
    <cfRule type="cellIs" dxfId="75" priority="9" stopIfTrue="1" operator="greaterThan">
      <formula>0</formula>
    </cfRule>
  </conditionalFormatting>
  <conditionalFormatting sqref="J22:J32">
    <cfRule type="cellIs" dxfId="74" priority="8" stopIfTrue="1" operator="greaterThan">
      <formula>0</formula>
    </cfRule>
  </conditionalFormatting>
  <conditionalFormatting sqref="AN36:AN41">
    <cfRule type="cellIs" dxfId="73" priority="7" stopIfTrue="1" operator="greaterThan">
      <formula>0</formula>
    </cfRule>
  </conditionalFormatting>
  <conditionalFormatting sqref="AN22:AN32">
    <cfRule type="cellIs" dxfId="72" priority="6" stopIfTrue="1" operator="greaterThan">
      <formula>0</formula>
    </cfRule>
  </conditionalFormatting>
  <conditionalFormatting sqref="AN44">
    <cfRule type="cellIs" dxfId="71" priority="5" stopIfTrue="1" operator="greaterThan">
      <formula>0</formula>
    </cfRule>
  </conditionalFormatting>
  <conditionalFormatting sqref="AN46">
    <cfRule type="cellIs" dxfId="70" priority="4" stopIfTrue="1" operator="greaterThan">
      <formula>0</formula>
    </cfRule>
  </conditionalFormatting>
  <conditionalFormatting sqref="BD47">
    <cfRule type="cellIs" dxfId="69" priority="3" stopIfTrue="1" operator="greaterThan">
      <formula>0</formula>
    </cfRule>
  </conditionalFormatting>
  <conditionalFormatting sqref="AV32">
    <cfRule type="cellIs" dxfId="68" priority="2" stopIfTrue="1" operator="greaterThan">
      <formula>0</formula>
    </cfRule>
  </conditionalFormatting>
  <conditionalFormatting sqref="K47">
    <cfRule type="cellIs" dxfId="67" priority="1" stopIfTrue="1" operator="greaterThan">
      <formula>0</formula>
    </cfRule>
  </conditionalFormatting>
  <dataValidations count="1">
    <dataValidation type="list" allowBlank="1" showInputMessage="1" showErrorMessage="1" sqref="AQ47:AR49">
      <formula1>#REF!</formula1>
    </dataValidation>
  </dataValidations>
  <pageMargins left="0.19685039370078741" right="0.19685039370078741" top="0.39370078740157483" bottom="0.27559055118110237" header="0.19685039370078741" footer="0.15748031496062992"/>
  <pageSetup paperSize="9" scale="54" fitToWidth="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pageSetUpPr fitToPage="1"/>
  </sheetPr>
  <dimension ref="A1:BZ50"/>
  <sheetViews>
    <sheetView topLeftCell="A16" workbookViewId="0">
      <selection activeCell="A50" sqref="A50:I50"/>
    </sheetView>
  </sheetViews>
  <sheetFormatPr defaultRowHeight="12.75" x14ac:dyDescent="0.2"/>
  <cols>
    <col min="1" max="1" width="50.42578125" style="91" bestFit="1" customWidth="1"/>
    <col min="2" max="3" width="12.140625" style="91" customWidth="1"/>
    <col min="4" max="4" width="10.85546875" style="91" bestFit="1" customWidth="1"/>
    <col min="5" max="5" width="9.28515625" style="91" bestFit="1" customWidth="1"/>
    <col min="6" max="16384" width="9.140625" style="91"/>
  </cols>
  <sheetData>
    <row r="1" spans="1:78" s="1" customFormat="1" x14ac:dyDescent="0.2">
      <c r="A1" s="46" t="s">
        <v>354</v>
      </c>
      <c r="B1" s="46"/>
      <c r="C1" s="46"/>
      <c r="D1" s="1" t="s">
        <v>495</v>
      </c>
      <c r="F1" s="2"/>
      <c r="H1" s="92"/>
      <c r="S1" s="3"/>
      <c r="AT1" s="4"/>
      <c r="AU1" s="93"/>
      <c r="AV1" s="93"/>
      <c r="AW1" s="4"/>
      <c r="AX1" s="4"/>
      <c r="AY1" s="4"/>
      <c r="AZ1" s="4"/>
      <c r="BA1" s="4"/>
      <c r="BC1" s="4"/>
      <c r="BD1" s="4"/>
      <c r="BE1" s="4"/>
      <c r="BF1" s="4"/>
      <c r="BG1" s="4"/>
      <c r="BH1" s="4"/>
      <c r="BI1" s="4"/>
      <c r="BJ1" s="4"/>
      <c r="BK1" s="4"/>
      <c r="BL1" s="4"/>
      <c r="BM1" s="4"/>
      <c r="BN1" s="4"/>
      <c r="BO1" s="4"/>
      <c r="BP1" s="4"/>
      <c r="BQ1" s="4"/>
      <c r="BR1" s="4"/>
      <c r="BS1" s="4"/>
      <c r="BT1" s="4"/>
      <c r="BU1" s="4"/>
      <c r="BV1" s="4"/>
      <c r="BW1" s="4"/>
      <c r="BX1" s="4"/>
      <c r="BY1" s="4"/>
      <c r="BZ1" s="5"/>
    </row>
    <row r="2" spans="1:78" s="1" customFormat="1" x14ac:dyDescent="0.2">
      <c r="A2" s="46" t="s">
        <v>57</v>
      </c>
      <c r="B2" s="46"/>
      <c r="C2" s="46"/>
      <c r="F2" s="2"/>
      <c r="H2" s="92"/>
      <c r="S2" s="3"/>
      <c r="AT2" s="4"/>
      <c r="AU2" s="4"/>
      <c r="AV2" s="4"/>
      <c r="AW2" s="4"/>
      <c r="AX2" s="4"/>
      <c r="AY2" s="4"/>
      <c r="AZ2" s="4"/>
      <c r="BA2" s="4"/>
      <c r="BC2" s="4"/>
      <c r="BD2" s="4"/>
      <c r="BE2" s="4"/>
      <c r="BF2" s="4"/>
      <c r="BG2" s="4"/>
      <c r="BH2" s="4"/>
      <c r="BI2" s="4"/>
      <c r="BJ2" s="4"/>
      <c r="BK2" s="4"/>
      <c r="BL2" s="4"/>
      <c r="BM2" s="4"/>
      <c r="BN2" s="4"/>
      <c r="BO2" s="4"/>
      <c r="BP2" s="4"/>
      <c r="BQ2" s="4"/>
      <c r="BR2" s="4"/>
      <c r="BS2" s="4"/>
      <c r="BT2" s="4"/>
      <c r="BU2" s="4"/>
      <c r="BV2" s="4"/>
      <c r="BW2" s="4"/>
      <c r="BX2" s="4"/>
      <c r="BY2" s="4"/>
      <c r="BZ2" s="5"/>
    </row>
    <row r="3" spans="1:78" s="1" customFormat="1" x14ac:dyDescent="0.2">
      <c r="A3" s="92"/>
      <c r="B3" s="92"/>
      <c r="C3" s="92"/>
      <c r="F3" s="2"/>
      <c r="H3" s="92"/>
      <c r="S3" s="3"/>
      <c r="AT3" s="4"/>
      <c r="AU3" s="4"/>
      <c r="AV3" s="4"/>
      <c r="AW3" s="4"/>
      <c r="AX3" s="4"/>
      <c r="AY3" s="4"/>
      <c r="AZ3" s="4"/>
      <c r="BA3" s="4"/>
      <c r="BC3" s="4"/>
      <c r="BD3" s="4"/>
      <c r="BE3" s="4"/>
      <c r="BF3" s="4"/>
      <c r="BG3" s="4"/>
      <c r="BH3" s="4"/>
      <c r="BI3" s="4"/>
      <c r="BJ3" s="4"/>
      <c r="BK3" s="4"/>
      <c r="BL3" s="4"/>
      <c r="BM3" s="4"/>
      <c r="BN3" s="4"/>
      <c r="BO3" s="4"/>
      <c r="BP3" s="4"/>
      <c r="BQ3" s="4"/>
      <c r="BR3" s="4"/>
      <c r="BS3" s="4"/>
      <c r="BT3" s="4"/>
      <c r="BU3" s="4"/>
      <c r="BV3" s="4"/>
      <c r="BW3" s="4"/>
      <c r="BX3" s="4"/>
      <c r="BY3" s="4"/>
      <c r="BZ3" s="5"/>
    </row>
    <row r="4" spans="1:78" s="1" customFormat="1" ht="12.75" customHeight="1" x14ac:dyDescent="0.2">
      <c r="A4" s="46" t="str">
        <f>'силос сп рапс'!B4</f>
        <v>Культура: РАПС на силос (с поливом)</v>
      </c>
      <c r="B4" s="46"/>
      <c r="C4" s="46"/>
      <c r="F4" s="2"/>
      <c r="H4" s="46"/>
      <c r="N4" s="46"/>
      <c r="S4" s="3"/>
      <c r="AT4" s="4"/>
      <c r="AU4" s="4"/>
      <c r="AV4" s="4"/>
      <c r="AW4" s="4"/>
      <c r="AX4" s="4"/>
      <c r="AY4" s="4"/>
      <c r="AZ4" s="4"/>
      <c r="BA4" s="4"/>
      <c r="BC4" s="4"/>
      <c r="BD4" s="4"/>
      <c r="BE4" s="4"/>
      <c r="BF4" s="4"/>
      <c r="BG4" s="4"/>
      <c r="BH4" s="4"/>
      <c r="BI4" s="4"/>
      <c r="BJ4" s="4"/>
      <c r="BK4" s="4"/>
      <c r="BL4" s="4"/>
      <c r="BM4" s="4"/>
      <c r="BN4" s="4"/>
      <c r="BO4" s="4"/>
      <c r="BP4" s="4"/>
      <c r="BQ4" s="4"/>
      <c r="BR4" s="4"/>
      <c r="BS4" s="4"/>
      <c r="BT4" s="4"/>
      <c r="BU4" s="4"/>
      <c r="BV4" s="4"/>
      <c r="BW4" s="4"/>
      <c r="BX4" s="4"/>
      <c r="BY4" s="4"/>
      <c r="BZ4" s="5"/>
    </row>
    <row r="5" spans="1:78" s="1" customFormat="1" ht="12.75" customHeight="1" x14ac:dyDescent="0.2">
      <c r="A5" s="46" t="s">
        <v>363</v>
      </c>
      <c r="B5" s="46"/>
      <c r="C5" s="46"/>
      <c r="F5" s="2"/>
      <c r="H5" s="46"/>
      <c r="N5" s="46"/>
      <c r="S5" s="3"/>
      <c r="AT5" s="4"/>
      <c r="AU5" s="4"/>
      <c r="AV5" s="4"/>
      <c r="AW5" s="4"/>
      <c r="AX5" s="4"/>
      <c r="AY5" s="4"/>
      <c r="AZ5" s="4"/>
      <c r="BA5" s="4"/>
      <c r="BC5" s="4"/>
      <c r="BD5" s="4"/>
      <c r="BE5" s="4"/>
      <c r="BF5" s="4"/>
      <c r="BG5" s="4"/>
      <c r="BH5" s="4"/>
      <c r="BI5" s="4"/>
      <c r="BJ5" s="4"/>
      <c r="BK5" s="4"/>
      <c r="BL5" s="4"/>
      <c r="BM5" s="4"/>
      <c r="BN5" s="4"/>
      <c r="BO5" s="4"/>
      <c r="BP5" s="4"/>
      <c r="BQ5" s="4"/>
      <c r="BR5" s="4"/>
      <c r="BS5" s="4"/>
      <c r="BT5" s="4"/>
      <c r="BU5" s="4"/>
      <c r="BV5" s="4"/>
      <c r="BW5" s="4"/>
      <c r="BX5" s="4"/>
      <c r="BY5" s="4"/>
      <c r="BZ5" s="5"/>
    </row>
    <row r="6" spans="1:78" s="1" customFormat="1" ht="12.75" customHeight="1" x14ac:dyDescent="0.2">
      <c r="A6" s="46" t="s">
        <v>361</v>
      </c>
      <c r="B6" s="3">
        <v>100</v>
      </c>
      <c r="F6" s="4"/>
      <c r="M6" s="46"/>
      <c r="R6" s="3"/>
      <c r="AS6" s="4"/>
      <c r="AV6" s="4"/>
      <c r="AW6" s="4"/>
      <c r="AX6" s="4"/>
      <c r="AY6" s="4"/>
      <c r="AZ6" s="4"/>
      <c r="BB6" s="4"/>
      <c r="BC6" s="4"/>
      <c r="BD6" s="4"/>
      <c r="BE6" s="4"/>
      <c r="BF6" s="4"/>
      <c r="BG6" s="4"/>
      <c r="BH6" s="4"/>
      <c r="BI6" s="4"/>
      <c r="BJ6" s="4"/>
      <c r="BK6" s="4"/>
      <c r="BL6" s="4"/>
      <c r="BM6" s="4"/>
      <c r="BN6" s="4"/>
      <c r="BO6" s="4"/>
      <c r="BP6" s="4"/>
      <c r="BQ6" s="4"/>
      <c r="BR6" s="4"/>
      <c r="BS6" s="4"/>
      <c r="BT6" s="4"/>
      <c r="BU6" s="4"/>
      <c r="BV6" s="4"/>
      <c r="BW6" s="4"/>
      <c r="BX6" s="4"/>
      <c r="BY6" s="5"/>
    </row>
    <row r="7" spans="1:78" s="1" customFormat="1" ht="12.75" customHeight="1" x14ac:dyDescent="0.2">
      <c r="A7" s="1" t="s">
        <v>352</v>
      </c>
      <c r="B7" s="3">
        <f>'силос сп рапс'!I6</f>
        <v>125</v>
      </c>
      <c r="D7" s="2"/>
      <c r="M7" s="46"/>
      <c r="R7" s="3"/>
      <c r="AS7" s="4"/>
      <c r="AV7" s="4"/>
      <c r="AW7" s="4"/>
      <c r="AX7" s="4"/>
      <c r="AY7" s="4"/>
      <c r="AZ7" s="4"/>
      <c r="BB7" s="4"/>
      <c r="BC7" s="4"/>
      <c r="BD7" s="4"/>
      <c r="BE7" s="4"/>
      <c r="BF7" s="4"/>
      <c r="BG7" s="4"/>
      <c r="BH7" s="4"/>
      <c r="BI7" s="4"/>
      <c r="BJ7" s="4"/>
      <c r="BK7" s="4"/>
      <c r="BL7" s="4"/>
      <c r="BM7" s="4"/>
      <c r="BN7" s="4"/>
      <c r="BO7" s="4"/>
      <c r="BP7" s="4"/>
      <c r="BQ7" s="4"/>
      <c r="BR7" s="4"/>
      <c r="BS7" s="4"/>
      <c r="BT7" s="4"/>
      <c r="BU7" s="4"/>
      <c r="BV7" s="4"/>
      <c r="BW7" s="4"/>
      <c r="BX7" s="4"/>
      <c r="BY7" s="5"/>
    </row>
    <row r="8" spans="1:78" s="1" customFormat="1" ht="12.75" customHeight="1" x14ac:dyDescent="0.2">
      <c r="A8" s="45" t="s">
        <v>368</v>
      </c>
      <c r="B8" s="72">
        <f>B6*B7</f>
        <v>12500</v>
      </c>
      <c r="D8" s="2"/>
      <c r="M8" s="46"/>
      <c r="R8" s="3"/>
      <c r="AS8" s="4"/>
      <c r="AV8" s="4"/>
      <c r="AW8" s="4"/>
      <c r="AX8" s="4"/>
      <c r="AY8" s="4"/>
      <c r="AZ8" s="4"/>
      <c r="BB8" s="4"/>
      <c r="BC8" s="4"/>
      <c r="BD8" s="4"/>
      <c r="BE8" s="4"/>
      <c r="BF8" s="4"/>
      <c r="BG8" s="4"/>
      <c r="BH8" s="4"/>
      <c r="BI8" s="4"/>
      <c r="BJ8" s="4"/>
      <c r="BK8" s="4"/>
      <c r="BL8" s="4"/>
      <c r="BM8" s="4"/>
      <c r="BN8" s="4"/>
      <c r="BO8" s="4"/>
      <c r="BP8" s="4"/>
      <c r="BQ8" s="4"/>
      <c r="BR8" s="4"/>
      <c r="BS8" s="4"/>
      <c r="BT8" s="4"/>
      <c r="BU8" s="4"/>
      <c r="BV8" s="4"/>
      <c r="BW8" s="4"/>
      <c r="BX8" s="4"/>
      <c r="BY8" s="5"/>
    </row>
    <row r="9" spans="1:78" s="97" customFormat="1" ht="12.75" customHeight="1" x14ac:dyDescent="0.2">
      <c r="A9" s="45" t="s">
        <v>369</v>
      </c>
      <c r="B9" s="117">
        <f>B8*0.75</f>
        <v>9375</v>
      </c>
      <c r="C9" s="94"/>
      <c r="F9" s="96"/>
      <c r="G9" s="1"/>
      <c r="H9" s="95"/>
      <c r="M9" s="1"/>
      <c r="N9" s="1"/>
      <c r="P9" s="1"/>
      <c r="S9" s="98"/>
      <c r="AT9" s="99"/>
      <c r="AU9" s="99"/>
      <c r="AV9" s="99"/>
      <c r="AW9" s="99"/>
      <c r="AX9" s="99"/>
      <c r="AY9" s="99"/>
      <c r="AZ9" s="99"/>
      <c r="BA9" s="99"/>
      <c r="BC9" s="99"/>
      <c r="BD9" s="99"/>
      <c r="BE9" s="99"/>
      <c r="BF9" s="99"/>
      <c r="BG9" s="99"/>
      <c r="BH9" s="99"/>
      <c r="BI9" s="99"/>
      <c r="BJ9" s="99"/>
      <c r="BK9" s="99"/>
      <c r="BL9" s="99"/>
      <c r="BM9" s="99"/>
      <c r="BN9" s="99"/>
      <c r="BO9" s="99"/>
      <c r="BP9" s="99"/>
      <c r="BQ9" s="99"/>
      <c r="BR9" s="99"/>
      <c r="BS9" s="99"/>
      <c r="BT9" s="99"/>
      <c r="BU9" s="99"/>
      <c r="BV9" s="99"/>
      <c r="BW9" s="99"/>
      <c r="BX9" s="99"/>
      <c r="BY9" s="99"/>
      <c r="BZ9" s="100"/>
    </row>
    <row r="10" spans="1:78" s="97" customFormat="1" ht="12.75" customHeight="1" x14ac:dyDescent="0.2">
      <c r="A10" s="45"/>
      <c r="B10" s="94"/>
      <c r="C10" s="94"/>
      <c r="F10" s="96"/>
      <c r="G10" s="1"/>
      <c r="H10" s="95"/>
      <c r="M10" s="1"/>
      <c r="N10" s="1"/>
      <c r="P10" s="1"/>
      <c r="S10" s="98"/>
      <c r="AT10" s="99"/>
      <c r="AU10" s="99"/>
      <c r="AV10" s="99"/>
      <c r="AW10" s="99"/>
      <c r="AX10" s="99"/>
      <c r="AY10" s="99"/>
      <c r="AZ10" s="99"/>
      <c r="BA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100"/>
    </row>
    <row r="11" spans="1:78" s="83" customFormat="1" ht="33.75" customHeight="1" x14ac:dyDescent="0.2">
      <c r="A11" s="101" t="s">
        <v>426</v>
      </c>
      <c r="B11" s="81" t="s">
        <v>29</v>
      </c>
      <c r="C11" s="82" t="s">
        <v>334</v>
      </c>
      <c r="D11" s="82" t="s">
        <v>338</v>
      </c>
    </row>
    <row r="12" spans="1:78" s="87" customFormat="1" x14ac:dyDescent="0.2">
      <c r="A12" s="84" t="s">
        <v>351</v>
      </c>
      <c r="B12" s="85">
        <f ca="1">'силос сп рапс'!AL51+'силос сп рапс'!AM51</f>
        <v>781951.95430931973</v>
      </c>
      <c r="C12" s="86">
        <f t="shared" ref="C12:C32" ca="1" si="0">B12/$B$6</f>
        <v>7819.5195430931972</v>
      </c>
      <c r="D12" s="105" t="e">
        <f t="shared" ref="D12:D31" ca="1" si="1">B12/$B$32%</f>
        <v>#REF!</v>
      </c>
    </row>
    <row r="13" spans="1:78" s="87" customFormat="1" x14ac:dyDescent="0.2">
      <c r="A13" s="88" t="s">
        <v>348</v>
      </c>
      <c r="B13" s="86">
        <f>'силос сп рапс'!AW51</f>
        <v>220500</v>
      </c>
      <c r="C13" s="86">
        <f t="shared" si="0"/>
        <v>2205</v>
      </c>
      <c r="D13" s="105" t="e">
        <f t="shared" ca="1" si="1"/>
        <v>#REF!</v>
      </c>
    </row>
    <row r="14" spans="1:78" s="87" customFormat="1" x14ac:dyDescent="0.2">
      <c r="A14" s="88" t="s">
        <v>349</v>
      </c>
      <c r="B14" s="86" t="e">
        <f>'силос сп рапс'!BA51</f>
        <v>#REF!</v>
      </c>
      <c r="C14" s="86" t="e">
        <f t="shared" si="0"/>
        <v>#REF!</v>
      </c>
      <c r="D14" s="105" t="e">
        <f t="shared" ca="1" si="1"/>
        <v>#REF!</v>
      </c>
    </row>
    <row r="15" spans="1:78" s="87" customFormat="1" x14ac:dyDescent="0.2">
      <c r="A15" s="88" t="s">
        <v>373</v>
      </c>
      <c r="B15" s="86">
        <f>'силос сп рапс'!BE51</f>
        <v>31250</v>
      </c>
      <c r="C15" s="86">
        <f t="shared" si="0"/>
        <v>312.5</v>
      </c>
      <c r="D15" s="105" t="e">
        <f t="shared" ca="1" si="1"/>
        <v>#REF!</v>
      </c>
    </row>
    <row r="16" spans="1:78" s="87" customFormat="1" x14ac:dyDescent="0.2">
      <c r="A16" s="88" t="s">
        <v>350</v>
      </c>
      <c r="B16" s="86" t="e">
        <f>B17+B21+B24</f>
        <v>#REF!</v>
      </c>
      <c r="C16" s="86" t="e">
        <f t="shared" si="0"/>
        <v>#REF!</v>
      </c>
      <c r="D16" s="105" t="e">
        <f t="shared" ca="1" si="1"/>
        <v>#REF!</v>
      </c>
    </row>
    <row r="17" spans="1:4" x14ac:dyDescent="0.2">
      <c r="A17" s="89" t="s">
        <v>332</v>
      </c>
      <c r="B17" s="90">
        <f>SUM(B18:B20)</f>
        <v>190177.03049847123</v>
      </c>
      <c r="C17" s="90">
        <f t="shared" si="0"/>
        <v>1901.7703049847123</v>
      </c>
      <c r="D17" s="106" t="e">
        <f t="shared" ca="1" si="1"/>
        <v>#REF!</v>
      </c>
    </row>
    <row r="18" spans="1:4" x14ac:dyDescent="0.2">
      <c r="A18" s="102" t="s">
        <v>339</v>
      </c>
      <c r="B18" s="90">
        <f>'силос сп рапс'!BJ51</f>
        <v>9184.2845259138885</v>
      </c>
      <c r="C18" s="90">
        <f t="shared" si="0"/>
        <v>91.842845259138883</v>
      </c>
      <c r="D18" s="106" t="e">
        <f t="shared" ca="1" si="1"/>
        <v>#REF!</v>
      </c>
    </row>
    <row r="19" spans="1:4" x14ac:dyDescent="0.2">
      <c r="A19" s="102" t="s">
        <v>340</v>
      </c>
      <c r="B19" s="90">
        <f>'силос сп рапс'!BL51</f>
        <v>6997.0959725573293</v>
      </c>
      <c r="C19" s="90">
        <f t="shared" si="0"/>
        <v>69.970959725573294</v>
      </c>
      <c r="D19" s="106" t="e">
        <f t="shared" ca="1" si="1"/>
        <v>#REF!</v>
      </c>
    </row>
    <row r="20" spans="1:4" x14ac:dyDescent="0.2">
      <c r="A20" s="102" t="s">
        <v>397</v>
      </c>
      <c r="B20" s="90">
        <f>'силос сп рапс'!BM51</f>
        <v>173995.65000000002</v>
      </c>
      <c r="C20" s="90">
        <f t="shared" si="0"/>
        <v>1739.9565000000002</v>
      </c>
      <c r="D20" s="106" t="e">
        <f t="shared" ca="1" si="1"/>
        <v>#REF!</v>
      </c>
    </row>
    <row r="21" spans="1:4" x14ac:dyDescent="0.2">
      <c r="A21" s="89" t="s">
        <v>333</v>
      </c>
      <c r="B21" s="90">
        <f>SUM(B22:B23)</f>
        <v>552007.42721846187</v>
      </c>
      <c r="C21" s="90">
        <f t="shared" si="0"/>
        <v>5520.0742721846191</v>
      </c>
      <c r="D21" s="106" t="e">
        <f t="shared" ca="1" si="1"/>
        <v>#REF!</v>
      </c>
    </row>
    <row r="22" spans="1:4" x14ac:dyDescent="0.2">
      <c r="A22" s="102" t="s">
        <v>339</v>
      </c>
      <c r="B22" s="90">
        <f>'силос сп рапс'!BO51+'силос сп рапс'!BQ51+'силос сп рапс'!BS51</f>
        <v>59156.537864257887</v>
      </c>
      <c r="C22" s="90">
        <f t="shared" si="0"/>
        <v>591.56537864257882</v>
      </c>
      <c r="D22" s="106" t="e">
        <f t="shared" ca="1" si="1"/>
        <v>#REF!</v>
      </c>
    </row>
    <row r="23" spans="1:4" x14ac:dyDescent="0.2">
      <c r="A23" s="102" t="s">
        <v>340</v>
      </c>
      <c r="B23" s="90">
        <f>'силос сп рапс'!BT51</f>
        <v>492850.889354204</v>
      </c>
      <c r="C23" s="90">
        <f t="shared" si="0"/>
        <v>4928.5088935420399</v>
      </c>
      <c r="D23" s="106" t="e">
        <f t="shared" ca="1" si="1"/>
        <v>#REF!</v>
      </c>
    </row>
    <row r="24" spans="1:4" x14ac:dyDescent="0.2">
      <c r="A24" s="89" t="s">
        <v>331</v>
      </c>
      <c r="B24" s="107" t="e">
        <f>'силос сп рапс'!AS51</f>
        <v>#REF!</v>
      </c>
      <c r="C24" s="90" t="e">
        <f t="shared" si="0"/>
        <v>#REF!</v>
      </c>
      <c r="D24" s="106" t="e">
        <f t="shared" ca="1" si="1"/>
        <v>#REF!</v>
      </c>
    </row>
    <row r="25" spans="1:4" s="87" customFormat="1" x14ac:dyDescent="0.2">
      <c r="A25" s="88" t="s">
        <v>341</v>
      </c>
      <c r="B25" s="86">
        <f>SUM(B26:B29)</f>
        <v>55646.55533529495</v>
      </c>
      <c r="C25" s="86">
        <f t="shared" si="0"/>
        <v>556.46555335294954</v>
      </c>
      <c r="D25" s="105" t="e">
        <f t="shared" ca="1" si="1"/>
        <v>#REF!</v>
      </c>
    </row>
    <row r="26" spans="1:4" x14ac:dyDescent="0.2">
      <c r="A26" s="102" t="s">
        <v>355</v>
      </c>
      <c r="B26" s="90">
        <f>B6*15.12</f>
        <v>1512</v>
      </c>
      <c r="C26" s="90">
        <f t="shared" si="0"/>
        <v>15.12</v>
      </c>
      <c r="D26" s="106" t="e">
        <f t="shared" ca="1" si="1"/>
        <v>#REF!</v>
      </c>
    </row>
    <row r="27" spans="1:4" x14ac:dyDescent="0.2">
      <c r="A27" s="102" t="s">
        <v>358</v>
      </c>
      <c r="B27" s="90">
        <f>12*100/250*('силос сп рапс'!L37+'силос сп рапс'!L46)+12*80/250*('силос сп рапс'!L22+'силос сп рапс'!L23+'силос сп рапс'!L24+'силос сп рапс'!L25+'силос сп рапс'!L27+'силос сп рапс'!L30+'силос сп рапс'!L32+'силос сп рапс'!L33+'силос сп рапс'!L44+'силос сп рапс'!L45)</f>
        <v>240.90132196162045</v>
      </c>
      <c r="C27" s="90">
        <f t="shared" si="0"/>
        <v>2.4090132196162046</v>
      </c>
      <c r="D27" s="106" t="e">
        <f t="shared" ca="1" si="1"/>
        <v>#REF!</v>
      </c>
    </row>
    <row r="28" spans="1:4" x14ac:dyDescent="0.2">
      <c r="A28" s="102" t="s">
        <v>362</v>
      </c>
      <c r="B28" s="90">
        <f>'силос сп рапс'!BH51</f>
        <v>31364.320679999993</v>
      </c>
      <c r="C28" s="90">
        <f t="shared" si="0"/>
        <v>313.64320679999992</v>
      </c>
      <c r="D28" s="106" t="e">
        <f t="shared" ca="1" si="1"/>
        <v>#REF!</v>
      </c>
    </row>
    <row r="29" spans="1:4" x14ac:dyDescent="0.2">
      <c r="A29" s="102" t="s">
        <v>360</v>
      </c>
      <c r="B29" s="90">
        <f>(B6*100*4/1000*33794/15)*25%</f>
        <v>22529.333333333332</v>
      </c>
      <c r="C29" s="90">
        <f t="shared" si="0"/>
        <v>225.29333333333332</v>
      </c>
      <c r="D29" s="106" t="e">
        <f t="shared" ca="1" si="1"/>
        <v>#REF!</v>
      </c>
    </row>
    <row r="30" spans="1:4" s="87" customFormat="1" x14ac:dyDescent="0.2">
      <c r="A30" s="88" t="s">
        <v>342</v>
      </c>
      <c r="B30" s="86" t="e">
        <f ca="1">B12+B13+B14+B16+B25+B15</f>
        <v>#REF!</v>
      </c>
      <c r="C30" s="86" t="e">
        <f t="shared" ca="1" si="0"/>
        <v>#REF!</v>
      </c>
      <c r="D30" s="105" t="e">
        <f t="shared" ca="1" si="1"/>
        <v>#REF!</v>
      </c>
    </row>
    <row r="31" spans="1:4" s="87" customFormat="1" x14ac:dyDescent="0.2">
      <c r="A31" s="88" t="s">
        <v>343</v>
      </c>
      <c r="B31" s="86" t="e">
        <f ca="1">B30*17.7%</f>
        <v>#REF!</v>
      </c>
      <c r="C31" s="86" t="e">
        <f t="shared" ca="1" si="0"/>
        <v>#REF!</v>
      </c>
      <c r="D31" s="105" t="e">
        <f t="shared" ca="1" si="1"/>
        <v>#REF!</v>
      </c>
    </row>
    <row r="32" spans="1:4" s="87" customFormat="1" x14ac:dyDescent="0.2">
      <c r="A32" s="88" t="s">
        <v>344</v>
      </c>
      <c r="B32" s="86" t="e">
        <f ca="1">B30+B31</f>
        <v>#REF!</v>
      </c>
      <c r="C32" s="86" t="e">
        <f t="shared" ca="1" si="0"/>
        <v>#REF!</v>
      </c>
      <c r="D32" s="105" t="e">
        <f ca="1">D30+D31</f>
        <v>#REF!</v>
      </c>
    </row>
    <row r="33" spans="1:9" x14ac:dyDescent="0.2">
      <c r="A33" s="89" t="s">
        <v>345</v>
      </c>
      <c r="B33" s="90" t="e">
        <f ca="1">B32/B6</f>
        <v>#REF!</v>
      </c>
      <c r="C33" s="90"/>
      <c r="D33" s="90"/>
    </row>
    <row r="34" spans="1:9" x14ac:dyDescent="0.2">
      <c r="A34" s="89" t="s">
        <v>366</v>
      </c>
      <c r="B34" s="90" t="e">
        <f ca="1">B32/(B8)</f>
        <v>#REF!</v>
      </c>
      <c r="C34" s="90"/>
      <c r="D34" s="90"/>
    </row>
    <row r="35" spans="1:9" x14ac:dyDescent="0.2">
      <c r="A35" s="135" t="s">
        <v>374</v>
      </c>
      <c r="B35" s="134" t="e">
        <f ca="1">B32/(B9)</f>
        <v>#REF!</v>
      </c>
      <c r="C35" s="133"/>
      <c r="D35" s="133"/>
    </row>
    <row r="36" spans="1:9" x14ac:dyDescent="0.2">
      <c r="A36" s="89" t="s">
        <v>346</v>
      </c>
      <c r="B36" s="90">
        <f>'силос сп рапс'!O51+'силос сп рапс'!P51</f>
        <v>1033.2027363184079</v>
      </c>
      <c r="C36" s="90"/>
      <c r="D36" s="90"/>
    </row>
    <row r="37" spans="1:9" x14ac:dyDescent="0.2">
      <c r="A37" s="102" t="s">
        <v>334</v>
      </c>
      <c r="B37" s="90">
        <f>B36/B6</f>
        <v>10.332027363184078</v>
      </c>
      <c r="C37" s="90"/>
      <c r="D37" s="90"/>
    </row>
    <row r="38" spans="1:9" x14ac:dyDescent="0.2">
      <c r="A38" s="102" t="s">
        <v>335</v>
      </c>
      <c r="B38" s="106">
        <f>B36/B8</f>
        <v>8.2656218905472631E-2</v>
      </c>
      <c r="C38" s="90"/>
      <c r="D38" s="90"/>
    </row>
    <row r="39" spans="1:9" x14ac:dyDescent="0.2">
      <c r="A39" s="89" t="s">
        <v>353</v>
      </c>
      <c r="B39" s="90">
        <f ca="1">('силос сп рапс'!AH51+'силос сп рапс'!AI51)/B36</f>
        <v>582.17180633704129</v>
      </c>
      <c r="C39" s="90"/>
      <c r="D39" s="90"/>
    </row>
    <row r="40" spans="1:9" x14ac:dyDescent="0.2">
      <c r="A40" s="103" t="s">
        <v>336</v>
      </c>
      <c r="B40" s="90">
        <f ca="1">'силос сп рапс'!AH51/'силос сп рапс'!O51</f>
        <v>705.32322904440502</v>
      </c>
      <c r="C40" s="90"/>
      <c r="D40" s="90"/>
    </row>
    <row r="41" spans="1:9" x14ac:dyDescent="0.2">
      <c r="A41" s="104" t="s">
        <v>337</v>
      </c>
      <c r="B41" s="90">
        <f ca="1">'силос сп рапс'!AI51/'силос сп рапс'!P51</f>
        <v>430.39297906820627</v>
      </c>
      <c r="C41" s="90"/>
      <c r="D41" s="90"/>
    </row>
    <row r="42" spans="1:9" x14ac:dyDescent="0.2">
      <c r="A42" s="89" t="s">
        <v>347</v>
      </c>
      <c r="B42" s="90">
        <f ca="1">B39*164.5</f>
        <v>95767.262142443287</v>
      </c>
      <c r="C42" s="90"/>
      <c r="D42" s="90"/>
    </row>
    <row r="43" spans="1:9" x14ac:dyDescent="0.2">
      <c r="A43" s="103" t="s">
        <v>336</v>
      </c>
      <c r="B43" s="107">
        <f ca="1">B40*164.5</f>
        <v>116025.67117780463</v>
      </c>
      <c r="C43" s="89"/>
      <c r="D43" s="89"/>
    </row>
    <row r="44" spans="1:9" ht="12.75" customHeight="1" x14ac:dyDescent="0.2">
      <c r="A44" s="104" t="s">
        <v>337</v>
      </c>
      <c r="B44" s="107">
        <f ca="1">B41*164.5</f>
        <v>70799.645056719935</v>
      </c>
      <c r="C44" s="89"/>
      <c r="D44" s="89"/>
    </row>
    <row r="46" spans="1:9" x14ac:dyDescent="0.2">
      <c r="A46" t="s">
        <v>496</v>
      </c>
      <c r="B46"/>
      <c r="C46"/>
      <c r="D46"/>
      <c r="E46"/>
      <c r="F46"/>
      <c r="G46"/>
      <c r="I46" t="s">
        <v>497</v>
      </c>
    </row>
    <row r="47" spans="1:9" x14ac:dyDescent="0.2">
      <c r="A47"/>
      <c r="B47"/>
      <c r="C47"/>
      <c r="D47"/>
      <c r="E47"/>
      <c r="F47"/>
      <c r="G47"/>
      <c r="I47"/>
    </row>
    <row r="48" spans="1:9" x14ac:dyDescent="0.2">
      <c r="A48" t="s">
        <v>498</v>
      </c>
      <c r="B48"/>
      <c r="C48"/>
      <c r="D48"/>
      <c r="E48"/>
      <c r="F48"/>
      <c r="G48"/>
      <c r="I48" t="s">
        <v>499</v>
      </c>
    </row>
    <row r="49" spans="1:9" x14ac:dyDescent="0.2">
      <c r="A49"/>
      <c r="B49"/>
      <c r="C49"/>
      <c r="D49"/>
      <c r="E49"/>
      <c r="F49"/>
      <c r="G49"/>
      <c r="I49"/>
    </row>
    <row r="50" spans="1:9" x14ac:dyDescent="0.2">
      <c r="A50" t="s">
        <v>501</v>
      </c>
      <c r="B50"/>
      <c r="C50"/>
      <c r="D50"/>
      <c r="E50"/>
      <c r="F50"/>
      <c r="G50"/>
      <c r="I50" t="s">
        <v>500</v>
      </c>
    </row>
  </sheetData>
  <phoneticPr fontId="4" type="noConversion"/>
  <pageMargins left="0.75" right="0.75" top="1" bottom="1" header="0.5" footer="0.5"/>
  <pageSetup paperSize="9" scale="62"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A1:BY51"/>
  <sheetViews>
    <sheetView topLeftCell="AE7" workbookViewId="0">
      <selection activeCell="BD17" sqref="AM17:BD19"/>
    </sheetView>
  </sheetViews>
  <sheetFormatPr defaultRowHeight="11.25" x14ac:dyDescent="0.2"/>
  <cols>
    <col min="1" max="1" width="3.85546875" style="15" customWidth="1"/>
    <col min="2" max="2" width="23" style="13" customWidth="1"/>
    <col min="3" max="3" width="4.5703125" style="13" customWidth="1"/>
    <col min="4" max="4" width="7.28515625" style="13" customWidth="1"/>
    <col min="5" max="5" width="9.7109375" style="13" customWidth="1"/>
    <col min="6" max="6" width="6.85546875" style="15" customWidth="1"/>
    <col min="7" max="7" width="6.140625" style="13" customWidth="1"/>
    <col min="8" max="8" width="7.28515625" style="13" customWidth="1"/>
    <col min="9" max="9" width="6.140625" style="13" customWidth="1"/>
    <col min="10" max="10" width="5.42578125" style="13" customWidth="1"/>
    <col min="11" max="11" width="7.28515625" style="13" customWidth="1"/>
    <col min="12" max="12" width="6.140625" style="13" customWidth="1"/>
    <col min="13" max="13" width="6.5703125" style="13" customWidth="1"/>
    <col min="14" max="14" width="7" style="13" customWidth="1"/>
    <col min="15" max="15" width="8.28515625" style="13" customWidth="1"/>
    <col min="16" max="16" width="7.85546875" style="13" customWidth="1"/>
    <col min="17" max="17" width="6.140625" style="18" customWidth="1"/>
    <col min="18" max="20" width="6.140625" style="13" customWidth="1"/>
    <col min="21" max="22" width="8.28515625" style="13" customWidth="1"/>
    <col min="23" max="23" width="7.5703125" style="13" customWidth="1"/>
    <col min="24" max="27" width="8.28515625" style="13" customWidth="1"/>
    <col min="28" max="29" width="7.28515625" style="13" customWidth="1"/>
    <col min="30" max="39" width="8.28515625" style="13" customWidth="1"/>
    <col min="40" max="41" width="6.140625" style="13" customWidth="1"/>
    <col min="42" max="42" width="7.28515625" style="16" customWidth="1"/>
    <col min="43" max="44" width="8.7109375" style="43" customWidth="1"/>
    <col min="45" max="45" width="9.5703125" style="16" customWidth="1"/>
    <col min="46" max="46" width="8.42578125" style="13" customWidth="1"/>
    <col min="47" max="52" width="7.42578125" style="16" customWidth="1"/>
    <col min="53" max="53" width="9.28515625" style="16" customWidth="1"/>
    <col min="54" max="72" width="7.42578125" style="16" customWidth="1"/>
    <col min="73" max="73" width="9" style="16" customWidth="1"/>
    <col min="74" max="75" width="7.42578125" style="16" customWidth="1"/>
    <col min="76" max="76" width="9" style="17" customWidth="1"/>
    <col min="77" max="16384" width="9.140625" style="13"/>
  </cols>
  <sheetData>
    <row r="1" spans="1:77" s="7" customFormat="1" ht="15.75" x14ac:dyDescent="0.2">
      <c r="B1" s="47" t="s">
        <v>54</v>
      </c>
      <c r="E1" s="8"/>
      <c r="G1" s="6"/>
      <c r="H1" s="7" t="s">
        <v>427</v>
      </c>
      <c r="Q1" s="44"/>
      <c r="AP1" s="9"/>
      <c r="AQ1" s="10"/>
      <c r="AR1" s="10"/>
      <c r="AS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11"/>
    </row>
    <row r="2" spans="1:77" s="7" customFormat="1" ht="15.75" x14ac:dyDescent="0.2">
      <c r="B2" s="47" t="s">
        <v>57</v>
      </c>
      <c r="E2" s="8"/>
      <c r="G2" s="6"/>
      <c r="Q2" s="44"/>
      <c r="AP2" s="9"/>
      <c r="AQ2" s="9"/>
      <c r="AR2" s="9"/>
      <c r="AS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11"/>
    </row>
    <row r="3" spans="1:77" s="7" customFormat="1" ht="15.75" x14ac:dyDescent="0.2">
      <c r="B3" s="6"/>
      <c r="E3" s="8"/>
      <c r="G3" s="6"/>
      <c r="Q3" s="44"/>
      <c r="AP3" s="9"/>
      <c r="AQ3" s="9"/>
      <c r="AR3" s="9"/>
      <c r="AS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11"/>
    </row>
    <row r="4" spans="1:77" s="1" customFormat="1" ht="12.75" customHeight="1" x14ac:dyDescent="0.2">
      <c r="B4" s="46" t="s">
        <v>493</v>
      </c>
      <c r="E4" s="2"/>
      <c r="G4" s="46"/>
      <c r="L4" s="46"/>
      <c r="Q4" s="3"/>
      <c r="AP4" s="4"/>
      <c r="AQ4" s="4"/>
      <c r="AR4" s="4"/>
      <c r="AS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5"/>
    </row>
    <row r="5" spans="1:77" s="1" customFormat="1" ht="12.75" customHeight="1" x14ac:dyDescent="0.2">
      <c r="B5" s="171" t="s">
        <v>363</v>
      </c>
      <c r="E5" s="2"/>
      <c r="G5" s="46"/>
      <c r="L5" s="46"/>
      <c r="Q5" s="3"/>
      <c r="AP5" s="4"/>
      <c r="AQ5" s="4"/>
      <c r="AR5" s="4"/>
      <c r="AS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5"/>
    </row>
    <row r="6" spans="1:77" s="1" customFormat="1" ht="12.75" customHeight="1" x14ac:dyDescent="0.2">
      <c r="B6" s="46" t="s">
        <v>361</v>
      </c>
      <c r="D6" s="1">
        <v>100</v>
      </c>
      <c r="E6" s="2"/>
      <c r="F6" s="1" t="s">
        <v>357</v>
      </c>
      <c r="G6" s="46"/>
      <c r="I6" s="1">
        <v>150</v>
      </c>
      <c r="L6" s="46"/>
      <c r="Q6" s="3"/>
      <c r="AP6" s="4"/>
      <c r="AQ6" s="4"/>
      <c r="AR6" s="4"/>
      <c r="AS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5"/>
    </row>
    <row r="7" spans="1:77" s="1" customFormat="1" ht="12.75" customHeight="1" x14ac:dyDescent="0.2">
      <c r="B7" s="46" t="s">
        <v>377</v>
      </c>
      <c r="E7" s="2"/>
      <c r="G7" s="46"/>
      <c r="L7" s="46"/>
      <c r="Q7" s="3"/>
      <c r="AP7" s="4"/>
      <c r="AQ7" s="4"/>
      <c r="AR7" s="4"/>
      <c r="AS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5"/>
    </row>
    <row r="8" spans="1:77" ht="12.75" customHeight="1" x14ac:dyDescent="0.2">
      <c r="B8" s="120" t="s">
        <v>378</v>
      </c>
      <c r="D8" s="13">
        <v>3</v>
      </c>
      <c r="E8" s="14"/>
      <c r="F8" s="13"/>
      <c r="G8" s="45"/>
      <c r="L8" s="45"/>
      <c r="Q8" s="15"/>
      <c r="AQ8" s="16"/>
      <c r="AR8" s="16"/>
    </row>
    <row r="9" spans="1:77" ht="12.75" customHeight="1" x14ac:dyDescent="0.2">
      <c r="B9" s="120" t="s">
        <v>379</v>
      </c>
      <c r="D9" s="13">
        <v>10</v>
      </c>
      <c r="E9" s="14"/>
      <c r="F9" s="13"/>
      <c r="G9" s="45"/>
      <c r="L9" s="45"/>
      <c r="Q9" s="15"/>
      <c r="AQ9" s="16"/>
      <c r="AR9" s="16"/>
    </row>
    <row r="10" spans="1:77" ht="12.75" customHeight="1" x14ac:dyDescent="0.2">
      <c r="B10" s="120" t="s">
        <v>380</v>
      </c>
      <c r="D10" s="13">
        <v>50</v>
      </c>
      <c r="E10" s="14"/>
      <c r="F10" s="13"/>
      <c r="G10" s="45"/>
      <c r="L10" s="45"/>
      <c r="Q10" s="15"/>
      <c r="AQ10" s="16"/>
      <c r="AR10" s="16"/>
    </row>
    <row r="11" spans="1:77" ht="12.75" customHeight="1" x14ac:dyDescent="0.2">
      <c r="B11" s="120" t="s">
        <v>381</v>
      </c>
      <c r="D11" s="13">
        <f>D8*D9*D10</f>
        <v>1500</v>
      </c>
      <c r="E11" s="14"/>
      <c r="F11" s="13"/>
      <c r="G11" s="45"/>
      <c r="L11" s="45"/>
      <c r="Q11" s="15"/>
      <c r="AQ11" s="16"/>
      <c r="AR11" s="16"/>
    </row>
    <row r="12" spans="1:77" ht="12.75" customHeight="1" x14ac:dyDescent="0.2">
      <c r="B12" s="45" t="s">
        <v>368</v>
      </c>
      <c r="D12" s="13">
        <f>D6*I6</f>
        <v>15000</v>
      </c>
      <c r="E12" s="14"/>
      <c r="F12" s="7"/>
      <c r="G12" s="95"/>
      <c r="H12" s="97"/>
      <c r="I12" s="97"/>
      <c r="K12" s="7"/>
      <c r="L12" s="7"/>
      <c r="N12" s="7"/>
      <c r="Q12" s="15"/>
      <c r="AQ12" s="16"/>
      <c r="AR12" s="16"/>
    </row>
    <row r="13" spans="1:77" ht="12.75" customHeight="1" x14ac:dyDescent="0.2">
      <c r="B13" s="45" t="s">
        <v>369</v>
      </c>
      <c r="C13" s="97"/>
      <c r="D13" s="13">
        <f>D12*0.75</f>
        <v>11250</v>
      </c>
      <c r="E13" s="96"/>
      <c r="F13" s="1"/>
      <c r="G13" s="95"/>
      <c r="H13" s="97"/>
      <c r="I13" s="97"/>
      <c r="K13" s="7"/>
      <c r="L13" s="7"/>
      <c r="N13" s="7"/>
      <c r="Q13" s="15"/>
      <c r="AQ13" s="16"/>
      <c r="AR13" s="16"/>
    </row>
    <row r="14" spans="1:77" ht="12.75" customHeight="1" x14ac:dyDescent="0.2">
      <c r="A14" s="45"/>
      <c r="B14" s="97"/>
      <c r="D14" s="96"/>
      <c r="E14" s="1"/>
      <c r="F14" s="95"/>
      <c r="G14" s="97"/>
      <c r="H14" s="97"/>
      <c r="K14" s="7"/>
      <c r="L14" s="7"/>
      <c r="N14" s="7"/>
      <c r="Q14" s="15"/>
      <c r="AQ14" s="16"/>
      <c r="AR14" s="16"/>
    </row>
    <row r="15" spans="1:77" s="6" customFormat="1" ht="39.75" customHeight="1" x14ac:dyDescent="0.2">
      <c r="A15" s="534" t="s">
        <v>55</v>
      </c>
      <c r="B15" s="535" t="s">
        <v>51</v>
      </c>
      <c r="C15" s="535"/>
      <c r="D15" s="535"/>
      <c r="E15" s="535"/>
      <c r="F15" s="534" t="s">
        <v>15</v>
      </c>
      <c r="G15" s="534" t="s">
        <v>34</v>
      </c>
      <c r="H15" s="535" t="s">
        <v>30</v>
      </c>
      <c r="I15" s="535"/>
      <c r="J15" s="534" t="s">
        <v>33</v>
      </c>
      <c r="K15" s="534" t="s">
        <v>39</v>
      </c>
      <c r="L15" s="534" t="s">
        <v>38</v>
      </c>
      <c r="M15" s="535" t="s">
        <v>35</v>
      </c>
      <c r="N15" s="535"/>
      <c r="O15" s="535" t="s">
        <v>315</v>
      </c>
      <c r="P15" s="535"/>
      <c r="Q15" s="535" t="s">
        <v>314</v>
      </c>
      <c r="R15" s="535"/>
      <c r="S15" s="535"/>
      <c r="T15" s="535"/>
      <c r="U15" s="535" t="s">
        <v>316</v>
      </c>
      <c r="V15" s="535"/>
      <c r="W15" s="535" t="s">
        <v>317</v>
      </c>
      <c r="X15" s="535"/>
      <c r="Y15" s="535" t="s">
        <v>318</v>
      </c>
      <c r="Z15" s="535"/>
      <c r="AA15" s="535" t="s">
        <v>319</v>
      </c>
      <c r="AB15" s="535"/>
      <c r="AC15" s="543" t="s">
        <v>425</v>
      </c>
      <c r="AD15" s="544"/>
      <c r="AE15" s="545"/>
      <c r="AF15" s="535" t="s">
        <v>163</v>
      </c>
      <c r="AG15" s="535"/>
      <c r="AH15" s="535" t="s">
        <v>320</v>
      </c>
      <c r="AI15" s="535"/>
      <c r="AJ15" s="535" t="s">
        <v>321</v>
      </c>
      <c r="AK15" s="535"/>
      <c r="AL15" s="535" t="s">
        <v>322</v>
      </c>
      <c r="AM15" s="535"/>
      <c r="AN15" s="535" t="s">
        <v>13</v>
      </c>
      <c r="AO15" s="535"/>
      <c r="AP15" s="535"/>
      <c r="AQ15" s="535"/>
      <c r="AR15" s="535"/>
      <c r="AS15" s="535"/>
      <c r="AT15" s="535" t="s">
        <v>186</v>
      </c>
      <c r="AU15" s="535"/>
      <c r="AV15" s="535"/>
      <c r="AW15" s="535"/>
      <c r="AX15" s="535" t="s">
        <v>329</v>
      </c>
      <c r="AY15" s="535"/>
      <c r="AZ15" s="535"/>
      <c r="BA15" s="535"/>
      <c r="BB15" s="535" t="s">
        <v>371</v>
      </c>
      <c r="BC15" s="535"/>
      <c r="BD15" s="535"/>
      <c r="BE15" s="535"/>
      <c r="BF15" s="535" t="s">
        <v>382</v>
      </c>
      <c r="BG15" s="535"/>
      <c r="BH15" s="535"/>
      <c r="BI15" s="543" t="s">
        <v>396</v>
      </c>
      <c r="BJ15" s="544"/>
      <c r="BK15" s="544"/>
      <c r="BL15" s="544"/>
      <c r="BM15" s="545"/>
      <c r="BN15" s="535" t="s">
        <v>312</v>
      </c>
      <c r="BO15" s="535"/>
      <c r="BP15" s="535"/>
      <c r="BQ15" s="535"/>
      <c r="BR15" s="535"/>
      <c r="BS15" s="535"/>
      <c r="BT15" s="535"/>
      <c r="BU15" s="535" t="s">
        <v>48</v>
      </c>
      <c r="BV15" s="535"/>
      <c r="BW15" s="535" t="s">
        <v>326</v>
      </c>
      <c r="BX15" s="549" t="s">
        <v>58</v>
      </c>
      <c r="BY15" s="549"/>
    </row>
    <row r="16" spans="1:77" s="6" customFormat="1" ht="40.5" customHeight="1" x14ac:dyDescent="0.2">
      <c r="A16" s="534"/>
      <c r="B16" s="535"/>
      <c r="C16" s="535"/>
      <c r="D16" s="535"/>
      <c r="E16" s="535"/>
      <c r="F16" s="534"/>
      <c r="G16" s="534"/>
      <c r="H16" s="535"/>
      <c r="I16" s="535"/>
      <c r="J16" s="534"/>
      <c r="K16" s="534"/>
      <c r="L16" s="534"/>
      <c r="M16" s="535"/>
      <c r="N16" s="535"/>
      <c r="O16" s="535"/>
      <c r="P16" s="535"/>
      <c r="Q16" s="535"/>
      <c r="R16" s="535"/>
      <c r="S16" s="535"/>
      <c r="T16" s="535"/>
      <c r="U16" s="535"/>
      <c r="V16" s="535"/>
      <c r="W16" s="535"/>
      <c r="X16" s="535"/>
      <c r="Y16" s="535"/>
      <c r="Z16" s="535"/>
      <c r="AA16" s="535"/>
      <c r="AB16" s="535"/>
      <c r="AC16" s="546"/>
      <c r="AD16" s="547"/>
      <c r="AE16" s="548"/>
      <c r="AF16" s="535"/>
      <c r="AG16" s="535"/>
      <c r="AH16" s="535"/>
      <c r="AI16" s="535"/>
      <c r="AJ16" s="535"/>
      <c r="AK16" s="535"/>
      <c r="AL16" s="535"/>
      <c r="AM16" s="535"/>
      <c r="AN16" s="535"/>
      <c r="AO16" s="535"/>
      <c r="AP16" s="535"/>
      <c r="AQ16" s="535"/>
      <c r="AR16" s="535"/>
      <c r="AS16" s="535"/>
      <c r="AT16" s="535"/>
      <c r="AU16" s="535"/>
      <c r="AV16" s="535"/>
      <c r="AW16" s="535"/>
      <c r="AX16" s="535"/>
      <c r="AY16" s="535"/>
      <c r="AZ16" s="535"/>
      <c r="BA16" s="535"/>
      <c r="BB16" s="535"/>
      <c r="BC16" s="535"/>
      <c r="BD16" s="535"/>
      <c r="BE16" s="535"/>
      <c r="BF16" s="535"/>
      <c r="BG16" s="535"/>
      <c r="BH16" s="535"/>
      <c r="BI16" s="546"/>
      <c r="BJ16" s="547"/>
      <c r="BK16" s="547"/>
      <c r="BL16" s="547"/>
      <c r="BM16" s="548"/>
      <c r="BN16" s="535"/>
      <c r="BO16" s="535"/>
      <c r="BP16" s="535"/>
      <c r="BQ16" s="535"/>
      <c r="BR16" s="535"/>
      <c r="BS16" s="535"/>
      <c r="BT16" s="535"/>
      <c r="BU16" s="535"/>
      <c r="BV16" s="535"/>
      <c r="BW16" s="535"/>
      <c r="BX16" s="549"/>
      <c r="BY16" s="549"/>
    </row>
    <row r="17" spans="1:77" s="6" customFormat="1" ht="45.75" customHeight="1" x14ac:dyDescent="0.2">
      <c r="A17" s="534"/>
      <c r="B17" s="535" t="s">
        <v>12</v>
      </c>
      <c r="C17" s="535" t="s">
        <v>40</v>
      </c>
      <c r="D17" s="535"/>
      <c r="E17" s="535"/>
      <c r="F17" s="534"/>
      <c r="G17" s="534"/>
      <c r="H17" s="534" t="s">
        <v>31</v>
      </c>
      <c r="I17" s="534" t="s">
        <v>32</v>
      </c>
      <c r="J17" s="534"/>
      <c r="K17" s="534"/>
      <c r="L17" s="534"/>
      <c r="M17" s="534" t="s">
        <v>36</v>
      </c>
      <c r="N17" s="534" t="s">
        <v>37</v>
      </c>
      <c r="O17" s="477">
        <v>7</v>
      </c>
      <c r="P17" s="477"/>
      <c r="Q17" s="535" t="s">
        <v>36</v>
      </c>
      <c r="R17" s="535"/>
      <c r="S17" s="535" t="s">
        <v>37</v>
      </c>
      <c r="T17" s="535"/>
      <c r="U17" s="534" t="s">
        <v>16</v>
      </c>
      <c r="V17" s="534" t="s">
        <v>17</v>
      </c>
      <c r="W17" s="550"/>
      <c r="X17" s="550"/>
      <c r="Y17" s="71">
        <v>0.1</v>
      </c>
      <c r="Z17" s="71">
        <v>0.05</v>
      </c>
      <c r="AA17" s="556"/>
      <c r="AB17" s="556"/>
      <c r="AC17" s="552" t="s">
        <v>18</v>
      </c>
      <c r="AD17" s="552" t="s">
        <v>16</v>
      </c>
      <c r="AE17" s="552" t="s">
        <v>17</v>
      </c>
      <c r="AF17" s="556">
        <f ca="1">(((((AD51/O51)*167)/29*(52/12)))/((AD51/O51)*167))</f>
        <v>0.14942528735632185</v>
      </c>
      <c r="AG17" s="556"/>
      <c r="AH17" s="534" t="s">
        <v>16</v>
      </c>
      <c r="AI17" s="534" t="s">
        <v>17</v>
      </c>
      <c r="AJ17" s="556">
        <v>0.3</v>
      </c>
      <c r="AK17" s="556"/>
      <c r="AL17" s="534" t="s">
        <v>16</v>
      </c>
      <c r="AM17" s="534" t="s">
        <v>17</v>
      </c>
      <c r="AN17" s="534" t="s">
        <v>328</v>
      </c>
      <c r="AO17" s="534" t="s">
        <v>42</v>
      </c>
      <c r="AP17" s="509" t="s">
        <v>49</v>
      </c>
      <c r="AQ17" s="509" t="s">
        <v>43</v>
      </c>
      <c r="AR17" s="509" t="s">
        <v>323</v>
      </c>
      <c r="AS17" s="509" t="s">
        <v>324</v>
      </c>
      <c r="AT17" s="534" t="s">
        <v>213</v>
      </c>
      <c r="AU17" s="509" t="s">
        <v>187</v>
      </c>
      <c r="AV17" s="509" t="s">
        <v>325</v>
      </c>
      <c r="AW17" s="509" t="s">
        <v>324</v>
      </c>
      <c r="AX17" s="534" t="s">
        <v>213</v>
      </c>
      <c r="AY17" s="509" t="s">
        <v>187</v>
      </c>
      <c r="AZ17" s="509" t="s">
        <v>325</v>
      </c>
      <c r="BA17" s="509" t="s">
        <v>324</v>
      </c>
      <c r="BB17" s="534" t="s">
        <v>372</v>
      </c>
      <c r="BC17" s="509" t="s">
        <v>187</v>
      </c>
      <c r="BD17" s="509" t="s">
        <v>325</v>
      </c>
      <c r="BE17" s="509" t="s">
        <v>324</v>
      </c>
      <c r="BF17" s="509" t="s">
        <v>383</v>
      </c>
      <c r="BG17" s="509" t="s">
        <v>325</v>
      </c>
      <c r="BH17" s="509" t="s">
        <v>324</v>
      </c>
      <c r="BI17" s="549" t="s">
        <v>45</v>
      </c>
      <c r="BJ17" s="549"/>
      <c r="BK17" s="549" t="s">
        <v>46</v>
      </c>
      <c r="BL17" s="549"/>
      <c r="BM17" s="557" t="s">
        <v>398</v>
      </c>
      <c r="BN17" s="549" t="s">
        <v>307</v>
      </c>
      <c r="BO17" s="549"/>
      <c r="BP17" s="549" t="s">
        <v>308</v>
      </c>
      <c r="BQ17" s="549"/>
      <c r="BR17" s="549" t="s">
        <v>309</v>
      </c>
      <c r="BS17" s="549"/>
      <c r="BT17" s="534" t="s">
        <v>310</v>
      </c>
      <c r="BU17" s="509" t="s">
        <v>311</v>
      </c>
      <c r="BV17" s="509" t="s">
        <v>327</v>
      </c>
      <c r="BW17" s="535"/>
      <c r="BX17" s="509" t="s">
        <v>50</v>
      </c>
      <c r="BY17" s="509" t="s">
        <v>14</v>
      </c>
    </row>
    <row r="18" spans="1:77" s="6" customFormat="1" ht="48" customHeight="1" x14ac:dyDescent="0.2">
      <c r="A18" s="534"/>
      <c r="B18" s="535"/>
      <c r="C18" s="534" t="s">
        <v>41</v>
      </c>
      <c r="D18" s="534" t="s">
        <v>53</v>
      </c>
      <c r="E18" s="534" t="s">
        <v>52</v>
      </c>
      <c r="F18" s="534"/>
      <c r="G18" s="534"/>
      <c r="H18" s="534"/>
      <c r="I18" s="534"/>
      <c r="J18" s="534"/>
      <c r="K18" s="534"/>
      <c r="L18" s="534"/>
      <c r="M18" s="534"/>
      <c r="N18" s="534"/>
      <c r="O18" s="534" t="s">
        <v>36</v>
      </c>
      <c r="P18" s="534" t="s">
        <v>37</v>
      </c>
      <c r="Q18" s="536" t="s">
        <v>19</v>
      </c>
      <c r="R18" s="534" t="s">
        <v>20</v>
      </c>
      <c r="S18" s="536" t="s">
        <v>19</v>
      </c>
      <c r="T18" s="534" t="s">
        <v>20</v>
      </c>
      <c r="U18" s="534"/>
      <c r="V18" s="534"/>
      <c r="W18" s="534" t="s">
        <v>16</v>
      </c>
      <c r="X18" s="534" t="s">
        <v>17</v>
      </c>
      <c r="Y18" s="534" t="s">
        <v>172</v>
      </c>
      <c r="Z18" s="534" t="s">
        <v>173</v>
      </c>
      <c r="AA18" s="534" t="s">
        <v>16</v>
      </c>
      <c r="AB18" s="534" t="s">
        <v>17</v>
      </c>
      <c r="AC18" s="553"/>
      <c r="AD18" s="553"/>
      <c r="AE18" s="553"/>
      <c r="AF18" s="534" t="s">
        <v>16</v>
      </c>
      <c r="AG18" s="534" t="s">
        <v>17</v>
      </c>
      <c r="AH18" s="534"/>
      <c r="AI18" s="534"/>
      <c r="AJ18" s="534" t="s">
        <v>16</v>
      </c>
      <c r="AK18" s="534" t="s">
        <v>17</v>
      </c>
      <c r="AL18" s="534"/>
      <c r="AM18" s="534"/>
      <c r="AN18" s="534"/>
      <c r="AO18" s="534"/>
      <c r="AP18" s="509"/>
      <c r="AQ18" s="509"/>
      <c r="AR18" s="509"/>
      <c r="AS18" s="509"/>
      <c r="AT18" s="534"/>
      <c r="AU18" s="509"/>
      <c r="AV18" s="509"/>
      <c r="AW18" s="509"/>
      <c r="AX18" s="534"/>
      <c r="AY18" s="509"/>
      <c r="AZ18" s="509"/>
      <c r="BA18" s="509"/>
      <c r="BB18" s="534"/>
      <c r="BC18" s="509"/>
      <c r="BD18" s="509"/>
      <c r="BE18" s="509"/>
      <c r="BF18" s="509"/>
      <c r="BG18" s="509"/>
      <c r="BH18" s="509"/>
      <c r="BI18" s="509" t="s">
        <v>47</v>
      </c>
      <c r="BJ18" s="509" t="s">
        <v>313</v>
      </c>
      <c r="BK18" s="509" t="s">
        <v>47</v>
      </c>
      <c r="BL18" s="509" t="s">
        <v>313</v>
      </c>
      <c r="BM18" s="558"/>
      <c r="BN18" s="509" t="s">
        <v>306</v>
      </c>
      <c r="BO18" s="509" t="s">
        <v>313</v>
      </c>
      <c r="BP18" s="509" t="s">
        <v>306</v>
      </c>
      <c r="BQ18" s="509" t="s">
        <v>313</v>
      </c>
      <c r="BR18" s="509" t="s">
        <v>306</v>
      </c>
      <c r="BS18" s="509" t="s">
        <v>313</v>
      </c>
      <c r="BT18" s="534"/>
      <c r="BU18" s="509"/>
      <c r="BV18" s="509"/>
      <c r="BW18" s="535"/>
      <c r="BX18" s="509"/>
      <c r="BY18" s="509"/>
    </row>
    <row r="19" spans="1:77" s="6" customFormat="1" ht="76.5" customHeight="1" x14ac:dyDescent="0.2">
      <c r="A19" s="534"/>
      <c r="B19" s="535"/>
      <c r="C19" s="534"/>
      <c r="D19" s="534"/>
      <c r="E19" s="534"/>
      <c r="F19" s="534"/>
      <c r="G19" s="534"/>
      <c r="H19" s="534"/>
      <c r="I19" s="534"/>
      <c r="J19" s="534"/>
      <c r="K19" s="534"/>
      <c r="L19" s="534"/>
      <c r="M19" s="534"/>
      <c r="N19" s="534"/>
      <c r="O19" s="534"/>
      <c r="P19" s="534"/>
      <c r="Q19" s="536"/>
      <c r="R19" s="534"/>
      <c r="S19" s="536"/>
      <c r="T19" s="534"/>
      <c r="U19" s="534"/>
      <c r="V19" s="534"/>
      <c r="W19" s="534"/>
      <c r="X19" s="534"/>
      <c r="Y19" s="534"/>
      <c r="Z19" s="534"/>
      <c r="AA19" s="534"/>
      <c r="AB19" s="534"/>
      <c r="AC19" s="554"/>
      <c r="AD19" s="554"/>
      <c r="AE19" s="554"/>
      <c r="AF19" s="534"/>
      <c r="AG19" s="534"/>
      <c r="AH19" s="534"/>
      <c r="AI19" s="534"/>
      <c r="AJ19" s="534"/>
      <c r="AK19" s="534"/>
      <c r="AL19" s="534"/>
      <c r="AM19" s="534"/>
      <c r="AN19" s="534"/>
      <c r="AO19" s="534"/>
      <c r="AP19" s="509"/>
      <c r="AQ19" s="509"/>
      <c r="AR19" s="509"/>
      <c r="AS19" s="509"/>
      <c r="AT19" s="534"/>
      <c r="AU19" s="509"/>
      <c r="AV19" s="509"/>
      <c r="AW19" s="509"/>
      <c r="AX19" s="534"/>
      <c r="AY19" s="509"/>
      <c r="AZ19" s="509"/>
      <c r="BA19" s="509"/>
      <c r="BB19" s="534"/>
      <c r="BC19" s="509"/>
      <c r="BD19" s="509"/>
      <c r="BE19" s="509"/>
      <c r="BF19" s="509"/>
      <c r="BG19" s="509"/>
      <c r="BH19" s="509"/>
      <c r="BI19" s="509"/>
      <c r="BJ19" s="509"/>
      <c r="BK19" s="509"/>
      <c r="BL19" s="509"/>
      <c r="BM19" s="559"/>
      <c r="BN19" s="509"/>
      <c r="BO19" s="509"/>
      <c r="BP19" s="509"/>
      <c r="BQ19" s="509"/>
      <c r="BR19" s="509"/>
      <c r="BS19" s="509"/>
      <c r="BT19" s="534"/>
      <c r="BU19" s="509"/>
      <c r="BV19" s="509"/>
      <c r="BW19" s="535"/>
      <c r="BX19" s="509"/>
      <c r="BY19" s="509"/>
    </row>
    <row r="20" spans="1:77" x14ac:dyDescent="0.2">
      <c r="A20" s="20">
        <f>COLUMN(A20)</f>
        <v>1</v>
      </c>
      <c r="B20" s="555">
        <f>COLUMN(B20)</f>
        <v>2</v>
      </c>
      <c r="C20" s="555"/>
      <c r="D20" s="555"/>
      <c r="E20" s="555"/>
      <c r="F20" s="20">
        <v>3</v>
      </c>
      <c r="G20" s="20">
        <f t="shared" ref="G20:BR20" si="0">F20+1</f>
        <v>4</v>
      </c>
      <c r="H20" s="20">
        <f t="shared" si="0"/>
        <v>5</v>
      </c>
      <c r="I20" s="20">
        <f t="shared" si="0"/>
        <v>6</v>
      </c>
      <c r="J20" s="20">
        <f t="shared" si="0"/>
        <v>7</v>
      </c>
      <c r="K20" s="20">
        <f t="shared" si="0"/>
        <v>8</v>
      </c>
      <c r="L20" s="20">
        <f t="shared" si="0"/>
        <v>9</v>
      </c>
      <c r="M20" s="20">
        <f t="shared" si="0"/>
        <v>10</v>
      </c>
      <c r="N20" s="20">
        <f t="shared" si="0"/>
        <v>11</v>
      </c>
      <c r="O20" s="20">
        <f t="shared" si="0"/>
        <v>12</v>
      </c>
      <c r="P20" s="20">
        <f t="shared" si="0"/>
        <v>13</v>
      </c>
      <c r="Q20" s="20">
        <f t="shared" si="0"/>
        <v>14</v>
      </c>
      <c r="R20" s="20">
        <f t="shared" si="0"/>
        <v>15</v>
      </c>
      <c r="S20" s="20">
        <f t="shared" si="0"/>
        <v>16</v>
      </c>
      <c r="T20" s="20">
        <f t="shared" si="0"/>
        <v>17</v>
      </c>
      <c r="U20" s="20">
        <f t="shared" si="0"/>
        <v>18</v>
      </c>
      <c r="V20" s="20">
        <f t="shared" si="0"/>
        <v>19</v>
      </c>
      <c r="W20" s="20">
        <f t="shared" si="0"/>
        <v>20</v>
      </c>
      <c r="X20" s="20">
        <f t="shared" si="0"/>
        <v>21</v>
      </c>
      <c r="Y20" s="20">
        <f t="shared" si="0"/>
        <v>22</v>
      </c>
      <c r="Z20" s="20">
        <f t="shared" si="0"/>
        <v>23</v>
      </c>
      <c r="AA20" s="20">
        <f t="shared" si="0"/>
        <v>24</v>
      </c>
      <c r="AB20" s="20">
        <f t="shared" si="0"/>
        <v>25</v>
      </c>
      <c r="AC20" s="20">
        <f t="shared" si="0"/>
        <v>26</v>
      </c>
      <c r="AD20" s="20">
        <f t="shared" si="0"/>
        <v>27</v>
      </c>
      <c r="AE20" s="20">
        <f t="shared" si="0"/>
        <v>28</v>
      </c>
      <c r="AF20" s="20">
        <f t="shared" si="0"/>
        <v>29</v>
      </c>
      <c r="AG20" s="20">
        <f t="shared" si="0"/>
        <v>30</v>
      </c>
      <c r="AH20" s="20">
        <f t="shared" si="0"/>
        <v>31</v>
      </c>
      <c r="AI20" s="20">
        <f t="shared" si="0"/>
        <v>32</v>
      </c>
      <c r="AJ20" s="20">
        <f t="shared" si="0"/>
        <v>33</v>
      </c>
      <c r="AK20" s="20">
        <f t="shared" si="0"/>
        <v>34</v>
      </c>
      <c r="AL20" s="20">
        <f t="shared" si="0"/>
        <v>35</v>
      </c>
      <c r="AM20" s="20">
        <f t="shared" si="0"/>
        <v>36</v>
      </c>
      <c r="AN20" s="20">
        <f t="shared" si="0"/>
        <v>37</v>
      </c>
      <c r="AO20" s="20">
        <f t="shared" si="0"/>
        <v>38</v>
      </c>
      <c r="AP20" s="20">
        <f t="shared" si="0"/>
        <v>39</v>
      </c>
      <c r="AQ20" s="20">
        <f t="shared" si="0"/>
        <v>40</v>
      </c>
      <c r="AR20" s="20">
        <f t="shared" si="0"/>
        <v>41</v>
      </c>
      <c r="AS20" s="20">
        <f t="shared" si="0"/>
        <v>42</v>
      </c>
      <c r="AT20" s="20">
        <f t="shared" si="0"/>
        <v>43</v>
      </c>
      <c r="AU20" s="20">
        <f t="shared" si="0"/>
        <v>44</v>
      </c>
      <c r="AV20" s="20">
        <f t="shared" si="0"/>
        <v>45</v>
      </c>
      <c r="AW20" s="20">
        <f t="shared" si="0"/>
        <v>46</v>
      </c>
      <c r="AX20" s="20">
        <f t="shared" si="0"/>
        <v>47</v>
      </c>
      <c r="AY20" s="20">
        <f t="shared" si="0"/>
        <v>48</v>
      </c>
      <c r="AZ20" s="20">
        <f t="shared" si="0"/>
        <v>49</v>
      </c>
      <c r="BA20" s="20">
        <f t="shared" si="0"/>
        <v>50</v>
      </c>
      <c r="BB20" s="20">
        <f t="shared" si="0"/>
        <v>51</v>
      </c>
      <c r="BC20" s="20">
        <f t="shared" si="0"/>
        <v>52</v>
      </c>
      <c r="BD20" s="20">
        <f t="shared" si="0"/>
        <v>53</v>
      </c>
      <c r="BE20" s="20">
        <f t="shared" si="0"/>
        <v>54</v>
      </c>
      <c r="BF20" s="20">
        <f t="shared" si="0"/>
        <v>55</v>
      </c>
      <c r="BG20" s="20">
        <f t="shared" si="0"/>
        <v>56</v>
      </c>
      <c r="BH20" s="20">
        <f t="shared" si="0"/>
        <v>57</v>
      </c>
      <c r="BI20" s="20">
        <f t="shared" si="0"/>
        <v>58</v>
      </c>
      <c r="BJ20" s="20">
        <f t="shared" si="0"/>
        <v>59</v>
      </c>
      <c r="BK20" s="20">
        <f t="shared" si="0"/>
        <v>60</v>
      </c>
      <c r="BL20" s="20">
        <f t="shared" si="0"/>
        <v>61</v>
      </c>
      <c r="BM20" s="20">
        <f t="shared" si="0"/>
        <v>62</v>
      </c>
      <c r="BN20" s="20">
        <f t="shared" si="0"/>
        <v>63</v>
      </c>
      <c r="BO20" s="20">
        <f t="shared" si="0"/>
        <v>64</v>
      </c>
      <c r="BP20" s="20">
        <f t="shared" si="0"/>
        <v>65</v>
      </c>
      <c r="BQ20" s="20">
        <f t="shared" si="0"/>
        <v>66</v>
      </c>
      <c r="BR20" s="20">
        <f t="shared" si="0"/>
        <v>67</v>
      </c>
      <c r="BS20" s="20">
        <f t="shared" ref="BS20:BY20" si="1">BR20+1</f>
        <v>68</v>
      </c>
      <c r="BT20" s="20">
        <f t="shared" si="1"/>
        <v>69</v>
      </c>
      <c r="BU20" s="20">
        <f t="shared" si="1"/>
        <v>70</v>
      </c>
      <c r="BV20" s="20">
        <f t="shared" si="1"/>
        <v>71</v>
      </c>
      <c r="BW20" s="20">
        <f t="shared" si="1"/>
        <v>72</v>
      </c>
      <c r="BX20" s="20">
        <f t="shared" si="1"/>
        <v>73</v>
      </c>
      <c r="BY20" s="20">
        <f t="shared" si="1"/>
        <v>74</v>
      </c>
    </row>
    <row r="21" spans="1:77" s="7" customFormat="1" ht="12.75" customHeight="1" x14ac:dyDescent="0.2">
      <c r="A21" s="21"/>
      <c r="B21" s="477" t="s">
        <v>56</v>
      </c>
      <c r="C21" s="477"/>
      <c r="D21" s="477"/>
      <c r="E21" s="477"/>
      <c r="F21" s="22"/>
      <c r="G21" s="23"/>
      <c r="H21" s="23"/>
      <c r="I21" s="23"/>
      <c r="J21" s="23"/>
      <c r="K21" s="23"/>
      <c r="L21" s="23"/>
      <c r="M21" s="23"/>
      <c r="N21" s="23"/>
      <c r="O21" s="23"/>
      <c r="P21" s="23"/>
      <c r="Q21" s="24"/>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5"/>
      <c r="AQ21" s="26"/>
      <c r="AR21" s="26"/>
      <c r="AS21" s="25"/>
      <c r="AT21" s="23"/>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3"/>
    </row>
    <row r="22" spans="1:77" ht="22.5" x14ac:dyDescent="0.2">
      <c r="A22" s="20">
        <v>1</v>
      </c>
      <c r="B22" s="27" t="s">
        <v>410</v>
      </c>
      <c r="C22" s="66">
        <v>2</v>
      </c>
      <c r="D22" s="30" t="s">
        <v>183</v>
      </c>
      <c r="E22" s="31" t="s">
        <v>113</v>
      </c>
      <c r="F22" s="28" t="s">
        <v>106</v>
      </c>
      <c r="G22" s="29">
        <f>D6</f>
        <v>100</v>
      </c>
      <c r="H22" s="129">
        <v>42628</v>
      </c>
      <c r="I22" s="129">
        <v>42633</v>
      </c>
      <c r="J22" s="173">
        <f>I22-H22</f>
        <v>5</v>
      </c>
      <c r="K22" s="164">
        <f>8*1.26</f>
        <v>10.08</v>
      </c>
      <c r="L22" s="33">
        <f>G22/K22</f>
        <v>9.9206349206349209</v>
      </c>
      <c r="M22" s="34">
        <v>1</v>
      </c>
      <c r="N22" s="34"/>
      <c r="O22" s="35">
        <f>IF(M22=0,0,L22*$O$17)</f>
        <v>69.444444444444443</v>
      </c>
      <c r="P22" s="35">
        <f>IF(N22=0,0,L22*$O$17)</f>
        <v>0</v>
      </c>
      <c r="Q22" s="34">
        <v>5</v>
      </c>
      <c r="R22" s="78">
        <f>'Исходные данные'!$G$22</f>
        <v>197.57121135326915</v>
      </c>
      <c r="S22" s="34"/>
      <c r="T22" s="33"/>
      <c r="U22" s="125">
        <f>O22*R22*'Исходные данные'!$C$39%</f>
        <v>0</v>
      </c>
      <c r="V22" s="125">
        <f>P22*T22*'Исходные данные'!$C$40%</f>
        <v>0</v>
      </c>
      <c r="W22" s="125">
        <f>O22*R22*$W$17</f>
        <v>0</v>
      </c>
      <c r="X22" s="126">
        <f>P22*T22*$W$17</f>
        <v>0</v>
      </c>
      <c r="Y22" s="125">
        <f>(O22*R22+U22+W22)*$Y$17</f>
        <v>1372.0223010643692</v>
      </c>
      <c r="Z22" s="126">
        <f>(P22*T22+V22+X22)*$Z$17</f>
        <v>0</v>
      </c>
      <c r="AA22" s="125">
        <f>(O22*R22+U22)*$AA$17</f>
        <v>0</v>
      </c>
      <c r="AB22" s="126">
        <f>(P22*T22+V22)*$AA$17</f>
        <v>0</v>
      </c>
      <c r="AC22" s="124">
        <v>2.5</v>
      </c>
      <c r="AD22" s="125">
        <f>(O22*R22+U22+W22+Y22+AA22)*AC22</f>
        <v>37730.613279270154</v>
      </c>
      <c r="AE22" s="125">
        <f>(P22*T22+V22+X22+Z22+AB22)*AC22</f>
        <v>0</v>
      </c>
      <c r="AF22" s="35">
        <f ca="1">AD22*$AF$17</f>
        <v>5637.9077313851958</v>
      </c>
      <c r="AG22" s="70"/>
      <c r="AH22" s="35">
        <f t="shared" ref="AH22:AI32" ca="1" si="2">AD22+AF22</f>
        <v>43368.52101065535</v>
      </c>
      <c r="AI22" s="35">
        <f t="shared" si="2"/>
        <v>0</v>
      </c>
      <c r="AJ22" s="35">
        <f t="shared" ref="AJ22:AK32" ca="1" si="3">AH22*$AJ$17</f>
        <v>13010.556303196605</v>
      </c>
      <c r="AK22" s="70">
        <f t="shared" si="3"/>
        <v>0</v>
      </c>
      <c r="AL22" s="35">
        <f ca="1">AH22+AJ22</f>
        <v>56379.077313851958</v>
      </c>
      <c r="AM22" s="70">
        <f>AK22+AI22</f>
        <v>0</v>
      </c>
      <c r="AN22" s="165">
        <v>9.5238095238095237</v>
      </c>
      <c r="AO22" s="33">
        <f>'Исходные данные'!$C$55</f>
        <v>0.84</v>
      </c>
      <c r="AP22" s="74">
        <f>(G22*AN22)*AO22/100</f>
        <v>8</v>
      </c>
      <c r="AQ22" s="33" t="s">
        <v>153</v>
      </c>
      <c r="AR22" s="78" t="e">
        <f>'Исходные данные'!#REF!</f>
        <v>#REF!</v>
      </c>
      <c r="AS22" s="36" t="e">
        <f>AP22*AR22</f>
        <v>#REF!</v>
      </c>
      <c r="AT22" s="32"/>
      <c r="AU22" s="36"/>
      <c r="AV22" s="36"/>
      <c r="AW22" s="36"/>
      <c r="AX22" s="36"/>
      <c r="AY22" s="36"/>
      <c r="AZ22" s="36"/>
      <c r="BA22" s="36"/>
      <c r="BB22" s="36"/>
      <c r="BC22" s="36"/>
      <c r="BD22" s="36"/>
      <c r="BE22" s="36"/>
      <c r="BF22" s="36"/>
      <c r="BG22" s="36"/>
      <c r="BH22" s="36"/>
      <c r="BI22" s="36">
        <f>аморт!$G$12</f>
        <v>61.781971818181816</v>
      </c>
      <c r="BJ22" s="36">
        <f>BI22*L22</f>
        <v>612.9163870851371</v>
      </c>
      <c r="BK22" s="36">
        <f>аморт!$G$70</f>
        <v>45.238095238095241</v>
      </c>
      <c r="BL22" s="36">
        <f>BK22*L22</f>
        <v>448.790627362056</v>
      </c>
      <c r="BM22" s="36"/>
      <c r="BN22" s="38">
        <v>84.5</v>
      </c>
      <c r="BO22" s="36">
        <f>BN22*BY22</f>
        <v>9724.206349206348</v>
      </c>
      <c r="BP22" s="38">
        <v>9.4</v>
      </c>
      <c r="BQ22" s="36">
        <f>BP22*BY22</f>
        <v>1081.7460317460318</v>
      </c>
      <c r="BR22" s="38">
        <f>6.7*1.045*1.054</f>
        <v>7.3795810000000008</v>
      </c>
      <c r="BS22" s="36">
        <f>BR22*BY22</f>
        <v>849.2374960317461</v>
      </c>
      <c r="BT22" s="36">
        <f>аморт!$C$70*10%/аморт!$E$70*L22*7</f>
        <v>92361.111111111124</v>
      </c>
      <c r="BU22" s="36" t="e">
        <f ca="1">AL22+AM22+AS22+AW22+BA22+BE22+BH22+BJ22+BL22+BM22+BO22+BQ22+BS22+BT22</f>
        <v>#REF!</v>
      </c>
      <c r="BV22" s="36" t="e">
        <f ca="1">BU22/$D$6</f>
        <v>#REF!</v>
      </c>
      <c r="BW22" s="38">
        <f>(O22+P22)/$D$6</f>
        <v>0.69444444444444442</v>
      </c>
      <c r="BX22" s="38">
        <v>11.6</v>
      </c>
      <c r="BY22" s="39">
        <f>BX22*L22</f>
        <v>115.07936507936508</v>
      </c>
    </row>
    <row r="23" spans="1:77" x14ac:dyDescent="0.2">
      <c r="A23" s="20">
        <f>A22+1</f>
        <v>2</v>
      </c>
      <c r="B23" s="27" t="s">
        <v>418</v>
      </c>
      <c r="C23" s="66">
        <v>1</v>
      </c>
      <c r="D23" s="30" t="s">
        <v>183</v>
      </c>
      <c r="E23" s="31" t="s">
        <v>422</v>
      </c>
      <c r="F23" s="28" t="s">
        <v>106</v>
      </c>
      <c r="G23" s="29">
        <f>G22</f>
        <v>100</v>
      </c>
      <c r="H23" s="129">
        <v>42510</v>
      </c>
      <c r="I23" s="129">
        <v>42515</v>
      </c>
      <c r="J23" s="173">
        <f t="shared" ref="J23:J31" si="4">I23-H23</f>
        <v>5</v>
      </c>
      <c r="K23" s="164">
        <f>8*3.6</f>
        <v>28.8</v>
      </c>
      <c r="L23" s="33">
        <f>G23/K23</f>
        <v>3.4722222222222223</v>
      </c>
      <c r="M23" s="34">
        <v>1</v>
      </c>
      <c r="N23" s="34"/>
      <c r="O23" s="35">
        <f>IF(M23=0,0,L23*$O$17)</f>
        <v>24.305555555555557</v>
      </c>
      <c r="P23" s="35">
        <f>IF(N23=0,0,L23*$O$17)</f>
        <v>0</v>
      </c>
      <c r="Q23" s="34">
        <v>4</v>
      </c>
      <c r="R23" s="78">
        <f>'Исходные данные'!$F$22</f>
        <v>173.86266599087685</v>
      </c>
      <c r="S23" s="34"/>
      <c r="T23" s="33"/>
      <c r="U23" s="125">
        <f>O23*R23*'Исходные данные'!$C$39%</f>
        <v>0</v>
      </c>
      <c r="V23" s="125">
        <f>P23*T23*'Исходные данные'!$C$40%</f>
        <v>0</v>
      </c>
      <c r="W23" s="125">
        <f>O23*R23*$W$17</f>
        <v>0</v>
      </c>
      <c r="X23" s="126">
        <f>P23*T23*$W$17</f>
        <v>0</v>
      </c>
      <c r="Y23" s="125">
        <f>(O23*R23+U23+W23)*$Y$17</f>
        <v>422.58286872782577</v>
      </c>
      <c r="Z23" s="126">
        <f>(P23*T23+V23+X23)*$Z$17</f>
        <v>0</v>
      </c>
      <c r="AA23" s="125">
        <f>(O23*R23+U23)*$AA$17</f>
        <v>0</v>
      </c>
      <c r="AB23" s="126">
        <f>(P23*T23+V23)*$AA$17</f>
        <v>0</v>
      </c>
      <c r="AC23" s="124">
        <v>2.5</v>
      </c>
      <c r="AD23" s="125">
        <f>(O23*R23+U23+W23+Y23+AA23)*AC23</f>
        <v>11621.028890015206</v>
      </c>
      <c r="AE23" s="125">
        <f>(P23*T23+V23+X23+Z23+AB23)*AC23</f>
        <v>0</v>
      </c>
      <c r="AF23" s="35">
        <f ca="1">AD23*$AF$17</f>
        <v>1736.4755812666401</v>
      </c>
      <c r="AG23" s="70"/>
      <c r="AH23" s="35">
        <f t="shared" ca="1" si="2"/>
        <v>13357.504471281847</v>
      </c>
      <c r="AI23" s="35">
        <f t="shared" si="2"/>
        <v>0</v>
      </c>
      <c r="AJ23" s="35">
        <f t="shared" ca="1" si="3"/>
        <v>4007.2513413845541</v>
      </c>
      <c r="AK23" s="70">
        <f t="shared" si="3"/>
        <v>0</v>
      </c>
      <c r="AL23" s="35">
        <f ca="1">AH23+AJ23</f>
        <v>17364.755812666401</v>
      </c>
      <c r="AM23" s="70">
        <f>AK23+AI23</f>
        <v>0</v>
      </c>
      <c r="AN23" s="165">
        <v>9.5238095238095237</v>
      </c>
      <c r="AO23" s="33">
        <f>'Исходные данные'!$C$55</f>
        <v>0.84</v>
      </c>
      <c r="AP23" s="74">
        <f>(G23*AN23)*AO23/100</f>
        <v>8</v>
      </c>
      <c r="AQ23" s="33" t="s">
        <v>153</v>
      </c>
      <c r="AR23" s="78" t="e">
        <f>'Исходные данные'!#REF!</f>
        <v>#REF!</v>
      </c>
      <c r="AS23" s="36" t="e">
        <f>AP23*AR23</f>
        <v>#REF!</v>
      </c>
      <c r="AT23" s="32"/>
      <c r="AU23" s="36"/>
      <c r="AV23" s="36"/>
      <c r="AW23" s="36"/>
      <c r="AX23" s="36"/>
      <c r="AY23" s="36"/>
      <c r="AZ23" s="36"/>
      <c r="BA23" s="36"/>
      <c r="BB23" s="36"/>
      <c r="BC23" s="36"/>
      <c r="BD23" s="36"/>
      <c r="BE23" s="36"/>
      <c r="BF23" s="36"/>
      <c r="BG23" s="36"/>
      <c r="BH23" s="36"/>
      <c r="BI23" s="36">
        <f>аморт!$G$12</f>
        <v>61.781971818181816</v>
      </c>
      <c r="BJ23" s="36">
        <f>BI23*L23</f>
        <v>214.52073547979799</v>
      </c>
      <c r="BK23" s="36">
        <f>аморт!G33</f>
        <v>97.41305263157895</v>
      </c>
      <c r="BL23" s="36">
        <f>BK23*L23</f>
        <v>338.23976608187138</v>
      </c>
      <c r="BM23" s="36"/>
      <c r="BN23" s="38">
        <v>84.5</v>
      </c>
      <c r="BO23" s="36">
        <f>BN23*BY23</f>
        <v>3403.4722222222222</v>
      </c>
      <c r="BP23" s="38">
        <v>9.4</v>
      </c>
      <c r="BQ23" s="36">
        <f>BP23*BY23</f>
        <v>378.61111111111114</v>
      </c>
      <c r="BR23" s="38">
        <f>6.7*1.045*1.054</f>
        <v>7.3795810000000008</v>
      </c>
      <c r="BS23" s="36">
        <f>BR23*BY23</f>
        <v>297.23312361111113</v>
      </c>
      <c r="BT23" s="36">
        <f>аморт!$C$33*10%/аморт!$E$33*L23*7</f>
        <v>11246.472222222223</v>
      </c>
      <c r="BU23" s="36" t="e">
        <f ca="1">AL23+AM23+AS23+AW23+BA23+BE23+BH23+BJ23+BL23+BM23+BO23+BQ23+BS23+BT23</f>
        <v>#REF!</v>
      </c>
      <c r="BV23" s="36" t="e">
        <f ca="1">BU23/$D$6</f>
        <v>#REF!</v>
      </c>
      <c r="BW23" s="38">
        <f>(O23+P23)/$D$6</f>
        <v>0.24305555555555558</v>
      </c>
      <c r="BX23" s="38">
        <v>11.6</v>
      </c>
      <c r="BY23" s="39">
        <f>BX23*L23</f>
        <v>40.277777777777779</v>
      </c>
    </row>
    <row r="24" spans="1:77" x14ac:dyDescent="0.2">
      <c r="A24" s="20">
        <f>A23+1</f>
        <v>3</v>
      </c>
      <c r="B24" s="27" t="s">
        <v>419</v>
      </c>
      <c r="C24" s="66">
        <v>1</v>
      </c>
      <c r="D24" s="30" t="s">
        <v>183</v>
      </c>
      <c r="E24" s="31" t="s">
        <v>415</v>
      </c>
      <c r="F24" s="28" t="s">
        <v>106</v>
      </c>
      <c r="G24" s="29">
        <f>D6</f>
        <v>100</v>
      </c>
      <c r="H24" s="129">
        <v>42515</v>
      </c>
      <c r="I24" s="129">
        <v>42522</v>
      </c>
      <c r="J24" s="173">
        <f t="shared" si="4"/>
        <v>7</v>
      </c>
      <c r="K24" s="164">
        <f>8*4</f>
        <v>32</v>
      </c>
      <c r="L24" s="33">
        <f>G24/K24</f>
        <v>3.125</v>
      </c>
      <c r="M24" s="34">
        <v>1</v>
      </c>
      <c r="N24" s="34"/>
      <c r="O24" s="35">
        <f>IF(M24=0,0,L24*$O$17)</f>
        <v>21.875</v>
      </c>
      <c r="P24" s="35">
        <f>IF(N24=0,0,L24*$O$17)</f>
        <v>0</v>
      </c>
      <c r="Q24" s="34">
        <v>4</v>
      </c>
      <c r="R24" s="78">
        <f>'Исходные данные'!$F$22</f>
        <v>173.86266599087685</v>
      </c>
      <c r="S24" s="34"/>
      <c r="T24" s="33"/>
      <c r="U24" s="125">
        <f>O24*R24*'Исходные данные'!$C$39%</f>
        <v>0</v>
      </c>
      <c r="V24" s="125">
        <f>P24*T24*'Исходные данные'!$C$40%</f>
        <v>0</v>
      </c>
      <c r="W24" s="125">
        <f>O24*R24*$W$17</f>
        <v>0</v>
      </c>
      <c r="X24" s="126">
        <f>P24*T24*$W$17</f>
        <v>0</v>
      </c>
      <c r="Y24" s="125">
        <f>(O24*R24+U24+W24)*$Y$17</f>
        <v>380.32458185504311</v>
      </c>
      <c r="Z24" s="126">
        <f>(P24*T24+V24+X24)*$Z$17</f>
        <v>0</v>
      </c>
      <c r="AA24" s="125">
        <f>(O24*R24+U24)*$AA$17</f>
        <v>0</v>
      </c>
      <c r="AB24" s="126">
        <f>(P24*T24+V24)*$AA$17</f>
        <v>0</v>
      </c>
      <c r="AC24" s="124">
        <v>2.5</v>
      </c>
      <c r="AD24" s="125">
        <f>(O24*R24+U24+W24+Y24+AA24)*AC24</f>
        <v>10458.926001013686</v>
      </c>
      <c r="AE24" s="125">
        <f>(P24*T24+V24+X24+Z24+AB24)*AC24</f>
        <v>0</v>
      </c>
      <c r="AF24" s="35">
        <f ca="1">AD24*$AF$17</f>
        <v>1562.8280231399763</v>
      </c>
      <c r="AG24" s="70"/>
      <c r="AH24" s="35">
        <f t="shared" ca="1" si="2"/>
        <v>12021.754024153663</v>
      </c>
      <c r="AI24" s="35">
        <f t="shared" si="2"/>
        <v>0</v>
      </c>
      <c r="AJ24" s="35">
        <f t="shared" ca="1" si="3"/>
        <v>3606.5262072460987</v>
      </c>
      <c r="AK24" s="70">
        <f t="shared" si="3"/>
        <v>0</v>
      </c>
      <c r="AL24" s="35">
        <f ca="1">AH24+AJ24</f>
        <v>15628.280231399762</v>
      </c>
      <c r="AM24" s="70">
        <f>AK24+AI24</f>
        <v>0</v>
      </c>
      <c r="AN24" s="165">
        <v>9.5238095238095237</v>
      </c>
      <c r="AO24" s="33">
        <f>'Исходные данные'!$C$55</f>
        <v>0.84</v>
      </c>
      <c r="AP24" s="74">
        <f>(G24*AN24)*AO24/100</f>
        <v>8</v>
      </c>
      <c r="AQ24" s="33" t="s">
        <v>152</v>
      </c>
      <c r="AR24" s="78" t="e">
        <f>'Исходные данные'!#REF!</f>
        <v>#REF!</v>
      </c>
      <c r="AS24" s="36" t="e">
        <f>AP24*AR24</f>
        <v>#REF!</v>
      </c>
      <c r="AT24" s="32"/>
      <c r="AU24" s="36"/>
      <c r="AV24" s="36"/>
      <c r="AW24" s="36"/>
      <c r="AX24" s="36"/>
      <c r="AY24" s="36"/>
      <c r="AZ24" s="36"/>
      <c r="BA24" s="36"/>
      <c r="BB24" s="36"/>
      <c r="BC24" s="36"/>
      <c r="BD24" s="36"/>
      <c r="BE24" s="36"/>
      <c r="BF24" s="36"/>
      <c r="BG24" s="36"/>
      <c r="BH24" s="36"/>
      <c r="BI24" s="36">
        <f>аморт!$G$12</f>
        <v>61.781971818181816</v>
      </c>
      <c r="BJ24" s="36">
        <f>BI24*L24</f>
        <v>193.06866193181818</v>
      </c>
      <c r="BK24" s="36">
        <f>аморт!G52</f>
        <v>50.50391891891892</v>
      </c>
      <c r="BL24" s="36">
        <f>BK24*L24</f>
        <v>157.82474662162161</v>
      </c>
      <c r="BM24" s="36"/>
      <c r="BN24" s="38">
        <v>84.5</v>
      </c>
      <c r="BO24" s="36">
        <f>BN24*BY24</f>
        <v>3063.125</v>
      </c>
      <c r="BP24" s="38">
        <v>9.4</v>
      </c>
      <c r="BQ24" s="36">
        <f>BP24*BY24</f>
        <v>340.75</v>
      </c>
      <c r="BR24" s="38">
        <f>6.7*1.045*1.054</f>
        <v>7.3795810000000008</v>
      </c>
      <c r="BS24" s="36">
        <f>BR24*BY24</f>
        <v>267.50981125000004</v>
      </c>
      <c r="BT24" s="36">
        <f>аморт!$C$52*10%/аморт!$E$52*L24*7</f>
        <v>13080.514999999999</v>
      </c>
      <c r="BU24" s="36" t="e">
        <f ca="1">AL24+AM24+AS24+AW24+BA24+BE24+BH24+BJ24+BL24+BM24+BO24+BQ24+BS24+BT24</f>
        <v>#REF!</v>
      </c>
      <c r="BV24" s="36" t="e">
        <f ca="1">BU24/$D$6</f>
        <v>#REF!</v>
      </c>
      <c r="BW24" s="38">
        <f>(O24+P24)/$D$6</f>
        <v>0.21875</v>
      </c>
      <c r="BX24" s="38">
        <v>11.6</v>
      </c>
      <c r="BY24" s="39">
        <f>BX24*L24</f>
        <v>36.25</v>
      </c>
    </row>
    <row r="25" spans="1:77" x14ac:dyDescent="0.2">
      <c r="A25" s="20">
        <f t="shared" ref="A25:A32" si="5">A24+1</f>
        <v>4</v>
      </c>
      <c r="B25" s="27" t="s">
        <v>420</v>
      </c>
      <c r="C25" s="66">
        <v>1</v>
      </c>
      <c r="D25" s="30" t="s">
        <v>105</v>
      </c>
      <c r="E25" s="174" t="s">
        <v>482</v>
      </c>
      <c r="F25" s="28" t="s">
        <v>106</v>
      </c>
      <c r="G25" s="29">
        <f>D6</f>
        <v>100</v>
      </c>
      <c r="H25" s="129">
        <v>42536</v>
      </c>
      <c r="I25" s="129">
        <v>42538</v>
      </c>
      <c r="J25" s="173">
        <f t="shared" si="4"/>
        <v>2</v>
      </c>
      <c r="K25" s="164">
        <f>8*4.2</f>
        <v>33.6</v>
      </c>
      <c r="L25" s="33">
        <f t="shared" ref="L25:L32" si="6">G25/K25</f>
        <v>2.9761904761904763</v>
      </c>
      <c r="M25" s="34">
        <v>1</v>
      </c>
      <c r="N25" s="34"/>
      <c r="O25" s="35">
        <f>IF(M25=0,0,L25*$O$17)</f>
        <v>20.833333333333336</v>
      </c>
      <c r="P25" s="35">
        <f t="shared" ref="P25:P31" si="7">IF(N25=0,0,L25*$O$17)</f>
        <v>0</v>
      </c>
      <c r="Q25" s="34">
        <v>3</v>
      </c>
      <c r="R25" s="78">
        <f ca="1">IF(AND(O25&gt;0,Q25&gt;0),SUMIF('Исходные данные'!$C$14:H27,Q25,'Исходные данные'!$C$18:$H$18),IF(O25=0,0,IF(Q25=0,"РОТ")))</f>
        <v>138.29984794728838</v>
      </c>
      <c r="S25" s="34"/>
      <c r="T25" s="33"/>
      <c r="U25" s="125">
        <f ca="1">O25*R25*'Исходные данные'!$C$39%</f>
        <v>0</v>
      </c>
      <c r="V25" s="125">
        <f>P25*T25*'Исходные данные'!$C$40%</f>
        <v>0</v>
      </c>
      <c r="W25" s="125">
        <f t="shared" ref="W25:W32" ca="1" si="8">O25*R25*$W$17</f>
        <v>0</v>
      </c>
      <c r="X25" s="126">
        <f t="shared" ref="X25:X32" si="9">P25*T25*$W$17</f>
        <v>0</v>
      </c>
      <c r="Y25" s="125">
        <f t="shared" ref="Y25:Y32" ca="1" si="10">(O25*R25+U25+W25)*$Y$17</f>
        <v>288.12468322351754</v>
      </c>
      <c r="Z25" s="126">
        <f t="shared" ref="Z25:Z32" si="11">(P25*T25+V25+X25)*$Z$17</f>
        <v>0</v>
      </c>
      <c r="AA25" s="125">
        <f t="shared" ref="AA25:AA32" ca="1" si="12">(O25*R25+U25)*$AA$17</f>
        <v>0</v>
      </c>
      <c r="AB25" s="126">
        <f t="shared" ref="AB25:AB32" si="13">(P25*T25+V25)*$AA$17</f>
        <v>0</v>
      </c>
      <c r="AC25" s="124">
        <v>2.5</v>
      </c>
      <c r="AD25" s="125">
        <f t="shared" ref="AD25:AD32" ca="1" si="14">(O25*R25+U25+W25+Y25+AA25)*AC25</f>
        <v>7923.4287886467318</v>
      </c>
      <c r="AE25" s="125">
        <f t="shared" ref="AE25:AE32" si="15">(P25*T25+V25+X25+Z25+AB25)*AC25</f>
        <v>0</v>
      </c>
      <c r="AF25" s="35">
        <f t="shared" ref="AF25:AG32" ca="1" si="16">AD25*$AF$17</f>
        <v>1183.9606235908911</v>
      </c>
      <c r="AG25" s="70"/>
      <c r="AH25" s="35">
        <f t="shared" ca="1" si="2"/>
        <v>9107.3894122376223</v>
      </c>
      <c r="AI25" s="35"/>
      <c r="AJ25" s="35">
        <f t="shared" ca="1" si="3"/>
        <v>2732.2168236712864</v>
      </c>
      <c r="AK25" s="70"/>
      <c r="AL25" s="35">
        <f t="shared" ref="AL25:AL32" ca="1" si="17">AH25+AJ25</f>
        <v>11839.606235908908</v>
      </c>
      <c r="AM25" s="70"/>
      <c r="AN25" s="165">
        <v>2.2999999999999998</v>
      </c>
      <c r="AO25" s="33">
        <f>'Исходные данные'!$C$55</f>
        <v>0.84</v>
      </c>
      <c r="AP25" s="74">
        <f>(G25*AN25)*AO25/100</f>
        <v>1.9319999999999995</v>
      </c>
      <c r="AQ25" s="33" t="s">
        <v>152</v>
      </c>
      <c r="AR25" s="78" t="e">
        <f>'Исходные данные'!#REF!</f>
        <v>#REF!</v>
      </c>
      <c r="AS25" s="36" t="e">
        <f>AP25*AR25</f>
        <v>#REF!</v>
      </c>
      <c r="AT25" s="32"/>
      <c r="AU25" s="36"/>
      <c r="AV25" s="36"/>
      <c r="AW25" s="36"/>
      <c r="AX25" s="36"/>
      <c r="AY25" s="36"/>
      <c r="AZ25" s="36"/>
      <c r="BA25" s="36"/>
      <c r="BB25" s="36"/>
      <c r="BC25" s="36"/>
      <c r="BD25" s="36"/>
      <c r="BE25" s="36"/>
      <c r="BF25" s="36"/>
      <c r="BG25" s="36"/>
      <c r="BH25" s="36"/>
      <c r="BI25" s="36">
        <f>аморт!$G$11</f>
        <v>181.91312849162011</v>
      </c>
      <c r="BJ25" s="36">
        <f>BI25*L25</f>
        <v>541.40812051077421</v>
      </c>
      <c r="BK25" s="36">
        <f>аморт!$G$34</f>
        <v>97.41305263157895</v>
      </c>
      <c r="BL25" s="36">
        <f>BK25*L25</f>
        <v>289.9197994987469</v>
      </c>
      <c r="BM25" s="36"/>
      <c r="BN25" s="38">
        <v>82.4</v>
      </c>
      <c r="BO25" s="36">
        <f>BN25*BY25</f>
        <v>1250.7142857142858</v>
      </c>
      <c r="BP25" s="38">
        <v>13.9</v>
      </c>
      <c r="BQ25" s="36">
        <f>BP25*BY25</f>
        <v>210.98214285714286</v>
      </c>
      <c r="BR25" s="38">
        <f>4.8*1.045*1.054</f>
        <v>5.2868639999999996</v>
      </c>
      <c r="BS25" s="36">
        <f>BR25*BY25</f>
        <v>80.247042857142858</v>
      </c>
      <c r="BT25" s="36">
        <f>аморт!C34*10%/аморт!E34*L25*7</f>
        <v>9639.8333333333339</v>
      </c>
      <c r="BU25" s="36" t="e">
        <f t="shared" ref="BU25:BU32" ca="1" si="18">AL25+AM25+AS25+AW25+BA25+BE25+BH25+BJ25+BL25+BM25+BO25+BQ25+BS25+BT25</f>
        <v>#REF!</v>
      </c>
      <c r="BV25" s="36" t="e">
        <f t="shared" ref="BV25:BV32" ca="1" si="19">BU25/$D$6</f>
        <v>#REF!</v>
      </c>
      <c r="BW25" s="38">
        <f t="shared" ref="BW25:BW31" si="20">(O25+P25)/$D$6</f>
        <v>0.20833333333333337</v>
      </c>
      <c r="BX25" s="38">
        <v>5.0999999999999996</v>
      </c>
      <c r="BY25" s="39">
        <f>BX25*L25</f>
        <v>15.178571428571429</v>
      </c>
    </row>
    <row r="26" spans="1:77" x14ac:dyDescent="0.2">
      <c r="A26" s="20">
        <f t="shared" si="5"/>
        <v>5</v>
      </c>
      <c r="B26" s="27" t="s">
        <v>22</v>
      </c>
      <c r="C26" s="66">
        <v>3</v>
      </c>
      <c r="D26" s="478" t="s">
        <v>118</v>
      </c>
      <c r="E26" s="479"/>
      <c r="F26" s="28" t="s">
        <v>109</v>
      </c>
      <c r="G26" s="177">
        <f>AU32</f>
        <v>3</v>
      </c>
      <c r="H26" s="129">
        <v>42536</v>
      </c>
      <c r="I26" s="129">
        <v>42538</v>
      </c>
      <c r="J26" s="173">
        <f t="shared" si="4"/>
        <v>2</v>
      </c>
      <c r="K26" s="164">
        <f>G26/6</f>
        <v>0.5</v>
      </c>
      <c r="L26" s="33">
        <f t="shared" si="6"/>
        <v>6</v>
      </c>
      <c r="M26" s="34">
        <v>1</v>
      </c>
      <c r="N26" s="34">
        <v>1</v>
      </c>
      <c r="O26" s="35">
        <f t="shared" ref="O26:O32" si="21">IF(M26=0,0,L26*$O$17)</f>
        <v>42</v>
      </c>
      <c r="P26" s="35">
        <f t="shared" si="7"/>
        <v>42</v>
      </c>
      <c r="Q26" s="34">
        <v>2</v>
      </c>
      <c r="R26" s="78">
        <f ca="1">IF(AND(O26&gt;0,Q26&gt;0),SUMIF('Исходные данные'!$C$14:H29,Q26,'Исходные данные'!$C$18:$H$18),IF(O26=0,0,IF(Q26=0,"РОТ")))</f>
        <v>128.66557526609228</v>
      </c>
      <c r="S26" s="34">
        <v>2</v>
      </c>
      <c r="T26" s="78">
        <f ca="1">IF(AND(N26&gt;0,P26&gt;0),SUMIF('Исходные данные'!$C$14:$J$30,S26,'Исходные данные'!$C$34:$J$41),IF(N26=0,0,IF(S26=0,"РОТ")))</f>
        <v>105.700598073999</v>
      </c>
      <c r="U26" s="125">
        <f ca="1">O26*R26*'Исходные данные'!$C$39%</f>
        <v>0</v>
      </c>
      <c r="V26" s="125">
        <f ca="1">P26*T26*'Исходные данные'!$C$40%</f>
        <v>0</v>
      </c>
      <c r="W26" s="125">
        <f t="shared" ca="1" si="8"/>
        <v>0</v>
      </c>
      <c r="X26" s="126">
        <f t="shared" ca="1" si="9"/>
        <v>0</v>
      </c>
      <c r="Y26" s="125">
        <f t="shared" ca="1" si="10"/>
        <v>540.39541611758762</v>
      </c>
      <c r="Z26" s="126">
        <f t="shared" ca="1" si="11"/>
        <v>221.97125595539794</v>
      </c>
      <c r="AA26" s="125">
        <f t="shared" ca="1" si="12"/>
        <v>0</v>
      </c>
      <c r="AB26" s="126">
        <f t="shared" ca="1" si="13"/>
        <v>0</v>
      </c>
      <c r="AC26" s="124">
        <v>2.5</v>
      </c>
      <c r="AD26" s="125">
        <f t="shared" ca="1" si="14"/>
        <v>14860.873943233659</v>
      </c>
      <c r="AE26" s="125">
        <f t="shared" ca="1" si="15"/>
        <v>11653.490937658391</v>
      </c>
      <c r="AF26" s="35">
        <f t="shared" ca="1" si="16"/>
        <v>2220.5903593337653</v>
      </c>
      <c r="AG26" s="70">
        <f t="shared" ca="1" si="16"/>
        <v>1741.3262320638976</v>
      </c>
      <c r="AH26" s="35">
        <f t="shared" ca="1" si="2"/>
        <v>17081.464302567423</v>
      </c>
      <c r="AI26" s="35">
        <f t="shared" ca="1" si="2"/>
        <v>13394.817169722288</v>
      </c>
      <c r="AJ26" s="35">
        <f t="shared" ca="1" si="3"/>
        <v>5124.4392907702268</v>
      </c>
      <c r="AK26" s="70">
        <f t="shared" ca="1" si="3"/>
        <v>4018.4451509166861</v>
      </c>
      <c r="AL26" s="35">
        <f t="shared" ca="1" si="17"/>
        <v>22205.903593337651</v>
      </c>
      <c r="AM26" s="70">
        <f t="shared" ref="AM26:AM32" ca="1" si="22">AK26+AI26</f>
        <v>17413.262320638973</v>
      </c>
      <c r="AN26" s="165"/>
      <c r="AO26" s="32"/>
      <c r="AP26" s="74"/>
      <c r="AQ26" s="33"/>
      <c r="AR26" s="32"/>
      <c r="AS26" s="36"/>
      <c r="AT26" s="32"/>
      <c r="AU26" s="36"/>
      <c r="AV26" s="36"/>
      <c r="AW26" s="36"/>
      <c r="AX26" s="36"/>
      <c r="AY26" s="36"/>
      <c r="AZ26" s="36"/>
      <c r="BA26" s="36"/>
      <c r="BB26" s="36"/>
      <c r="BC26" s="36"/>
      <c r="BD26" s="36"/>
      <c r="BE26" s="36"/>
      <c r="BF26" s="36"/>
      <c r="BG26" s="36"/>
      <c r="BH26" s="36"/>
      <c r="BI26" s="36"/>
      <c r="BJ26" s="36"/>
      <c r="BK26" s="80"/>
      <c r="BL26" s="36"/>
      <c r="BM26" s="36"/>
      <c r="BN26" s="38"/>
      <c r="BO26" s="36"/>
      <c r="BP26" s="38"/>
      <c r="BQ26" s="36"/>
      <c r="BR26" s="38"/>
      <c r="BS26" s="36"/>
      <c r="BT26" s="36"/>
      <c r="BU26" s="36">
        <f t="shared" ca="1" si="18"/>
        <v>39619.165913976627</v>
      </c>
      <c r="BV26" s="36">
        <f t="shared" ca="1" si="19"/>
        <v>396.19165913976627</v>
      </c>
      <c r="BW26" s="38">
        <f t="shared" si="20"/>
        <v>0.84</v>
      </c>
      <c r="BX26" s="38"/>
      <c r="BY26" s="39"/>
    </row>
    <row r="27" spans="1:77" ht="22.5" x14ac:dyDescent="0.2">
      <c r="A27" s="20">
        <f t="shared" si="5"/>
        <v>6</v>
      </c>
      <c r="B27" s="27" t="s">
        <v>23</v>
      </c>
      <c r="C27" s="66">
        <v>3</v>
      </c>
      <c r="D27" s="30" t="s">
        <v>105</v>
      </c>
      <c r="E27" s="31" t="s">
        <v>115</v>
      </c>
      <c r="F27" s="28" t="s">
        <v>109</v>
      </c>
      <c r="G27" s="177">
        <f>G26</f>
        <v>3</v>
      </c>
      <c r="H27" s="129">
        <v>42536</v>
      </c>
      <c r="I27" s="129">
        <v>42538</v>
      </c>
      <c r="J27" s="173">
        <f t="shared" si="4"/>
        <v>2</v>
      </c>
      <c r="K27" s="164">
        <f>G27/6</f>
        <v>0.5</v>
      </c>
      <c r="L27" s="33">
        <f t="shared" si="6"/>
        <v>6</v>
      </c>
      <c r="M27" s="34">
        <v>1</v>
      </c>
      <c r="N27" s="34">
        <v>1</v>
      </c>
      <c r="O27" s="35">
        <f t="shared" si="21"/>
        <v>42</v>
      </c>
      <c r="P27" s="35">
        <f t="shared" si="7"/>
        <v>42</v>
      </c>
      <c r="Q27" s="34">
        <v>2</v>
      </c>
      <c r="R27" s="78">
        <f ca="1">IF(AND(O27&gt;0,Q27&gt;0),SUMIF('Исходные данные'!$C$14:H30,Q27,'Исходные данные'!$C$18:$H$18),IF(O27=0,0,IF(Q27=0,"РОТ")))</f>
        <v>128.66557526609228</v>
      </c>
      <c r="S27" s="34">
        <v>2</v>
      </c>
      <c r="T27" s="78">
        <f ca="1">IF(AND(N27&gt;0,P27&gt;0),SUMIF('Исходные данные'!$C$14:$J$30,S27,'Исходные данные'!$C$34:$J$41),IF(N27=0,0,IF(S27=0,"РОТ")))</f>
        <v>105.700598073999</v>
      </c>
      <c r="U27" s="125">
        <f ca="1">O27*R27*'Исходные данные'!$C$39%</f>
        <v>0</v>
      </c>
      <c r="V27" s="125">
        <f ca="1">P27*T27*'Исходные данные'!$C$40%</f>
        <v>0</v>
      </c>
      <c r="W27" s="125">
        <f t="shared" ca="1" si="8"/>
        <v>0</v>
      </c>
      <c r="X27" s="126">
        <f t="shared" ca="1" si="9"/>
        <v>0</v>
      </c>
      <c r="Y27" s="125">
        <f t="shared" ca="1" si="10"/>
        <v>540.39541611758762</v>
      </c>
      <c r="Z27" s="126">
        <f t="shared" ca="1" si="11"/>
        <v>221.97125595539794</v>
      </c>
      <c r="AA27" s="125">
        <f t="shared" ca="1" si="12"/>
        <v>0</v>
      </c>
      <c r="AB27" s="126">
        <f t="shared" ca="1" si="13"/>
        <v>0</v>
      </c>
      <c r="AC27" s="124">
        <v>2.5</v>
      </c>
      <c r="AD27" s="125">
        <f t="shared" ca="1" si="14"/>
        <v>14860.873943233659</v>
      </c>
      <c r="AE27" s="125">
        <f t="shared" ca="1" si="15"/>
        <v>11653.490937658391</v>
      </c>
      <c r="AF27" s="35">
        <f t="shared" ca="1" si="16"/>
        <v>2220.5903593337653</v>
      </c>
      <c r="AG27" s="70">
        <f t="shared" ca="1" si="16"/>
        <v>1741.3262320638976</v>
      </c>
      <c r="AH27" s="35">
        <f t="shared" ca="1" si="2"/>
        <v>17081.464302567423</v>
      </c>
      <c r="AI27" s="35">
        <f t="shared" ca="1" si="2"/>
        <v>13394.817169722288</v>
      </c>
      <c r="AJ27" s="35">
        <f t="shared" ca="1" si="3"/>
        <v>5124.4392907702268</v>
      </c>
      <c r="AK27" s="70">
        <f t="shared" ca="1" si="3"/>
        <v>4018.4451509166861</v>
      </c>
      <c r="AL27" s="35">
        <f t="shared" ca="1" si="17"/>
        <v>22205.903593337651</v>
      </c>
      <c r="AM27" s="70">
        <f t="shared" ca="1" si="22"/>
        <v>17413.262320638973</v>
      </c>
      <c r="AN27" s="165">
        <v>0.96</v>
      </c>
      <c r="AO27" s="33">
        <f>'Исходные данные'!$C$55</f>
        <v>0.84</v>
      </c>
      <c r="AP27" s="74">
        <f>(G27*AN27)*AO27/100</f>
        <v>2.4192000000000002E-2</v>
      </c>
      <c r="AQ27" s="33" t="s">
        <v>152</v>
      </c>
      <c r="AR27" s="78" t="e">
        <f>'Исходные данные'!#REF!</f>
        <v>#REF!</v>
      </c>
      <c r="AS27" s="36" t="e">
        <f>AP27*AR27</f>
        <v>#REF!</v>
      </c>
      <c r="AT27" s="32"/>
      <c r="AU27" s="36"/>
      <c r="AV27" s="36"/>
      <c r="AW27" s="36"/>
      <c r="AX27" s="36"/>
      <c r="AY27" s="36"/>
      <c r="AZ27" s="36"/>
      <c r="BA27" s="36"/>
      <c r="BB27" s="36"/>
      <c r="BC27" s="36"/>
      <c r="BD27" s="36"/>
      <c r="BE27" s="36"/>
      <c r="BF27" s="36"/>
      <c r="BG27" s="36"/>
      <c r="BH27" s="36"/>
      <c r="BI27" s="36">
        <f>аморт!$G$11</f>
        <v>181.91312849162011</v>
      </c>
      <c r="BJ27" s="36">
        <f>BI27*L27</f>
        <v>1091.4787709497207</v>
      </c>
      <c r="BK27" s="80">
        <f>аморт!$G$23</f>
        <v>48.426111111111105</v>
      </c>
      <c r="BL27" s="36">
        <f>BK27*L27</f>
        <v>290.55666666666662</v>
      </c>
      <c r="BM27" s="36"/>
      <c r="BN27" s="38">
        <v>82.4</v>
      </c>
      <c r="BO27" s="36">
        <f>BN27*BY27</f>
        <v>2521.44</v>
      </c>
      <c r="BP27" s="38">
        <v>13.9</v>
      </c>
      <c r="BQ27" s="36">
        <f>BP27*BY27</f>
        <v>425.34</v>
      </c>
      <c r="BR27" s="38">
        <f>4.8*1.045*1.054</f>
        <v>5.2868639999999996</v>
      </c>
      <c r="BS27" s="36">
        <f>BR27*BY27</f>
        <v>161.77803839999999</v>
      </c>
      <c r="BT27" s="36">
        <f>аморт!$C$23*10%/аморт!$E$23*L27*7</f>
        <v>46128.776400000002</v>
      </c>
      <c r="BU27" s="36" t="e">
        <f t="shared" ca="1" si="18"/>
        <v>#REF!</v>
      </c>
      <c r="BV27" s="36" t="e">
        <f t="shared" ca="1" si="19"/>
        <v>#REF!</v>
      </c>
      <c r="BW27" s="38">
        <f t="shared" si="20"/>
        <v>0.84</v>
      </c>
      <c r="BX27" s="38">
        <v>5.0999999999999996</v>
      </c>
      <c r="BY27" s="39">
        <f>BX27*L27</f>
        <v>30.599999999999998</v>
      </c>
    </row>
    <row r="28" spans="1:77" x14ac:dyDescent="0.2">
      <c r="A28" s="20">
        <f t="shared" si="5"/>
        <v>7</v>
      </c>
      <c r="B28" s="27" t="s">
        <v>24</v>
      </c>
      <c r="C28" s="66">
        <v>3</v>
      </c>
      <c r="D28" s="478" t="s">
        <v>118</v>
      </c>
      <c r="E28" s="479"/>
      <c r="F28" s="28" t="s">
        <v>109</v>
      </c>
      <c r="G28" s="177">
        <f>G27</f>
        <v>3</v>
      </c>
      <c r="H28" s="129">
        <v>42536</v>
      </c>
      <c r="I28" s="129">
        <v>42538</v>
      </c>
      <c r="J28" s="173">
        <f t="shared" si="4"/>
        <v>2</v>
      </c>
      <c r="K28" s="164">
        <f>G28/6</f>
        <v>0.5</v>
      </c>
      <c r="L28" s="33">
        <f t="shared" si="6"/>
        <v>6</v>
      </c>
      <c r="M28" s="34"/>
      <c r="N28" s="34">
        <v>1</v>
      </c>
      <c r="O28" s="35">
        <f>IF(M28=0,0,L28*$O$17)</f>
        <v>0</v>
      </c>
      <c r="P28" s="35">
        <f>IF(N28=0,0,L28*$O$17)</f>
        <v>42</v>
      </c>
      <c r="Q28" s="34">
        <v>2</v>
      </c>
      <c r="R28" s="78">
        <f>IF(AND(O28&gt;0,Q28&gt;0),SUMIF('Исходные данные'!$C$14:H30,Q28,'Исходные данные'!$C$18:$H$18),IF(O28=0,0,IF(Q28=0,"РОТ")))</f>
        <v>0</v>
      </c>
      <c r="S28" s="34">
        <v>2</v>
      </c>
      <c r="T28" s="78">
        <f ca="1">IF(AND(N28&gt;0,P28&gt;0),SUMIF('Исходные данные'!$C$14:$J$30,S28,'Исходные данные'!$C$34:$J$41),IF(N28=0,0,IF(S28=0,"РОТ")))</f>
        <v>105.700598073999</v>
      </c>
      <c r="U28" s="125">
        <f>O28*R28*'Исходные данные'!$C$39%</f>
        <v>0</v>
      </c>
      <c r="V28" s="125">
        <f ca="1">P28*T28*'Исходные данные'!$C$40%</f>
        <v>0</v>
      </c>
      <c r="W28" s="125">
        <f t="shared" si="8"/>
        <v>0</v>
      </c>
      <c r="X28" s="126">
        <f t="shared" ca="1" si="9"/>
        <v>0</v>
      </c>
      <c r="Y28" s="125">
        <f t="shared" si="10"/>
        <v>0</v>
      </c>
      <c r="Z28" s="126">
        <f t="shared" ca="1" si="11"/>
        <v>221.97125595539794</v>
      </c>
      <c r="AA28" s="125">
        <f t="shared" si="12"/>
        <v>0</v>
      </c>
      <c r="AB28" s="126">
        <f t="shared" ca="1" si="13"/>
        <v>0</v>
      </c>
      <c r="AC28" s="124">
        <v>2.5</v>
      </c>
      <c r="AD28" s="125">
        <f t="shared" si="14"/>
        <v>0</v>
      </c>
      <c r="AE28" s="125">
        <f t="shared" ca="1" si="15"/>
        <v>11653.490937658391</v>
      </c>
      <c r="AF28" s="35">
        <f t="shared" ca="1" si="16"/>
        <v>0</v>
      </c>
      <c r="AG28" s="70">
        <f t="shared" ca="1" si="16"/>
        <v>1741.3262320638976</v>
      </c>
      <c r="AH28" s="35">
        <f t="shared" ca="1" si="2"/>
        <v>0</v>
      </c>
      <c r="AI28" s="35">
        <f t="shared" ca="1" si="2"/>
        <v>13394.817169722288</v>
      </c>
      <c r="AJ28" s="35">
        <f t="shared" ca="1" si="3"/>
        <v>0</v>
      </c>
      <c r="AK28" s="70">
        <f t="shared" ca="1" si="3"/>
        <v>4018.4451509166861</v>
      </c>
      <c r="AL28" s="35">
        <f t="shared" ca="1" si="17"/>
        <v>0</v>
      </c>
      <c r="AM28" s="70">
        <f t="shared" ca="1" si="22"/>
        <v>17413.262320638973</v>
      </c>
      <c r="AN28" s="165"/>
      <c r="AO28" s="32"/>
      <c r="AP28" s="74"/>
      <c r="AQ28" s="33"/>
      <c r="AR28" s="32"/>
      <c r="AS28" s="36"/>
      <c r="AT28" s="32"/>
      <c r="AU28" s="36"/>
      <c r="AV28" s="36"/>
      <c r="AW28" s="36"/>
      <c r="AX28" s="36"/>
      <c r="AY28" s="36"/>
      <c r="AZ28" s="36"/>
      <c r="BA28" s="36"/>
      <c r="BB28" s="36"/>
      <c r="BC28" s="36"/>
      <c r="BD28" s="36"/>
      <c r="BE28" s="36"/>
      <c r="BF28" s="36"/>
      <c r="BG28" s="36"/>
      <c r="BH28" s="36"/>
      <c r="BI28" s="36"/>
      <c r="BJ28" s="36"/>
      <c r="BK28" s="80"/>
      <c r="BL28" s="36"/>
      <c r="BM28" s="36"/>
      <c r="BN28" s="38"/>
      <c r="BO28" s="36"/>
      <c r="BP28" s="38"/>
      <c r="BQ28" s="36"/>
      <c r="BR28" s="38"/>
      <c r="BS28" s="36"/>
      <c r="BT28" s="36"/>
      <c r="BU28" s="36">
        <f t="shared" ca="1" si="18"/>
        <v>17413.262320638973</v>
      </c>
      <c r="BV28" s="36">
        <f ca="1">BU28/$D$6</f>
        <v>174.13262320638972</v>
      </c>
      <c r="BW28" s="38">
        <f>(O28+P28)/$D$6</f>
        <v>0.42</v>
      </c>
      <c r="BX28" s="38"/>
      <c r="BY28" s="39"/>
    </row>
    <row r="29" spans="1:77" ht="22.5" x14ac:dyDescent="0.2">
      <c r="A29" s="20">
        <f t="shared" si="5"/>
        <v>8</v>
      </c>
      <c r="B29" s="27" t="s">
        <v>25</v>
      </c>
      <c r="C29" s="66">
        <v>3</v>
      </c>
      <c r="D29" s="478" t="s">
        <v>118</v>
      </c>
      <c r="E29" s="479"/>
      <c r="F29" s="28" t="s">
        <v>109</v>
      </c>
      <c r="G29" s="36">
        <f>AY32</f>
        <v>50</v>
      </c>
      <c r="H29" s="129">
        <v>42536</v>
      </c>
      <c r="I29" s="129">
        <v>42538</v>
      </c>
      <c r="J29" s="173">
        <f t="shared" si="4"/>
        <v>2</v>
      </c>
      <c r="K29" s="164">
        <f>50/6</f>
        <v>8.3333333333333339</v>
      </c>
      <c r="L29" s="33">
        <f t="shared" si="6"/>
        <v>6</v>
      </c>
      <c r="M29" s="34"/>
      <c r="N29" s="34">
        <v>1</v>
      </c>
      <c r="O29" s="35">
        <f t="shared" si="21"/>
        <v>0</v>
      </c>
      <c r="P29" s="35">
        <f t="shared" si="7"/>
        <v>42</v>
      </c>
      <c r="Q29" s="34">
        <v>2</v>
      </c>
      <c r="R29" s="78">
        <f>IF(AND(O29&gt;0,Q29&gt;0),SUMIF('Исходные данные'!$C$14:H30,Q29,'Исходные данные'!$C$18:$H$18),IF(O29=0,0,IF(Q29=0,"РОТ")))</f>
        <v>0</v>
      </c>
      <c r="S29" s="34">
        <v>2</v>
      </c>
      <c r="T29" s="78">
        <f ca="1">IF(AND(N29&gt;0,P29&gt;0),SUMIF('Исходные данные'!$C$14:$J$30,S29,'Исходные данные'!$C$34:$J$41),IF(N29=0,0,IF(S29=0,"РОТ")))</f>
        <v>105.700598073999</v>
      </c>
      <c r="U29" s="125">
        <f>O29*R29*'Исходные данные'!$C$39%</f>
        <v>0</v>
      </c>
      <c r="V29" s="125">
        <f ca="1">P29*T29*'Исходные данные'!$C$40%</f>
        <v>0</v>
      </c>
      <c r="W29" s="125">
        <f t="shared" si="8"/>
        <v>0</v>
      </c>
      <c r="X29" s="126">
        <f t="shared" ca="1" si="9"/>
        <v>0</v>
      </c>
      <c r="Y29" s="125">
        <f t="shared" si="10"/>
        <v>0</v>
      </c>
      <c r="Z29" s="126">
        <f t="shared" ca="1" si="11"/>
        <v>221.97125595539794</v>
      </c>
      <c r="AA29" s="125">
        <f t="shared" si="12"/>
        <v>0</v>
      </c>
      <c r="AB29" s="126">
        <f t="shared" ca="1" si="13"/>
        <v>0</v>
      </c>
      <c r="AC29" s="124">
        <v>2.5</v>
      </c>
      <c r="AD29" s="125">
        <f t="shared" si="14"/>
        <v>0</v>
      </c>
      <c r="AE29" s="125">
        <f t="shared" ca="1" si="15"/>
        <v>11653.490937658391</v>
      </c>
      <c r="AF29" s="35">
        <f t="shared" ca="1" si="16"/>
        <v>0</v>
      </c>
      <c r="AG29" s="70">
        <f t="shared" ca="1" si="16"/>
        <v>1741.3262320638976</v>
      </c>
      <c r="AH29" s="35">
        <f t="shared" ca="1" si="2"/>
        <v>0</v>
      </c>
      <c r="AI29" s="35">
        <f t="shared" ca="1" si="2"/>
        <v>13394.817169722288</v>
      </c>
      <c r="AJ29" s="35">
        <f t="shared" ca="1" si="3"/>
        <v>0</v>
      </c>
      <c r="AK29" s="70">
        <f t="shared" ca="1" si="3"/>
        <v>4018.4451509166861</v>
      </c>
      <c r="AL29" s="35">
        <f t="shared" ca="1" si="17"/>
        <v>0</v>
      </c>
      <c r="AM29" s="70">
        <f t="shared" ca="1" si="22"/>
        <v>17413.262320638973</v>
      </c>
      <c r="AN29" s="165"/>
      <c r="AO29" s="32"/>
      <c r="AP29" s="74"/>
      <c r="AQ29" s="33"/>
      <c r="AR29" s="32"/>
      <c r="AS29" s="36"/>
      <c r="AT29" s="32"/>
      <c r="AU29" s="36"/>
      <c r="AV29" s="36"/>
      <c r="AW29" s="36"/>
      <c r="AX29" s="36"/>
      <c r="AY29" s="36"/>
      <c r="AZ29" s="36"/>
      <c r="BA29" s="36"/>
      <c r="BB29" s="36"/>
      <c r="BC29" s="36"/>
      <c r="BD29" s="36"/>
      <c r="BE29" s="36"/>
      <c r="BF29" s="36"/>
      <c r="BG29" s="36"/>
      <c r="BH29" s="36"/>
      <c r="BI29" s="36"/>
      <c r="BJ29" s="36"/>
      <c r="BK29" s="80"/>
      <c r="BL29" s="36"/>
      <c r="BM29" s="36"/>
      <c r="BN29" s="38"/>
      <c r="BO29" s="36"/>
      <c r="BP29" s="38"/>
      <c r="BQ29" s="36"/>
      <c r="BR29" s="38"/>
      <c r="BS29" s="36"/>
      <c r="BT29" s="36"/>
      <c r="BU29" s="36">
        <f t="shared" ca="1" si="18"/>
        <v>17413.262320638973</v>
      </c>
      <c r="BV29" s="36">
        <f t="shared" ca="1" si="19"/>
        <v>174.13262320638972</v>
      </c>
      <c r="BW29" s="38">
        <f t="shared" si="20"/>
        <v>0.42</v>
      </c>
      <c r="BX29" s="38"/>
      <c r="BY29" s="39"/>
    </row>
    <row r="30" spans="1:77" ht="33.75" x14ac:dyDescent="0.2">
      <c r="A30" s="20">
        <f t="shared" si="5"/>
        <v>9</v>
      </c>
      <c r="B30" s="27" t="s">
        <v>75</v>
      </c>
      <c r="C30" s="66">
        <v>3</v>
      </c>
      <c r="D30" s="30" t="s">
        <v>105</v>
      </c>
      <c r="E30" s="31" t="s">
        <v>115</v>
      </c>
      <c r="F30" s="28" t="s">
        <v>109</v>
      </c>
      <c r="G30" s="36">
        <f>G29</f>
        <v>50</v>
      </c>
      <c r="H30" s="129">
        <v>42536</v>
      </c>
      <c r="I30" s="129">
        <v>42538</v>
      </c>
      <c r="J30" s="173">
        <f t="shared" si="4"/>
        <v>2</v>
      </c>
      <c r="K30" s="164">
        <f>50/6</f>
        <v>8.3333333333333339</v>
      </c>
      <c r="L30" s="33">
        <f t="shared" si="6"/>
        <v>6</v>
      </c>
      <c r="M30" s="34">
        <v>1</v>
      </c>
      <c r="N30" s="34">
        <v>1</v>
      </c>
      <c r="O30" s="35">
        <f t="shared" si="21"/>
        <v>42</v>
      </c>
      <c r="P30" s="35">
        <f t="shared" si="7"/>
        <v>42</v>
      </c>
      <c r="Q30" s="34">
        <v>2</v>
      </c>
      <c r="R30" s="78">
        <f ca="1">IF(AND(O30&gt;0,Q30&gt;0),SUMIF('Исходные данные'!$C$14:H31,Q30,'Исходные данные'!$C$18:$H$18),IF(O30=0,0,IF(Q30=0,"РОТ")))</f>
        <v>128.66557526609228</v>
      </c>
      <c r="S30" s="34">
        <v>2</v>
      </c>
      <c r="T30" s="78">
        <f ca="1">IF(AND(N30&gt;0,P30&gt;0),SUMIF('Исходные данные'!$C$14:$J$30,S30,'Исходные данные'!$C$34:$J$41),IF(N30=0,0,IF(S30=0,"РОТ")))</f>
        <v>105.700598073999</v>
      </c>
      <c r="U30" s="125">
        <f ca="1">O30*R30*'Исходные данные'!$C$39%</f>
        <v>0</v>
      </c>
      <c r="V30" s="125">
        <f ca="1">P30*T30*'Исходные данные'!$C$40%</f>
        <v>0</v>
      </c>
      <c r="W30" s="125">
        <f t="shared" ca="1" si="8"/>
        <v>0</v>
      </c>
      <c r="X30" s="126">
        <f t="shared" ca="1" si="9"/>
        <v>0</v>
      </c>
      <c r="Y30" s="125">
        <f t="shared" ca="1" si="10"/>
        <v>540.39541611758762</v>
      </c>
      <c r="Z30" s="126">
        <f t="shared" ca="1" si="11"/>
        <v>221.97125595539794</v>
      </c>
      <c r="AA30" s="125">
        <f t="shared" ca="1" si="12"/>
        <v>0</v>
      </c>
      <c r="AB30" s="126">
        <f t="shared" ca="1" si="13"/>
        <v>0</v>
      </c>
      <c r="AC30" s="124">
        <v>2.5</v>
      </c>
      <c r="AD30" s="125">
        <f t="shared" ca="1" si="14"/>
        <v>14860.873943233659</v>
      </c>
      <c r="AE30" s="125">
        <f t="shared" ca="1" si="15"/>
        <v>11653.490937658391</v>
      </c>
      <c r="AF30" s="35">
        <f t="shared" ca="1" si="16"/>
        <v>2220.5903593337653</v>
      </c>
      <c r="AG30" s="70">
        <f t="shared" ca="1" si="16"/>
        <v>1741.3262320638976</v>
      </c>
      <c r="AH30" s="35">
        <f t="shared" ca="1" si="2"/>
        <v>17081.464302567423</v>
      </c>
      <c r="AI30" s="35">
        <f t="shared" ca="1" si="2"/>
        <v>13394.817169722288</v>
      </c>
      <c r="AJ30" s="35">
        <f t="shared" ca="1" si="3"/>
        <v>5124.4392907702268</v>
      </c>
      <c r="AK30" s="70">
        <f t="shared" ca="1" si="3"/>
        <v>4018.4451509166861</v>
      </c>
      <c r="AL30" s="35">
        <f t="shared" ca="1" si="17"/>
        <v>22205.903593337651</v>
      </c>
      <c r="AM30" s="70">
        <f t="shared" ca="1" si="22"/>
        <v>17413.262320638973</v>
      </c>
      <c r="AN30" s="165">
        <v>0.96</v>
      </c>
      <c r="AO30" s="33">
        <f>'Исходные данные'!$C$55</f>
        <v>0.84</v>
      </c>
      <c r="AP30" s="74">
        <f>(G30*AN30)*AO30/100</f>
        <v>0.4032</v>
      </c>
      <c r="AQ30" s="33" t="s">
        <v>152</v>
      </c>
      <c r="AR30" s="78" t="e">
        <f>'Исходные данные'!#REF!</f>
        <v>#REF!</v>
      </c>
      <c r="AS30" s="36" t="e">
        <f>AP30*AR30</f>
        <v>#REF!</v>
      </c>
      <c r="AT30" s="32"/>
      <c r="AU30" s="36"/>
      <c r="AV30" s="36"/>
      <c r="AW30" s="36"/>
      <c r="AX30" s="36"/>
      <c r="AY30" s="36"/>
      <c r="AZ30" s="36"/>
      <c r="BA30" s="36"/>
      <c r="BB30" s="36"/>
      <c r="BC30" s="36"/>
      <c r="BD30" s="36"/>
      <c r="BE30" s="36"/>
      <c r="BF30" s="36"/>
      <c r="BG30" s="36"/>
      <c r="BH30" s="36"/>
      <c r="BI30" s="36">
        <f>аморт!$G$11</f>
        <v>181.91312849162011</v>
      </c>
      <c r="BJ30" s="36">
        <f>BI30*L30</f>
        <v>1091.4787709497207</v>
      </c>
      <c r="BK30" s="80">
        <f>аморт!$G$23</f>
        <v>48.426111111111105</v>
      </c>
      <c r="BL30" s="36">
        <f>BK30*L30</f>
        <v>290.55666666666662</v>
      </c>
      <c r="BM30" s="36"/>
      <c r="BN30" s="38">
        <v>82.4</v>
      </c>
      <c r="BO30" s="36">
        <f>BN30*BY30</f>
        <v>2521.44</v>
      </c>
      <c r="BP30" s="38">
        <v>13.9</v>
      </c>
      <c r="BQ30" s="36">
        <f>BP30*BY30</f>
        <v>425.34</v>
      </c>
      <c r="BR30" s="38">
        <f>4.8*1.045*1.054</f>
        <v>5.2868639999999996</v>
      </c>
      <c r="BS30" s="36">
        <f>BR30*BY30</f>
        <v>161.77803839999999</v>
      </c>
      <c r="BT30" s="36">
        <f>аморт!$C$23*10%/аморт!$E$23*L30*7</f>
        <v>46128.776400000002</v>
      </c>
      <c r="BU30" s="36" t="e">
        <f t="shared" ca="1" si="18"/>
        <v>#REF!</v>
      </c>
      <c r="BV30" s="36" t="e">
        <f t="shared" ca="1" si="19"/>
        <v>#REF!</v>
      </c>
      <c r="BW30" s="38">
        <f t="shared" si="20"/>
        <v>0.84</v>
      </c>
      <c r="BX30" s="38">
        <v>5.0999999999999996</v>
      </c>
      <c r="BY30" s="39">
        <f>BX30*L30</f>
        <v>30.599999999999998</v>
      </c>
    </row>
    <row r="31" spans="1:77" ht="22.5" x14ac:dyDescent="0.2">
      <c r="A31" s="20">
        <f t="shared" si="5"/>
        <v>10</v>
      </c>
      <c r="B31" s="27" t="s">
        <v>26</v>
      </c>
      <c r="C31" s="66">
        <v>3</v>
      </c>
      <c r="D31" s="478" t="s">
        <v>118</v>
      </c>
      <c r="E31" s="479"/>
      <c r="F31" s="28" t="s">
        <v>109</v>
      </c>
      <c r="G31" s="36">
        <f>G30</f>
        <v>50</v>
      </c>
      <c r="H31" s="129">
        <v>42536</v>
      </c>
      <c r="I31" s="129">
        <v>42538</v>
      </c>
      <c r="J31" s="173">
        <f t="shared" si="4"/>
        <v>2</v>
      </c>
      <c r="K31" s="164">
        <f>50/6</f>
        <v>8.3333333333333339</v>
      </c>
      <c r="L31" s="33">
        <f t="shared" si="6"/>
        <v>6</v>
      </c>
      <c r="M31" s="34"/>
      <c r="N31" s="34">
        <v>1</v>
      </c>
      <c r="O31" s="35">
        <f>IF(M31=0,0,L31*$O$17)</f>
        <v>0</v>
      </c>
      <c r="P31" s="35">
        <f t="shared" si="7"/>
        <v>42</v>
      </c>
      <c r="Q31" s="34">
        <v>2</v>
      </c>
      <c r="R31" s="78">
        <f>IF(AND(O31&gt;0,Q31&gt;0),SUMIF('Исходные данные'!$C$14:H32,Q31,'Исходные данные'!$C$18:$H$18),IF(O31=0,0,IF(Q31=0,"РОТ")))</f>
        <v>0</v>
      </c>
      <c r="S31" s="34">
        <v>2</v>
      </c>
      <c r="T31" s="78">
        <f ca="1">IF(AND(N31&gt;0,P31&gt;0),SUMIF('Исходные данные'!$C$14:$J$30,S31,'Исходные данные'!$C$34:$J$41),IF(N31=0,0,IF(S31=0,"РОТ")))</f>
        <v>105.700598073999</v>
      </c>
      <c r="U31" s="125">
        <f>O31*R31*'Исходные данные'!$C$39%</f>
        <v>0</v>
      </c>
      <c r="V31" s="125">
        <f ca="1">P31*T31*'Исходные данные'!$C$40%</f>
        <v>0</v>
      </c>
      <c r="W31" s="125">
        <f t="shared" si="8"/>
        <v>0</v>
      </c>
      <c r="X31" s="126">
        <f t="shared" ca="1" si="9"/>
        <v>0</v>
      </c>
      <c r="Y31" s="125">
        <f t="shared" si="10"/>
        <v>0</v>
      </c>
      <c r="Z31" s="126">
        <f t="shared" ca="1" si="11"/>
        <v>221.97125595539794</v>
      </c>
      <c r="AA31" s="125">
        <f t="shared" si="12"/>
        <v>0</v>
      </c>
      <c r="AB31" s="126">
        <f t="shared" ca="1" si="13"/>
        <v>0</v>
      </c>
      <c r="AC31" s="124">
        <v>2.5</v>
      </c>
      <c r="AD31" s="125">
        <f t="shared" si="14"/>
        <v>0</v>
      </c>
      <c r="AE31" s="125">
        <f t="shared" ca="1" si="15"/>
        <v>11653.490937658391</v>
      </c>
      <c r="AF31" s="35">
        <f t="shared" ca="1" si="16"/>
        <v>0</v>
      </c>
      <c r="AG31" s="70">
        <f t="shared" ca="1" si="16"/>
        <v>1741.3262320638976</v>
      </c>
      <c r="AH31" s="35">
        <f t="shared" ca="1" si="2"/>
        <v>0</v>
      </c>
      <c r="AI31" s="35">
        <f t="shared" ca="1" si="2"/>
        <v>13394.817169722288</v>
      </c>
      <c r="AJ31" s="35">
        <f t="shared" ca="1" si="3"/>
        <v>0</v>
      </c>
      <c r="AK31" s="70">
        <f t="shared" ca="1" si="3"/>
        <v>4018.4451509166861</v>
      </c>
      <c r="AL31" s="35">
        <f t="shared" ca="1" si="17"/>
        <v>0</v>
      </c>
      <c r="AM31" s="70">
        <f t="shared" ca="1" si="22"/>
        <v>17413.262320638973</v>
      </c>
      <c r="AN31" s="165"/>
      <c r="AO31" s="32"/>
      <c r="AP31" s="74"/>
      <c r="AQ31" s="33"/>
      <c r="AR31" s="32"/>
      <c r="AS31" s="36"/>
      <c r="AT31" s="32"/>
      <c r="AU31" s="36"/>
      <c r="AV31" s="36"/>
      <c r="AW31" s="36"/>
      <c r="AX31" s="36"/>
      <c r="AY31" s="36"/>
      <c r="AZ31" s="36"/>
      <c r="BA31" s="36"/>
      <c r="BB31" s="36"/>
      <c r="BC31" s="36"/>
      <c r="BD31" s="36"/>
      <c r="BE31" s="36"/>
      <c r="BF31" s="36"/>
      <c r="BG31" s="36"/>
      <c r="BH31" s="36"/>
      <c r="BI31" s="36"/>
      <c r="BJ31" s="36"/>
      <c r="BK31" s="80"/>
      <c r="BL31" s="36"/>
      <c r="BM31" s="36"/>
      <c r="BN31" s="38"/>
      <c r="BO31" s="36"/>
      <c r="BP31" s="38"/>
      <c r="BQ31" s="36"/>
      <c r="BR31" s="38"/>
      <c r="BS31" s="36"/>
      <c r="BT31" s="36"/>
      <c r="BU31" s="36">
        <f ca="1">AL31+AM31+AS31+AW31+BA31+BE31+BH31+BJ31+BL31+BM31+BO31+BQ31+BS31+BT31</f>
        <v>17413.262320638973</v>
      </c>
      <c r="BV31" s="36">
        <f t="shared" ca="1" si="19"/>
        <v>174.13262320638972</v>
      </c>
      <c r="BW31" s="38">
        <f t="shared" si="20"/>
        <v>0.42</v>
      </c>
      <c r="BX31" s="38"/>
      <c r="BY31" s="39"/>
    </row>
    <row r="32" spans="1:77" ht="67.5" x14ac:dyDescent="0.2">
      <c r="A32" s="20">
        <f t="shared" si="5"/>
        <v>11</v>
      </c>
      <c r="B32" s="27" t="s">
        <v>492</v>
      </c>
      <c r="C32" s="66">
        <v>2</v>
      </c>
      <c r="D32" s="30" t="s">
        <v>183</v>
      </c>
      <c r="E32" s="79" t="s">
        <v>488</v>
      </c>
      <c r="F32" s="28" t="s">
        <v>106</v>
      </c>
      <c r="G32" s="29">
        <f>D6</f>
        <v>100</v>
      </c>
      <c r="H32" s="129">
        <f>H25</f>
        <v>42536</v>
      </c>
      <c r="I32" s="129">
        <v>42538</v>
      </c>
      <c r="J32" s="173">
        <f>I32-H32</f>
        <v>2</v>
      </c>
      <c r="K32" s="164">
        <f>6.7*8</f>
        <v>53.6</v>
      </c>
      <c r="L32" s="33">
        <f t="shared" si="6"/>
        <v>1.8656716417910448</v>
      </c>
      <c r="M32" s="34">
        <v>1</v>
      </c>
      <c r="N32" s="34">
        <v>1</v>
      </c>
      <c r="O32" s="35">
        <f t="shared" si="21"/>
        <v>13.059701492537314</v>
      </c>
      <c r="P32" s="35">
        <f>IF(N32=0,0,L32*$O$17)</f>
        <v>13.059701492537314</v>
      </c>
      <c r="Q32" s="34">
        <v>5</v>
      </c>
      <c r="R32" s="78">
        <f ca="1">IF(AND(O32&gt;0,Q32&gt;0),SUMIF('Исходные данные'!$C$14:H33,Q32,'Исходные данные'!$C$18:$H$18),IF(O32=0,0,IF(Q32=0,"РОТ")))</f>
        <v>179.78980233147493</v>
      </c>
      <c r="S32" s="34">
        <v>2</v>
      </c>
      <c r="T32" s="78">
        <f ca="1">IF(AND(N32&gt;0,P32&gt;0),SUMIF('Исходные данные'!$C$14:$J$30,S32,'Исходные данные'!$C$34:$J$41),IF(N32=0,0,IF(S32=0,"РОТ")))</f>
        <v>105.700598073999</v>
      </c>
      <c r="U32" s="125">
        <f ca="1">O32*R32*'Исходные данные'!$C$39%</f>
        <v>0</v>
      </c>
      <c r="V32" s="125">
        <f ca="1">P32*T32*'Исходные данные'!$C$40%</f>
        <v>0</v>
      </c>
      <c r="W32" s="125">
        <f t="shared" ca="1" si="8"/>
        <v>0</v>
      </c>
      <c r="X32" s="126">
        <f t="shared" ca="1" si="9"/>
        <v>0</v>
      </c>
      <c r="Y32" s="125">
        <f t="shared" ca="1" si="10"/>
        <v>234.8001149851352</v>
      </c>
      <c r="Z32" s="126">
        <f t="shared" ca="1" si="11"/>
        <v>69.020912921454581</v>
      </c>
      <c r="AA32" s="125">
        <f t="shared" ca="1" si="12"/>
        <v>0</v>
      </c>
      <c r="AB32" s="126">
        <f t="shared" ca="1" si="13"/>
        <v>0</v>
      </c>
      <c r="AC32" s="124">
        <v>2.5</v>
      </c>
      <c r="AD32" s="125">
        <f t="shared" ca="1" si="14"/>
        <v>6457.0031620912177</v>
      </c>
      <c r="AE32" s="125">
        <f t="shared" ca="1" si="15"/>
        <v>3623.5979283763654</v>
      </c>
      <c r="AF32" s="35">
        <f t="shared" ca="1" si="16"/>
        <v>964.83955295615908</v>
      </c>
      <c r="AG32" s="70">
        <f t="shared" ca="1" si="16"/>
        <v>541.457161711411</v>
      </c>
      <c r="AH32" s="35">
        <f t="shared" ca="1" si="2"/>
        <v>7421.8427150473772</v>
      </c>
      <c r="AI32" s="35">
        <f t="shared" ca="1" si="2"/>
        <v>4165.0550900877761</v>
      </c>
      <c r="AJ32" s="35">
        <f t="shared" ca="1" si="3"/>
        <v>2226.552814514213</v>
      </c>
      <c r="AK32" s="70">
        <f t="shared" ca="1" si="3"/>
        <v>1249.5165270263328</v>
      </c>
      <c r="AL32" s="35">
        <f t="shared" ca="1" si="17"/>
        <v>9648.3955295615906</v>
      </c>
      <c r="AM32" s="70">
        <f t="shared" ca="1" si="22"/>
        <v>5414.5716171141084</v>
      </c>
      <c r="AN32" s="165">
        <v>9</v>
      </c>
      <c r="AO32" s="33">
        <f>'Исходные данные'!$C$55</f>
        <v>0.84</v>
      </c>
      <c r="AP32" s="74">
        <f>(G32*AN32)*AO32/100</f>
        <v>7.56</v>
      </c>
      <c r="AQ32" s="33" t="s">
        <v>152</v>
      </c>
      <c r="AR32" s="78" t="e">
        <f>'Исходные данные'!#REF!</f>
        <v>#REF!</v>
      </c>
      <c r="AS32" s="36" t="e">
        <f>AP32*AR32</f>
        <v>#REF!</v>
      </c>
      <c r="AT32" s="165">
        <v>0.3</v>
      </c>
      <c r="AU32" s="36">
        <f>AT32*G32/10</f>
        <v>3</v>
      </c>
      <c r="AV32" s="74">
        <v>20</v>
      </c>
      <c r="AW32" s="36">
        <f>AU32*AV32*1000</f>
        <v>60000</v>
      </c>
      <c r="AX32" s="38">
        <v>5</v>
      </c>
      <c r="AY32" s="36">
        <f>AX32*G32/10</f>
        <v>50</v>
      </c>
      <c r="AZ32" s="38" t="e">
        <f>Нормы!#REF!</f>
        <v>#REF!</v>
      </c>
      <c r="BA32" s="36" t="e">
        <f>AY32*AZ32*1000</f>
        <v>#REF!</v>
      </c>
      <c r="BB32" s="36"/>
      <c r="BC32" s="36"/>
      <c r="BD32" s="36"/>
      <c r="BE32" s="36"/>
      <c r="BF32" s="36"/>
      <c r="BG32" s="36"/>
      <c r="BH32" s="36"/>
      <c r="BI32" s="36">
        <f>аморт!$G$11</f>
        <v>181.91312849162011</v>
      </c>
      <c r="BJ32" s="36">
        <f>BI32*L32</f>
        <v>339.39016509630619</v>
      </c>
      <c r="BK32" s="36">
        <f>аморт!$G$83</f>
        <v>214.94602272727272</v>
      </c>
      <c r="BL32" s="36">
        <f>BK32*L32</f>
        <v>401.01869911804613</v>
      </c>
      <c r="BM32" s="36"/>
      <c r="BN32" s="38">
        <v>82.4</v>
      </c>
      <c r="BO32" s="36">
        <f>BN32*BY32</f>
        <v>784.02985074626872</v>
      </c>
      <c r="BP32" s="38">
        <v>13.9</v>
      </c>
      <c r="BQ32" s="36">
        <f>BP32*BY32</f>
        <v>132.25746268656718</v>
      </c>
      <c r="BR32" s="38">
        <f>4.8*1.045*1.054</f>
        <v>5.2868639999999996</v>
      </c>
      <c r="BS32" s="36">
        <f>BR32*BY32</f>
        <v>50.304116417910443</v>
      </c>
      <c r="BT32" s="36">
        <f>аморт!$C$83*10%/аморт!$E$83*L32*7</f>
        <v>19762.201492537315</v>
      </c>
      <c r="BU32" s="36" t="e">
        <f t="shared" ca="1" si="18"/>
        <v>#REF!</v>
      </c>
      <c r="BV32" s="36" t="e">
        <f t="shared" ca="1" si="19"/>
        <v>#REF!</v>
      </c>
      <c r="BW32" s="38">
        <f>(O32+P32)/$D$6</f>
        <v>0.2611940298507463</v>
      </c>
      <c r="BX32" s="38">
        <v>5.0999999999999996</v>
      </c>
      <c r="BY32" s="39">
        <f>BX32*L32</f>
        <v>9.5149253731343286</v>
      </c>
    </row>
    <row r="33" spans="1:77" x14ac:dyDescent="0.2">
      <c r="A33" s="20"/>
      <c r="B33" s="27"/>
      <c r="C33" s="66"/>
      <c r="D33" s="30"/>
      <c r="E33" s="31"/>
      <c r="F33" s="28"/>
      <c r="G33" s="29"/>
      <c r="H33" s="76"/>
      <c r="I33" s="76"/>
      <c r="J33" s="78"/>
      <c r="K33" s="32"/>
      <c r="L33" s="33"/>
      <c r="M33" s="34"/>
      <c r="N33" s="34"/>
      <c r="O33" s="35"/>
      <c r="P33" s="35"/>
      <c r="Q33" s="34"/>
      <c r="R33" s="78"/>
      <c r="S33" s="34"/>
      <c r="T33" s="33"/>
      <c r="U33" s="125"/>
      <c r="V33" s="125"/>
      <c r="W33" s="125"/>
      <c r="X33" s="126"/>
      <c r="Y33" s="125"/>
      <c r="Z33" s="126"/>
      <c r="AA33" s="125"/>
      <c r="AB33" s="126"/>
      <c r="AC33" s="124"/>
      <c r="AD33" s="125"/>
      <c r="AE33" s="125"/>
      <c r="AF33" s="35"/>
      <c r="AG33" s="70"/>
      <c r="AH33" s="35"/>
      <c r="AI33" s="35"/>
      <c r="AJ33" s="35"/>
      <c r="AK33" s="70"/>
      <c r="AL33" s="35"/>
      <c r="AM33" s="70"/>
      <c r="AN33" s="32"/>
      <c r="AO33" s="33"/>
      <c r="AP33" s="74"/>
      <c r="AQ33" s="33"/>
      <c r="AR33" s="78"/>
      <c r="AS33" s="36"/>
      <c r="AT33" s="32"/>
      <c r="AU33" s="36"/>
      <c r="AV33" s="36"/>
      <c r="AW33" s="36"/>
      <c r="AX33" s="36"/>
      <c r="AY33" s="36"/>
      <c r="AZ33" s="36"/>
      <c r="BA33" s="36"/>
      <c r="BB33" s="36"/>
      <c r="BC33" s="36"/>
      <c r="BD33" s="36"/>
      <c r="BE33" s="36"/>
      <c r="BF33" s="36"/>
      <c r="BG33" s="36"/>
      <c r="BH33" s="36"/>
      <c r="BI33" s="36"/>
      <c r="BJ33" s="36"/>
      <c r="BK33" s="36"/>
      <c r="BL33" s="36"/>
      <c r="BM33" s="36"/>
      <c r="BN33" s="38"/>
      <c r="BO33" s="36"/>
      <c r="BP33" s="38"/>
      <c r="BQ33" s="36"/>
      <c r="BR33" s="38"/>
      <c r="BS33" s="36"/>
      <c r="BT33" s="36"/>
      <c r="BU33" s="36"/>
      <c r="BV33" s="36"/>
      <c r="BW33" s="38"/>
      <c r="BX33" s="38"/>
      <c r="BY33" s="39"/>
    </row>
    <row r="34" spans="1:77" s="54" customFormat="1" x14ac:dyDescent="0.2">
      <c r="A34" s="52"/>
      <c r="B34" s="53" t="s">
        <v>21</v>
      </c>
      <c r="C34" s="53"/>
      <c r="D34" s="53"/>
      <c r="E34" s="53"/>
      <c r="F34" s="55"/>
      <c r="G34" s="56"/>
      <c r="H34" s="56"/>
      <c r="I34" s="56"/>
      <c r="J34" s="65">
        <f>SUM(J22:J33)</f>
        <v>33</v>
      </c>
      <c r="K34" s="65"/>
      <c r="L34" s="65">
        <f>SUM(L22:L33)</f>
        <v>57.359719260838666</v>
      </c>
      <c r="M34" s="65">
        <f>SUM(M22:M33)</f>
        <v>8</v>
      </c>
      <c r="N34" s="65">
        <f>SUM(N22:N33)</f>
        <v>7</v>
      </c>
      <c r="O34" s="65">
        <f>SUM(O22:O33)</f>
        <v>275.5180348258707</v>
      </c>
      <c r="P34" s="65">
        <f>SUM(P22:P33)</f>
        <v>265.05970149253733</v>
      </c>
      <c r="Q34" s="65"/>
      <c r="R34" s="65"/>
      <c r="S34" s="65"/>
      <c r="T34" s="65"/>
      <c r="U34" s="65">
        <f t="shared" ref="U34:AM34" ca="1" si="23">SUM(U22:U33)</f>
        <v>0</v>
      </c>
      <c r="V34" s="65">
        <f t="shared" ca="1" si="23"/>
        <v>0</v>
      </c>
      <c r="W34" s="65">
        <f t="shared" ca="1" si="23"/>
        <v>0</v>
      </c>
      <c r="X34" s="65">
        <f t="shared" ca="1" si="23"/>
        <v>0</v>
      </c>
      <c r="Y34" s="65">
        <f t="shared" ca="1" si="23"/>
        <v>4319.0407982086526</v>
      </c>
      <c r="Z34" s="65">
        <f t="shared" ca="1" si="23"/>
        <v>1400.8484486538421</v>
      </c>
      <c r="AA34" s="65">
        <f t="shared" ca="1" si="23"/>
        <v>0</v>
      </c>
      <c r="AB34" s="65">
        <f t="shared" ca="1" si="23"/>
        <v>0</v>
      </c>
      <c r="AC34" s="65"/>
      <c r="AD34" s="65">
        <f t="shared" ca="1" si="23"/>
        <v>118773.62195073797</v>
      </c>
      <c r="AE34" s="65">
        <f t="shared" ca="1" si="23"/>
        <v>73544.543554326709</v>
      </c>
      <c r="AF34" s="65">
        <f t="shared" ca="1" si="23"/>
        <v>17747.782590340157</v>
      </c>
      <c r="AG34" s="65">
        <f t="shared" ca="1" si="23"/>
        <v>10989.414554094796</v>
      </c>
      <c r="AH34" s="65">
        <f t="shared" ca="1" si="23"/>
        <v>136521.40454107811</v>
      </c>
      <c r="AI34" s="65">
        <f t="shared" ca="1" si="23"/>
        <v>84533.958108421502</v>
      </c>
      <c r="AJ34" s="65">
        <f t="shared" ca="1" si="23"/>
        <v>40956.421362323439</v>
      </c>
      <c r="AK34" s="65">
        <f t="shared" ca="1" si="23"/>
        <v>25360.187432526447</v>
      </c>
      <c r="AL34" s="65">
        <f t="shared" ca="1" si="23"/>
        <v>177477.82590340159</v>
      </c>
      <c r="AM34" s="65">
        <f t="shared" ca="1" si="23"/>
        <v>109894.14554094794</v>
      </c>
      <c r="AN34" s="65"/>
      <c r="AO34" s="65"/>
      <c r="AP34" s="65">
        <f>SUM(AP22:AP33)</f>
        <v>33.919392000000002</v>
      </c>
      <c r="AQ34" s="65"/>
      <c r="AR34" s="65"/>
      <c r="AS34" s="65" t="e">
        <f>SUM(AS22:AS33)</f>
        <v>#REF!</v>
      </c>
      <c r="AT34" s="65"/>
      <c r="AU34" s="65">
        <f>SUM(AU22:AU33)</f>
        <v>3</v>
      </c>
      <c r="AV34" s="65"/>
      <c r="AW34" s="65">
        <f>SUM(AW22:AW33)</f>
        <v>60000</v>
      </c>
      <c r="AX34" s="65"/>
      <c r="AY34" s="65">
        <f>SUM(AY22:AY33)</f>
        <v>50</v>
      </c>
      <c r="AZ34" s="65"/>
      <c r="BA34" s="65" t="e">
        <f>SUM(BA22:BA33)</f>
        <v>#REF!</v>
      </c>
      <c r="BB34" s="65"/>
      <c r="BC34" s="65">
        <f>SUM(BC22:BC33)</f>
        <v>0</v>
      </c>
      <c r="BD34" s="65"/>
      <c r="BE34" s="65">
        <f>SUM(BE22:BE33)</f>
        <v>0</v>
      </c>
      <c r="BF34" s="65"/>
      <c r="BG34" s="65"/>
      <c r="BH34" s="65"/>
      <c r="BI34" s="65"/>
      <c r="BJ34" s="65">
        <f>SUM(BJ22:BJ33)</f>
        <v>4084.2616120032744</v>
      </c>
      <c r="BK34" s="65"/>
      <c r="BL34" s="65">
        <f>SUM(BL22:BL33)</f>
        <v>2216.9069720156754</v>
      </c>
      <c r="BM34" s="65"/>
      <c r="BN34" s="65"/>
      <c r="BO34" s="65">
        <f>SUM(BO22:BO33)</f>
        <v>23268.427707889121</v>
      </c>
      <c r="BP34" s="65"/>
      <c r="BQ34" s="65">
        <f>SUM(BQ22:BQ33)</f>
        <v>2995.0267484008532</v>
      </c>
      <c r="BR34" s="65"/>
      <c r="BS34" s="65">
        <f>SUM(BS22:BS33)</f>
        <v>1868.0876669679103</v>
      </c>
      <c r="BT34" s="65">
        <f>SUM(BT22:BT33)</f>
        <v>238347.68595920398</v>
      </c>
      <c r="BU34" s="65" t="e">
        <f ca="1">SUM(BU22:BU33)</f>
        <v>#REF!</v>
      </c>
      <c r="BV34" s="65"/>
      <c r="BW34" s="65"/>
      <c r="BX34" s="65"/>
      <c r="BY34" s="65">
        <f>SUM(BY22:BY33)</f>
        <v>277.50063965884857</v>
      </c>
    </row>
    <row r="35" spans="1:77" s="7" customFormat="1" x14ac:dyDescent="0.2">
      <c r="A35" s="21"/>
      <c r="B35" s="477" t="s">
        <v>72</v>
      </c>
      <c r="C35" s="477"/>
      <c r="D35" s="477"/>
      <c r="E35" s="477"/>
      <c r="F35" s="22"/>
      <c r="G35" s="23"/>
      <c r="H35" s="23"/>
      <c r="I35" s="23"/>
      <c r="J35" s="23"/>
      <c r="K35" s="23"/>
      <c r="L35" s="40"/>
      <c r="M35" s="23"/>
      <c r="N35" s="23"/>
      <c r="O35" s="41"/>
      <c r="P35" s="41"/>
      <c r="Q35" s="25"/>
      <c r="R35" s="23"/>
      <c r="S35" s="25"/>
      <c r="T35" s="23"/>
      <c r="U35" s="41"/>
      <c r="V35" s="41"/>
      <c r="W35" s="41"/>
      <c r="X35" s="41"/>
      <c r="Y35" s="41"/>
      <c r="Z35" s="41"/>
      <c r="AA35" s="41"/>
      <c r="AB35" s="41"/>
      <c r="AC35" s="41"/>
      <c r="AD35" s="41"/>
      <c r="AE35" s="41"/>
      <c r="AF35" s="41"/>
      <c r="AG35" s="41"/>
      <c r="AH35" s="41"/>
      <c r="AI35" s="41"/>
      <c r="AJ35" s="41"/>
      <c r="AK35" s="41"/>
      <c r="AL35" s="41"/>
      <c r="AM35" s="41"/>
      <c r="AN35" s="23"/>
      <c r="AO35" s="23"/>
      <c r="AP35" s="42"/>
      <c r="AQ35" s="26"/>
      <c r="AR35" s="26"/>
      <c r="AS35" s="42"/>
      <c r="AT35" s="23"/>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row>
    <row r="36" spans="1:77" s="7" customFormat="1" ht="22.5" x14ac:dyDescent="0.2">
      <c r="A36" s="19">
        <v>1</v>
      </c>
      <c r="B36" s="27" t="s">
        <v>73</v>
      </c>
      <c r="C36" s="66">
        <v>1</v>
      </c>
      <c r="D36" s="480" t="s">
        <v>131</v>
      </c>
      <c r="E36" s="481"/>
      <c r="F36" s="28" t="s">
        <v>106</v>
      </c>
      <c r="G36" s="29">
        <v>100</v>
      </c>
      <c r="H36" s="172">
        <v>42537</v>
      </c>
      <c r="I36" s="172">
        <v>42542</v>
      </c>
      <c r="J36" s="173">
        <f t="shared" ref="J36:J41" si="24">I36-H36+1</f>
        <v>6</v>
      </c>
      <c r="K36" s="164">
        <f t="shared" ref="K36:K41" si="25">G36/J36</f>
        <v>16.666666666666668</v>
      </c>
      <c r="L36" s="33">
        <f t="shared" ref="L36:L41" si="26">G36/K36</f>
        <v>6</v>
      </c>
      <c r="M36" s="30"/>
      <c r="N36" s="30">
        <v>1</v>
      </c>
      <c r="O36" s="35">
        <f t="shared" ref="O36:O41" si="27">IF(M36=0,0,L36*$O$17)</f>
        <v>0</v>
      </c>
      <c r="P36" s="35">
        <f t="shared" ref="P36:P41" si="28">IF(N36=0,0,L36*$O$17)</f>
        <v>42</v>
      </c>
      <c r="Q36" s="80">
        <v>5</v>
      </c>
      <c r="R36" s="78">
        <f>'Исходные данные'!$G$22</f>
        <v>197.57121135326915</v>
      </c>
      <c r="S36" s="178">
        <v>5</v>
      </c>
      <c r="T36" s="78">
        <f ca="1">IF(AND(N36&gt;0,P36&gt;0),SUMIF('Исходные данные'!$C$14:$J$30,S36,'Исходные данные'!$C$34:$J$41),IF(N36=0,0,IF(S36=0,"РОТ")))</f>
        <v>136.32413583375569</v>
      </c>
      <c r="U36" s="125">
        <f>O36*R36*'Исходные данные'!$C$39%</f>
        <v>0</v>
      </c>
      <c r="V36" s="125">
        <f ca="1">P36*T36*'Исходные данные'!$C$40%</f>
        <v>0</v>
      </c>
      <c r="W36" s="125">
        <f t="shared" ref="W36:W41" si="29">O36*R36*$W$17</f>
        <v>0</v>
      </c>
      <c r="X36" s="126">
        <f t="shared" ref="X36:X41" ca="1" si="30">P36*T36*$W$17</f>
        <v>0</v>
      </c>
      <c r="Y36" s="125">
        <f t="shared" ref="Y36:Y41" si="31">(O36*R36+U36+W36)*$Y$17</f>
        <v>0</v>
      </c>
      <c r="Z36" s="126">
        <f t="shared" ref="Z36:Z41" ca="1" si="32">(P36*T36+V36+X36)*$Z$17</f>
        <v>286.28068525088696</v>
      </c>
      <c r="AA36" s="125">
        <f t="shared" ref="AA36:AA41" si="33">(O36*R36+U36)*$AA$17</f>
        <v>0</v>
      </c>
      <c r="AB36" s="126">
        <f t="shared" ref="AB36:AB41" ca="1" si="34">(P36*T36+V36)*$AA$17</f>
        <v>0</v>
      </c>
      <c r="AC36" s="124">
        <v>2.5</v>
      </c>
      <c r="AD36" s="125">
        <f t="shared" ref="AD36:AD41" si="35">(O36*R36+U36+W36+Y36+AA36)*AC36</f>
        <v>0</v>
      </c>
      <c r="AE36" s="125">
        <f t="shared" ref="AE36:AE41" ca="1" si="36">(P36*T36+V36+X36+Z36+AB36)*AC36</f>
        <v>15029.735975671563</v>
      </c>
      <c r="AF36" s="35">
        <f t="shared" ref="AF36:AG41" ca="1" si="37">AD36*$AF$17</f>
        <v>0</v>
      </c>
      <c r="AG36" s="70">
        <f t="shared" ca="1" si="37"/>
        <v>2245.8226170543717</v>
      </c>
      <c r="AH36" s="35">
        <f t="shared" ref="AH36:AI41" ca="1" si="38">AD36+AF36</f>
        <v>0</v>
      </c>
      <c r="AI36" s="35">
        <f t="shared" ca="1" si="38"/>
        <v>17275.558592725934</v>
      </c>
      <c r="AJ36" s="35">
        <f t="shared" ref="AJ36:AK41" ca="1" si="39">AH36*$AJ$17</f>
        <v>0</v>
      </c>
      <c r="AK36" s="70">
        <f t="shared" ca="1" si="39"/>
        <v>5182.6675778177805</v>
      </c>
      <c r="AL36" s="35">
        <f t="shared" ref="AL36:AL41" ca="1" si="40">AH36+AJ36</f>
        <v>0</v>
      </c>
      <c r="AM36" s="70">
        <f t="shared" ref="AM36:AM41" ca="1" si="41">AK36+AI36</f>
        <v>22458.226170543716</v>
      </c>
      <c r="AN36" s="165">
        <f>2419/G36</f>
        <v>24.19</v>
      </c>
      <c r="AO36" s="33">
        <f>'Исходные данные'!$C$55</f>
        <v>0.84</v>
      </c>
      <c r="AP36" s="74">
        <f t="shared" ref="AP36:AP41" si="42">(G36*AN36)*AO36/100</f>
        <v>20.319600000000001</v>
      </c>
      <c r="AQ36" s="33" t="s">
        <v>152</v>
      </c>
      <c r="AR36" s="78" t="e">
        <f>'Исходные данные'!#REF!</f>
        <v>#REF!</v>
      </c>
      <c r="AS36" s="36" t="e">
        <f t="shared" ref="AS36:AS41" si="43">AP36*AR36</f>
        <v>#REF!</v>
      </c>
      <c r="AT36" s="23"/>
      <c r="AU36" s="42"/>
      <c r="AV36" s="42"/>
      <c r="AW36" s="42"/>
      <c r="AX36" s="42"/>
      <c r="AY36" s="42"/>
      <c r="AZ36" s="42"/>
      <c r="BA36" s="42"/>
      <c r="BB36" s="42"/>
      <c r="BC36" s="42"/>
      <c r="BD36" s="42"/>
      <c r="BE36" s="42"/>
      <c r="BF36" s="42"/>
      <c r="BG36" s="42"/>
      <c r="BH36" s="42"/>
      <c r="BI36" s="42"/>
      <c r="BJ36" s="36">
        <f t="shared" ref="BJ36:BJ41" si="44">BI36*L36</f>
        <v>0</v>
      </c>
      <c r="BK36" s="36">
        <f>аморт!$G$88</f>
        <v>114.406775</v>
      </c>
      <c r="BL36" s="36">
        <f t="shared" ref="BL36:BL41" si="45">BK36*L36</f>
        <v>686.44065000000001</v>
      </c>
      <c r="BM36" s="36"/>
      <c r="BN36" s="42"/>
      <c r="BO36" s="36">
        <f t="shared" ref="BO36:BO41" si="46">BN36*BY36</f>
        <v>0</v>
      </c>
      <c r="BP36" s="42"/>
      <c r="BQ36" s="36">
        <f t="shared" ref="BQ36:BQ41" si="47">BP36*BY36</f>
        <v>0</v>
      </c>
      <c r="BR36" s="42"/>
      <c r="BS36" s="36">
        <f t="shared" ref="BS36:BS41" si="48">BR36*BY36</f>
        <v>0</v>
      </c>
      <c r="BT36" s="36">
        <f>аморт!$C$88*10%/аморт!$E$88*L36*7</f>
        <v>30752.541119999998</v>
      </c>
      <c r="BU36" s="36" t="e">
        <f t="shared" ref="BU36:BU41" ca="1" si="49">AL36+AM36+AS36+AW36+BA36+BE36+BH36+BJ36+BL36+BM36+BO36+BQ36+BS36+BT36</f>
        <v>#REF!</v>
      </c>
      <c r="BV36" s="36" t="e">
        <f t="shared" ref="BV36:BV41" ca="1" si="50">BU36/$D$6</f>
        <v>#REF!</v>
      </c>
      <c r="BW36" s="38">
        <f t="shared" ref="BW36:BW41" si="51">(O36+P36)/$D$6</f>
        <v>0.42</v>
      </c>
      <c r="BX36" s="42"/>
      <c r="BY36" s="39">
        <f t="shared" ref="BY36:BY41" si="52">BX36*L36</f>
        <v>0</v>
      </c>
    </row>
    <row r="37" spans="1:77" s="7" customFormat="1" x14ac:dyDescent="0.2">
      <c r="A37" s="20">
        <f>A36+1</f>
        <v>2</v>
      </c>
      <c r="B37" s="27" t="s">
        <v>74</v>
      </c>
      <c r="C37" s="66">
        <v>1</v>
      </c>
      <c r="D37" s="30" t="s">
        <v>103</v>
      </c>
      <c r="E37" s="31" t="s">
        <v>132</v>
      </c>
      <c r="F37" s="28" t="s">
        <v>106</v>
      </c>
      <c r="G37" s="29">
        <v>100</v>
      </c>
      <c r="H37" s="172">
        <f>H36</f>
        <v>42537</v>
      </c>
      <c r="I37" s="172">
        <f>I36</f>
        <v>42542</v>
      </c>
      <c r="J37" s="173">
        <f t="shared" si="24"/>
        <v>6</v>
      </c>
      <c r="K37" s="164">
        <f t="shared" si="25"/>
        <v>16.666666666666668</v>
      </c>
      <c r="L37" s="33">
        <f t="shared" si="26"/>
        <v>6</v>
      </c>
      <c r="M37" s="30">
        <v>1</v>
      </c>
      <c r="N37" s="30"/>
      <c r="O37" s="35">
        <f t="shared" si="27"/>
        <v>42</v>
      </c>
      <c r="P37" s="35">
        <f t="shared" si="28"/>
        <v>0</v>
      </c>
      <c r="Q37" s="80">
        <v>5</v>
      </c>
      <c r="R37" s="78">
        <f>'Исходные данные'!$G$22</f>
        <v>197.57121135326915</v>
      </c>
      <c r="S37" s="178">
        <v>5</v>
      </c>
      <c r="T37" s="78">
        <f>IF(AND(N37&gt;0,P37&gt;0),SUMIF('Исходные данные'!$C$14:$J$30,S37,'Исходные данные'!$C$34:$J$41),IF(N37=0,0,IF(S37=0,"РОТ")))</f>
        <v>0</v>
      </c>
      <c r="U37" s="125">
        <f>O37*R37*'Исходные данные'!$C$39%</f>
        <v>0</v>
      </c>
      <c r="V37" s="125">
        <f>P37*T37*'Исходные данные'!$C$40%</f>
        <v>0</v>
      </c>
      <c r="W37" s="125">
        <f t="shared" si="29"/>
        <v>0</v>
      </c>
      <c r="X37" s="126">
        <f t="shared" si="30"/>
        <v>0</v>
      </c>
      <c r="Y37" s="125">
        <f t="shared" si="31"/>
        <v>829.79908768373048</v>
      </c>
      <c r="Z37" s="126">
        <f t="shared" si="32"/>
        <v>0</v>
      </c>
      <c r="AA37" s="125">
        <f t="shared" si="33"/>
        <v>0</v>
      </c>
      <c r="AB37" s="126">
        <f t="shared" si="34"/>
        <v>0</v>
      </c>
      <c r="AC37" s="124">
        <v>2.5</v>
      </c>
      <c r="AD37" s="125">
        <f t="shared" si="35"/>
        <v>22819.474911302586</v>
      </c>
      <c r="AE37" s="125">
        <f t="shared" si="36"/>
        <v>0</v>
      </c>
      <c r="AF37" s="35">
        <f t="shared" ca="1" si="37"/>
        <v>3409.8065959417659</v>
      </c>
      <c r="AG37" s="70">
        <f t="shared" ca="1" si="37"/>
        <v>0</v>
      </c>
      <c r="AH37" s="35">
        <f t="shared" ca="1" si="38"/>
        <v>26229.281507244352</v>
      </c>
      <c r="AI37" s="35">
        <f t="shared" ca="1" si="38"/>
        <v>0</v>
      </c>
      <c r="AJ37" s="35">
        <f t="shared" ca="1" si="39"/>
        <v>7868.784452173305</v>
      </c>
      <c r="AK37" s="70">
        <f t="shared" ca="1" si="39"/>
        <v>0</v>
      </c>
      <c r="AL37" s="35">
        <f t="shared" ca="1" si="40"/>
        <v>34098.065959417654</v>
      </c>
      <c r="AM37" s="70">
        <f t="shared" ca="1" si="41"/>
        <v>0</v>
      </c>
      <c r="AN37" s="165">
        <f>1440/G37</f>
        <v>14.4</v>
      </c>
      <c r="AO37" s="33">
        <f>'Исходные данные'!$C$55</f>
        <v>0.84</v>
      </c>
      <c r="AP37" s="74">
        <f t="shared" si="42"/>
        <v>12.095999999999998</v>
      </c>
      <c r="AQ37" s="33" t="s">
        <v>152</v>
      </c>
      <c r="AR37" s="78" t="e">
        <f>'Исходные данные'!#REF!</f>
        <v>#REF!</v>
      </c>
      <c r="AS37" s="36" t="e">
        <f t="shared" si="43"/>
        <v>#REF!</v>
      </c>
      <c r="AT37" s="23"/>
      <c r="AU37" s="42"/>
      <c r="AV37" s="42"/>
      <c r="AW37" s="42"/>
      <c r="AX37" s="42"/>
      <c r="AY37" s="42"/>
      <c r="AZ37" s="42"/>
      <c r="BA37" s="42"/>
      <c r="BB37" s="42"/>
      <c r="BC37" s="42"/>
      <c r="BD37" s="42"/>
      <c r="BE37" s="42"/>
      <c r="BF37" s="42"/>
      <c r="BG37" s="42"/>
      <c r="BH37" s="42"/>
      <c r="BI37" s="36">
        <f>аморт!$G$8</f>
        <v>75.11864416666667</v>
      </c>
      <c r="BJ37" s="36">
        <f t="shared" si="44"/>
        <v>450.71186499999999</v>
      </c>
      <c r="BK37" s="36">
        <f>аморт!$G$42</f>
        <v>30.100819672131149</v>
      </c>
      <c r="BL37" s="36">
        <f t="shared" si="45"/>
        <v>180.60491803278688</v>
      </c>
      <c r="BM37" s="36"/>
      <c r="BN37" s="38">
        <v>111.7</v>
      </c>
      <c r="BO37" s="36">
        <f t="shared" si="46"/>
        <v>4825.4400000000005</v>
      </c>
      <c r="BP37" s="38">
        <v>12.5</v>
      </c>
      <c r="BQ37" s="36">
        <f t="shared" si="47"/>
        <v>540</v>
      </c>
      <c r="BR37" s="42"/>
      <c r="BS37" s="36">
        <f t="shared" si="48"/>
        <v>0</v>
      </c>
      <c r="BT37" s="36">
        <f>аморт!$C$42*10%/аморт!$E$42*L37*7</f>
        <v>5552.5175999999992</v>
      </c>
      <c r="BU37" s="36" t="e">
        <f t="shared" ca="1" si="49"/>
        <v>#REF!</v>
      </c>
      <c r="BV37" s="36" t="e">
        <f t="shared" ca="1" si="50"/>
        <v>#REF!</v>
      </c>
      <c r="BW37" s="38">
        <f t="shared" si="51"/>
        <v>0.42</v>
      </c>
      <c r="BX37" s="38">
        <v>7.2</v>
      </c>
      <c r="BY37" s="39">
        <f t="shared" si="52"/>
        <v>43.2</v>
      </c>
    </row>
    <row r="38" spans="1:77" s="7" customFormat="1" ht="22.5" x14ac:dyDescent="0.2">
      <c r="A38" s="19">
        <v>3</v>
      </c>
      <c r="B38" s="27" t="s">
        <v>73</v>
      </c>
      <c r="C38" s="66">
        <v>1</v>
      </c>
      <c r="D38" s="485" t="s">
        <v>131</v>
      </c>
      <c r="E38" s="486"/>
      <c r="F38" s="28" t="s">
        <v>106</v>
      </c>
      <c r="G38" s="29">
        <f>G37</f>
        <v>100</v>
      </c>
      <c r="H38" s="172">
        <v>42565</v>
      </c>
      <c r="I38" s="172">
        <v>42570</v>
      </c>
      <c r="J38" s="173">
        <f t="shared" si="24"/>
        <v>6</v>
      </c>
      <c r="K38" s="164">
        <f t="shared" si="25"/>
        <v>16.666666666666668</v>
      </c>
      <c r="L38" s="33">
        <f t="shared" si="26"/>
        <v>6</v>
      </c>
      <c r="M38" s="30"/>
      <c r="N38" s="30">
        <v>1</v>
      </c>
      <c r="O38" s="35">
        <f t="shared" si="27"/>
        <v>0</v>
      </c>
      <c r="P38" s="35">
        <f t="shared" si="28"/>
        <v>42</v>
      </c>
      <c r="Q38" s="80">
        <v>5</v>
      </c>
      <c r="R38" s="78">
        <f>'Исходные данные'!$G$22</f>
        <v>197.57121135326915</v>
      </c>
      <c r="S38" s="178">
        <v>5</v>
      </c>
      <c r="T38" s="78">
        <f ca="1">IF(AND(N38&gt;0,P38&gt;0),SUMIF('Исходные данные'!$C$14:$J$30,S38,'Исходные данные'!$C$34:$J$41),IF(N38=0,0,IF(S38=0,"РОТ")))</f>
        <v>136.32413583375569</v>
      </c>
      <c r="U38" s="125">
        <f>O38*R38*'Исходные данные'!$C$39%</f>
        <v>0</v>
      </c>
      <c r="V38" s="125">
        <f ca="1">P38*T38*'Исходные данные'!$C$40%</f>
        <v>0</v>
      </c>
      <c r="W38" s="125">
        <f t="shared" si="29"/>
        <v>0</v>
      </c>
      <c r="X38" s="126">
        <f t="shared" ca="1" si="30"/>
        <v>0</v>
      </c>
      <c r="Y38" s="125">
        <f t="shared" si="31"/>
        <v>0</v>
      </c>
      <c r="Z38" s="126">
        <f t="shared" ca="1" si="32"/>
        <v>286.28068525088696</v>
      </c>
      <c r="AA38" s="125">
        <f t="shared" si="33"/>
        <v>0</v>
      </c>
      <c r="AB38" s="126">
        <f t="shared" ca="1" si="34"/>
        <v>0</v>
      </c>
      <c r="AC38" s="124">
        <v>3.5</v>
      </c>
      <c r="AD38" s="125">
        <f t="shared" si="35"/>
        <v>0</v>
      </c>
      <c r="AE38" s="125">
        <f t="shared" ca="1" si="36"/>
        <v>21041.630365940189</v>
      </c>
      <c r="AF38" s="35">
        <f t="shared" ca="1" si="37"/>
        <v>0</v>
      </c>
      <c r="AG38" s="70">
        <f t="shared" ca="1" si="37"/>
        <v>3144.1516638761204</v>
      </c>
      <c r="AH38" s="35">
        <f t="shared" ca="1" si="38"/>
        <v>0</v>
      </c>
      <c r="AI38" s="35">
        <f t="shared" ca="1" si="38"/>
        <v>24185.78202981631</v>
      </c>
      <c r="AJ38" s="35">
        <f t="shared" ca="1" si="39"/>
        <v>0</v>
      </c>
      <c r="AK38" s="70">
        <f t="shared" ca="1" si="39"/>
        <v>7255.7346089448929</v>
      </c>
      <c r="AL38" s="35">
        <f t="shared" ca="1" si="40"/>
        <v>0</v>
      </c>
      <c r="AM38" s="70">
        <f t="shared" ca="1" si="41"/>
        <v>31441.516638761204</v>
      </c>
      <c r="AN38" s="165">
        <f>2419/G38</f>
        <v>24.19</v>
      </c>
      <c r="AO38" s="33">
        <f>'Исходные данные'!$C$55</f>
        <v>0.84</v>
      </c>
      <c r="AP38" s="74">
        <f t="shared" si="42"/>
        <v>20.319600000000001</v>
      </c>
      <c r="AQ38" s="33" t="s">
        <v>152</v>
      </c>
      <c r="AR38" s="78" t="e">
        <f>'Исходные данные'!#REF!</f>
        <v>#REF!</v>
      </c>
      <c r="AS38" s="36" t="e">
        <f t="shared" si="43"/>
        <v>#REF!</v>
      </c>
      <c r="AT38" s="23"/>
      <c r="AU38" s="42"/>
      <c r="AV38" s="42"/>
      <c r="AW38" s="42"/>
      <c r="AX38" s="42"/>
      <c r="AY38" s="42"/>
      <c r="AZ38" s="42"/>
      <c r="BA38" s="42"/>
      <c r="BB38" s="42"/>
      <c r="BC38" s="42"/>
      <c r="BD38" s="42"/>
      <c r="BE38" s="42"/>
      <c r="BF38" s="42"/>
      <c r="BG38" s="42"/>
      <c r="BH38" s="42"/>
      <c r="BI38" s="42"/>
      <c r="BJ38" s="36">
        <f t="shared" si="44"/>
        <v>0</v>
      </c>
      <c r="BK38" s="36">
        <f>аморт!$G$88</f>
        <v>114.406775</v>
      </c>
      <c r="BL38" s="36">
        <f t="shared" si="45"/>
        <v>686.44065000000001</v>
      </c>
      <c r="BM38" s="36"/>
      <c r="BN38" s="42"/>
      <c r="BO38" s="36">
        <f t="shared" si="46"/>
        <v>0</v>
      </c>
      <c r="BP38" s="42"/>
      <c r="BQ38" s="36">
        <f t="shared" si="47"/>
        <v>0</v>
      </c>
      <c r="BR38" s="42"/>
      <c r="BS38" s="36">
        <f t="shared" si="48"/>
        <v>0</v>
      </c>
      <c r="BT38" s="36">
        <f>аморт!$C$88*10%/аморт!$E$88*L38*7</f>
        <v>30752.541119999998</v>
      </c>
      <c r="BU38" s="36" t="e">
        <f t="shared" ca="1" si="49"/>
        <v>#REF!</v>
      </c>
      <c r="BV38" s="36" t="e">
        <f t="shared" ca="1" si="50"/>
        <v>#REF!</v>
      </c>
      <c r="BW38" s="38">
        <f t="shared" si="51"/>
        <v>0.42</v>
      </c>
      <c r="BX38" s="42"/>
      <c r="BY38" s="39">
        <f t="shared" si="52"/>
        <v>0</v>
      </c>
    </row>
    <row r="39" spans="1:77" s="7" customFormat="1" x14ac:dyDescent="0.2">
      <c r="A39" s="20">
        <v>4</v>
      </c>
      <c r="B39" s="27" t="s">
        <v>74</v>
      </c>
      <c r="C39" s="66">
        <v>1</v>
      </c>
      <c r="D39" s="30" t="s">
        <v>103</v>
      </c>
      <c r="E39" s="174" t="s">
        <v>132</v>
      </c>
      <c r="F39" s="28" t="s">
        <v>106</v>
      </c>
      <c r="G39" s="29">
        <f>G38</f>
        <v>100</v>
      </c>
      <c r="H39" s="172">
        <v>42565</v>
      </c>
      <c r="I39" s="172">
        <v>42570</v>
      </c>
      <c r="J39" s="173">
        <f t="shared" si="24"/>
        <v>6</v>
      </c>
      <c r="K39" s="164">
        <f t="shared" si="25"/>
        <v>16.666666666666668</v>
      </c>
      <c r="L39" s="33">
        <f t="shared" si="26"/>
        <v>6</v>
      </c>
      <c r="M39" s="30">
        <v>1</v>
      </c>
      <c r="N39" s="30"/>
      <c r="O39" s="35">
        <f t="shared" si="27"/>
        <v>42</v>
      </c>
      <c r="P39" s="35">
        <f t="shared" si="28"/>
        <v>0</v>
      </c>
      <c r="Q39" s="80">
        <v>5</v>
      </c>
      <c r="R39" s="78">
        <f>'Исходные данные'!$G$22</f>
        <v>197.57121135326915</v>
      </c>
      <c r="S39" s="178">
        <v>5</v>
      </c>
      <c r="T39" s="78">
        <f>IF(AND(N39&gt;0,P39&gt;0),SUMIF('Исходные данные'!$C$14:$J$30,S39,'Исходные данные'!$C$34:$J$41),IF(N39=0,0,IF(S39=0,"РОТ")))</f>
        <v>0</v>
      </c>
      <c r="U39" s="125">
        <f>O39*R39*'Исходные данные'!$C$39%</f>
        <v>0</v>
      </c>
      <c r="V39" s="125">
        <f>P39*T39*'Исходные данные'!$C$40%</f>
        <v>0</v>
      </c>
      <c r="W39" s="125">
        <f t="shared" si="29"/>
        <v>0</v>
      </c>
      <c r="X39" s="126">
        <f t="shared" si="30"/>
        <v>0</v>
      </c>
      <c r="Y39" s="125">
        <f t="shared" si="31"/>
        <v>829.79908768373048</v>
      </c>
      <c r="Z39" s="126">
        <f t="shared" si="32"/>
        <v>0</v>
      </c>
      <c r="AA39" s="125">
        <f t="shared" si="33"/>
        <v>0</v>
      </c>
      <c r="AB39" s="126">
        <f t="shared" si="34"/>
        <v>0</v>
      </c>
      <c r="AC39" s="124">
        <v>4.5</v>
      </c>
      <c r="AD39" s="125">
        <f t="shared" si="35"/>
        <v>41075.054840344659</v>
      </c>
      <c r="AE39" s="125">
        <f t="shared" si="36"/>
        <v>0</v>
      </c>
      <c r="AF39" s="35">
        <f t="shared" ca="1" si="37"/>
        <v>6137.651872695179</v>
      </c>
      <c r="AG39" s="70">
        <f t="shared" ca="1" si="37"/>
        <v>0</v>
      </c>
      <c r="AH39" s="35">
        <f t="shared" ca="1" si="38"/>
        <v>47212.706713039835</v>
      </c>
      <c r="AI39" s="35">
        <f t="shared" ca="1" si="38"/>
        <v>0</v>
      </c>
      <c r="AJ39" s="35">
        <f t="shared" ca="1" si="39"/>
        <v>14163.812013911951</v>
      </c>
      <c r="AK39" s="70">
        <f t="shared" ca="1" si="39"/>
        <v>0</v>
      </c>
      <c r="AL39" s="35">
        <f t="shared" ca="1" si="40"/>
        <v>61376.518726951785</v>
      </c>
      <c r="AM39" s="70">
        <f t="shared" ca="1" si="41"/>
        <v>0</v>
      </c>
      <c r="AN39" s="165">
        <f>1440/G39</f>
        <v>14.4</v>
      </c>
      <c r="AO39" s="33">
        <f>'Исходные данные'!$C$55</f>
        <v>0.84</v>
      </c>
      <c r="AP39" s="74">
        <f t="shared" si="42"/>
        <v>12.095999999999998</v>
      </c>
      <c r="AQ39" s="33" t="s">
        <v>152</v>
      </c>
      <c r="AR39" s="78" t="e">
        <f>'Исходные данные'!#REF!</f>
        <v>#REF!</v>
      </c>
      <c r="AS39" s="36" t="e">
        <f t="shared" si="43"/>
        <v>#REF!</v>
      </c>
      <c r="AT39" s="23"/>
      <c r="AU39" s="42"/>
      <c r="AV39" s="42"/>
      <c r="AW39" s="42"/>
      <c r="AX39" s="42"/>
      <c r="AY39" s="42"/>
      <c r="AZ39" s="42"/>
      <c r="BA39" s="42"/>
      <c r="BB39" s="42"/>
      <c r="BC39" s="42"/>
      <c r="BD39" s="42"/>
      <c r="BE39" s="42"/>
      <c r="BF39" s="42"/>
      <c r="BG39" s="42"/>
      <c r="BH39" s="42"/>
      <c r="BI39" s="36">
        <f>аморт!$G$8</f>
        <v>75.11864416666667</v>
      </c>
      <c r="BJ39" s="36">
        <f t="shared" si="44"/>
        <v>450.71186499999999</v>
      </c>
      <c r="BK39" s="36">
        <f>аморт!$G$42</f>
        <v>30.100819672131149</v>
      </c>
      <c r="BL39" s="36">
        <f t="shared" si="45"/>
        <v>180.60491803278688</v>
      </c>
      <c r="BM39" s="36"/>
      <c r="BN39" s="38">
        <v>112.7</v>
      </c>
      <c r="BO39" s="36">
        <f t="shared" si="46"/>
        <v>4868.6400000000003</v>
      </c>
      <c r="BP39" s="38">
        <v>12.5</v>
      </c>
      <c r="BQ39" s="36">
        <f t="shared" si="47"/>
        <v>540</v>
      </c>
      <c r="BR39" s="42"/>
      <c r="BS39" s="36">
        <f t="shared" si="48"/>
        <v>0</v>
      </c>
      <c r="BT39" s="36">
        <f>аморт!$C$42*10%/аморт!$E$42*L39*7</f>
        <v>5552.5175999999992</v>
      </c>
      <c r="BU39" s="36" t="e">
        <f t="shared" ca="1" si="49"/>
        <v>#REF!</v>
      </c>
      <c r="BV39" s="36" t="e">
        <f t="shared" ca="1" si="50"/>
        <v>#REF!</v>
      </c>
      <c r="BW39" s="38">
        <f t="shared" si="51"/>
        <v>0.42</v>
      </c>
      <c r="BX39" s="38">
        <v>7.2</v>
      </c>
      <c r="BY39" s="39">
        <f t="shared" si="52"/>
        <v>43.2</v>
      </c>
    </row>
    <row r="40" spans="1:77" s="7" customFormat="1" ht="22.5" x14ac:dyDescent="0.2">
      <c r="A40" s="19">
        <v>5</v>
      </c>
      <c r="B40" s="27" t="s">
        <v>73</v>
      </c>
      <c r="C40" s="66">
        <v>1</v>
      </c>
      <c r="D40" s="485" t="s">
        <v>131</v>
      </c>
      <c r="E40" s="486"/>
      <c r="F40" s="28" t="s">
        <v>106</v>
      </c>
      <c r="G40" s="29">
        <f>G39</f>
        <v>100</v>
      </c>
      <c r="H40" s="172">
        <v>42586</v>
      </c>
      <c r="I40" s="172">
        <v>42594</v>
      </c>
      <c r="J40" s="173">
        <f t="shared" si="24"/>
        <v>9</v>
      </c>
      <c r="K40" s="164">
        <f t="shared" si="25"/>
        <v>11.111111111111111</v>
      </c>
      <c r="L40" s="33">
        <f t="shared" si="26"/>
        <v>9</v>
      </c>
      <c r="M40" s="30"/>
      <c r="N40" s="30">
        <v>1</v>
      </c>
      <c r="O40" s="35">
        <f t="shared" si="27"/>
        <v>0</v>
      </c>
      <c r="P40" s="35">
        <f t="shared" si="28"/>
        <v>63</v>
      </c>
      <c r="Q40" s="80">
        <v>5</v>
      </c>
      <c r="R40" s="78">
        <f>'Исходные данные'!$G$22</f>
        <v>197.57121135326915</v>
      </c>
      <c r="S40" s="178">
        <v>5</v>
      </c>
      <c r="T40" s="78">
        <f ca="1">IF(AND(N40&gt;0,P40&gt;0),SUMIF('Исходные данные'!$C$14:$J$30,S40,'Исходные данные'!$C$34:$J$41),IF(N40=0,0,IF(S40=0,"РОТ")))</f>
        <v>136.32413583375569</v>
      </c>
      <c r="U40" s="125">
        <f>O40*R40*'Исходные данные'!$C$39%</f>
        <v>0</v>
      </c>
      <c r="V40" s="125">
        <f ca="1">P40*T40*'Исходные данные'!$C$40%</f>
        <v>0</v>
      </c>
      <c r="W40" s="125">
        <f t="shared" si="29"/>
        <v>0</v>
      </c>
      <c r="X40" s="126">
        <f t="shared" ca="1" si="30"/>
        <v>0</v>
      </c>
      <c r="Y40" s="125">
        <f t="shared" si="31"/>
        <v>0</v>
      </c>
      <c r="Z40" s="126">
        <f t="shared" ca="1" si="32"/>
        <v>429.42102787633041</v>
      </c>
      <c r="AA40" s="125">
        <f t="shared" si="33"/>
        <v>0</v>
      </c>
      <c r="AB40" s="126">
        <f t="shared" ca="1" si="34"/>
        <v>0</v>
      </c>
      <c r="AC40" s="124">
        <v>5.5</v>
      </c>
      <c r="AD40" s="125">
        <f t="shared" si="35"/>
        <v>0</v>
      </c>
      <c r="AE40" s="125">
        <f t="shared" ca="1" si="36"/>
        <v>49598.128719716166</v>
      </c>
      <c r="AF40" s="35">
        <f t="shared" ca="1" si="37"/>
        <v>0</v>
      </c>
      <c r="AG40" s="70">
        <f t="shared" ca="1" si="37"/>
        <v>7411.2146362794274</v>
      </c>
      <c r="AH40" s="35">
        <f t="shared" ca="1" si="38"/>
        <v>0</v>
      </c>
      <c r="AI40" s="35">
        <f t="shared" ca="1" si="38"/>
        <v>57009.343355995596</v>
      </c>
      <c r="AJ40" s="35">
        <f t="shared" ca="1" si="39"/>
        <v>0</v>
      </c>
      <c r="AK40" s="70">
        <f t="shared" ca="1" si="39"/>
        <v>17102.803006798677</v>
      </c>
      <c r="AL40" s="35">
        <f t="shared" ca="1" si="40"/>
        <v>0</v>
      </c>
      <c r="AM40" s="70">
        <f t="shared" ca="1" si="41"/>
        <v>74112.146362794272</v>
      </c>
      <c r="AN40" s="165">
        <f>3628.8/G40</f>
        <v>36.288000000000004</v>
      </c>
      <c r="AO40" s="33">
        <f>'Исходные данные'!$C$55</f>
        <v>0.84</v>
      </c>
      <c r="AP40" s="74">
        <f t="shared" si="42"/>
        <v>30.481919999999999</v>
      </c>
      <c r="AQ40" s="33" t="s">
        <v>152</v>
      </c>
      <c r="AR40" s="78" t="e">
        <f>'Исходные данные'!#REF!</f>
        <v>#REF!</v>
      </c>
      <c r="AS40" s="36" t="e">
        <f t="shared" si="43"/>
        <v>#REF!</v>
      </c>
      <c r="AT40" s="23"/>
      <c r="AU40" s="42"/>
      <c r="AV40" s="42"/>
      <c r="AW40" s="42"/>
      <c r="AX40" s="42"/>
      <c r="AY40" s="42"/>
      <c r="AZ40" s="42"/>
      <c r="BA40" s="42"/>
      <c r="BB40" s="42"/>
      <c r="BC40" s="42"/>
      <c r="BD40" s="42"/>
      <c r="BE40" s="42"/>
      <c r="BF40" s="42"/>
      <c r="BG40" s="42"/>
      <c r="BH40" s="42"/>
      <c r="BI40" s="42"/>
      <c r="BJ40" s="36">
        <f t="shared" si="44"/>
        <v>0</v>
      </c>
      <c r="BK40" s="36">
        <f>аморт!$G$88</f>
        <v>114.406775</v>
      </c>
      <c r="BL40" s="36">
        <f t="shared" si="45"/>
        <v>1029.660975</v>
      </c>
      <c r="BM40" s="36"/>
      <c r="BN40" s="42"/>
      <c r="BO40" s="36">
        <f t="shared" si="46"/>
        <v>0</v>
      </c>
      <c r="BP40" s="42"/>
      <c r="BQ40" s="36">
        <f t="shared" si="47"/>
        <v>0</v>
      </c>
      <c r="BR40" s="42"/>
      <c r="BS40" s="36">
        <f t="shared" si="48"/>
        <v>0</v>
      </c>
      <c r="BT40" s="36">
        <f>аморт!$C$88*10%/аморт!$E$88*L40*7</f>
        <v>46128.811679999999</v>
      </c>
      <c r="BU40" s="36" t="e">
        <f t="shared" ca="1" si="49"/>
        <v>#REF!</v>
      </c>
      <c r="BV40" s="36" t="e">
        <f t="shared" ca="1" si="50"/>
        <v>#REF!</v>
      </c>
      <c r="BW40" s="38">
        <f t="shared" si="51"/>
        <v>0.63</v>
      </c>
      <c r="BX40" s="42"/>
      <c r="BY40" s="39">
        <f t="shared" si="52"/>
        <v>0</v>
      </c>
    </row>
    <row r="41" spans="1:77" s="7" customFormat="1" x14ac:dyDescent="0.2">
      <c r="A41" s="20">
        <f>A40+1</f>
        <v>6</v>
      </c>
      <c r="B41" s="27" t="s">
        <v>74</v>
      </c>
      <c r="C41" s="66">
        <v>1</v>
      </c>
      <c r="D41" s="30" t="s">
        <v>103</v>
      </c>
      <c r="E41" s="174" t="s">
        <v>132</v>
      </c>
      <c r="F41" s="28" t="s">
        <v>106</v>
      </c>
      <c r="G41" s="29">
        <f>G40</f>
        <v>100</v>
      </c>
      <c r="H41" s="172">
        <v>42586</v>
      </c>
      <c r="I41" s="172">
        <f>I40</f>
        <v>42594</v>
      </c>
      <c r="J41" s="173">
        <f t="shared" si="24"/>
        <v>9</v>
      </c>
      <c r="K41" s="164">
        <f t="shared" si="25"/>
        <v>11.111111111111111</v>
      </c>
      <c r="L41" s="33">
        <f t="shared" si="26"/>
        <v>9</v>
      </c>
      <c r="M41" s="30">
        <v>1</v>
      </c>
      <c r="N41" s="30"/>
      <c r="O41" s="35">
        <f t="shared" si="27"/>
        <v>63</v>
      </c>
      <c r="P41" s="35">
        <f t="shared" si="28"/>
        <v>0</v>
      </c>
      <c r="Q41" s="80">
        <v>5</v>
      </c>
      <c r="R41" s="78">
        <f>'Исходные данные'!$G$22</f>
        <v>197.57121135326915</v>
      </c>
      <c r="S41" s="178">
        <v>5</v>
      </c>
      <c r="T41" s="78">
        <f>IF(AND(N41&gt;0,P41&gt;0),SUMIF('Исходные данные'!$C$14:$J$30,S41,'Исходные данные'!$C$34:$J$41),IF(N41=0,0,IF(S41=0,"РОТ")))</f>
        <v>0</v>
      </c>
      <c r="U41" s="125">
        <f>O41*R41*'Исходные данные'!$C$39%</f>
        <v>0</v>
      </c>
      <c r="V41" s="125">
        <f>P41*T41*'Исходные данные'!$C$40%</f>
        <v>0</v>
      </c>
      <c r="W41" s="125">
        <f t="shared" si="29"/>
        <v>0</v>
      </c>
      <c r="X41" s="126">
        <f t="shared" si="30"/>
        <v>0</v>
      </c>
      <c r="Y41" s="125">
        <f t="shared" si="31"/>
        <v>1244.6986315255956</v>
      </c>
      <c r="Z41" s="126">
        <f t="shared" si="32"/>
        <v>0</v>
      </c>
      <c r="AA41" s="125">
        <f t="shared" si="33"/>
        <v>0</v>
      </c>
      <c r="AB41" s="126">
        <f t="shared" si="34"/>
        <v>0</v>
      </c>
      <c r="AC41" s="124">
        <v>6.5</v>
      </c>
      <c r="AD41" s="125">
        <f t="shared" si="35"/>
        <v>88995.952154080092</v>
      </c>
      <c r="AE41" s="125">
        <f t="shared" si="36"/>
        <v>0</v>
      </c>
      <c r="AF41" s="35">
        <f t="shared" ca="1" si="37"/>
        <v>13298.245724172888</v>
      </c>
      <c r="AG41" s="70">
        <f t="shared" ca="1" si="37"/>
        <v>0</v>
      </c>
      <c r="AH41" s="35">
        <f t="shared" ca="1" si="38"/>
        <v>102294.19787825298</v>
      </c>
      <c r="AI41" s="35">
        <f t="shared" ca="1" si="38"/>
        <v>0</v>
      </c>
      <c r="AJ41" s="35">
        <f t="shared" ca="1" si="39"/>
        <v>30688.259363475892</v>
      </c>
      <c r="AK41" s="70">
        <f t="shared" ca="1" si="39"/>
        <v>0</v>
      </c>
      <c r="AL41" s="35">
        <f t="shared" ca="1" si="40"/>
        <v>132982.45724172887</v>
      </c>
      <c r="AM41" s="70">
        <f t="shared" ca="1" si="41"/>
        <v>0</v>
      </c>
      <c r="AN41" s="165">
        <f>2160/G41</f>
        <v>21.6</v>
      </c>
      <c r="AO41" s="33">
        <f>'Исходные данные'!$C$55</f>
        <v>0.84</v>
      </c>
      <c r="AP41" s="74">
        <f t="shared" si="42"/>
        <v>18.143999999999998</v>
      </c>
      <c r="AQ41" s="33" t="s">
        <v>152</v>
      </c>
      <c r="AR41" s="78" t="e">
        <f>'Исходные данные'!#REF!</f>
        <v>#REF!</v>
      </c>
      <c r="AS41" s="36" t="e">
        <f t="shared" si="43"/>
        <v>#REF!</v>
      </c>
      <c r="AT41" s="23"/>
      <c r="AU41" s="42"/>
      <c r="AV41" s="42"/>
      <c r="AW41" s="42"/>
      <c r="AX41" s="42"/>
      <c r="AY41" s="42"/>
      <c r="AZ41" s="42"/>
      <c r="BA41" s="42"/>
      <c r="BB41" s="42"/>
      <c r="BC41" s="42"/>
      <c r="BD41" s="42"/>
      <c r="BE41" s="42"/>
      <c r="BF41" s="42"/>
      <c r="BG41" s="42"/>
      <c r="BH41" s="42"/>
      <c r="BI41" s="36">
        <f>аморт!$G$8</f>
        <v>75.11864416666667</v>
      </c>
      <c r="BJ41" s="36">
        <f t="shared" si="44"/>
        <v>676.06779749999998</v>
      </c>
      <c r="BK41" s="36">
        <f>аморт!$G$42</f>
        <v>30.100819672131149</v>
      </c>
      <c r="BL41" s="36">
        <f t="shared" si="45"/>
        <v>270.90737704918035</v>
      </c>
      <c r="BM41" s="36"/>
      <c r="BN41" s="38">
        <v>113.7</v>
      </c>
      <c r="BO41" s="36">
        <f t="shared" si="46"/>
        <v>7367.76</v>
      </c>
      <c r="BP41" s="38">
        <v>12.5</v>
      </c>
      <c r="BQ41" s="36">
        <f t="shared" si="47"/>
        <v>810</v>
      </c>
      <c r="BR41" s="42"/>
      <c r="BS41" s="36">
        <f t="shared" si="48"/>
        <v>0</v>
      </c>
      <c r="BT41" s="36">
        <f>аморт!$C$42*10%/аморт!$E$42*L41*7</f>
        <v>8328.7764000000006</v>
      </c>
      <c r="BU41" s="36" t="e">
        <f t="shared" ca="1" si="49"/>
        <v>#REF!</v>
      </c>
      <c r="BV41" s="36" t="e">
        <f t="shared" ca="1" si="50"/>
        <v>#REF!</v>
      </c>
      <c r="BW41" s="38">
        <f t="shared" si="51"/>
        <v>0.63</v>
      </c>
      <c r="BX41" s="38">
        <v>7.2</v>
      </c>
      <c r="BY41" s="39">
        <f t="shared" si="52"/>
        <v>64.8</v>
      </c>
    </row>
    <row r="42" spans="1:77" s="54" customFormat="1" x14ac:dyDescent="0.2">
      <c r="A42" s="52"/>
      <c r="B42" s="53" t="s">
        <v>21</v>
      </c>
      <c r="C42" s="56"/>
      <c r="D42" s="56"/>
      <c r="E42" s="56"/>
      <c r="F42" s="55"/>
      <c r="G42" s="56"/>
      <c r="H42" s="56"/>
      <c r="I42" s="56"/>
      <c r="J42" s="65">
        <f>SUM(J36:J41)</f>
        <v>42</v>
      </c>
      <c r="K42" s="65"/>
      <c r="L42" s="65">
        <f>SUM(L36:L41)</f>
        <v>42</v>
      </c>
      <c r="M42" s="65">
        <f>SUM(M36:M41)</f>
        <v>3</v>
      </c>
      <c r="N42" s="65">
        <f>SUM(N36:N41)</f>
        <v>3</v>
      </c>
      <c r="O42" s="65">
        <f>SUM(O36:O41)</f>
        <v>147</v>
      </c>
      <c r="P42" s="65">
        <f>SUM(P36:P41)</f>
        <v>147</v>
      </c>
      <c r="Q42" s="65"/>
      <c r="R42" s="65"/>
      <c r="S42" s="65"/>
      <c r="T42" s="65"/>
      <c r="U42" s="65">
        <f t="shared" ref="U42:AA42" si="53">SUM(U36:U41)</f>
        <v>0</v>
      </c>
      <c r="V42" s="65">
        <f t="shared" ca="1" si="53"/>
        <v>0</v>
      </c>
      <c r="W42" s="65">
        <f t="shared" si="53"/>
        <v>0</v>
      </c>
      <c r="X42" s="65">
        <f t="shared" ca="1" si="53"/>
        <v>0</v>
      </c>
      <c r="Y42" s="65">
        <f t="shared" si="53"/>
        <v>2904.2968068930568</v>
      </c>
      <c r="Z42" s="65">
        <f t="shared" ca="1" si="53"/>
        <v>1001.9823983781043</v>
      </c>
      <c r="AA42" s="65">
        <f t="shared" si="53"/>
        <v>0</v>
      </c>
      <c r="AB42" s="65">
        <f ca="1">SUM(AB36:AB41)</f>
        <v>0</v>
      </c>
      <c r="AC42" s="65"/>
      <c r="AD42" s="65">
        <f>SUM(AD36:AD41)</f>
        <v>152890.48190572736</v>
      </c>
      <c r="AE42" s="65">
        <f ca="1">SUM(AE36:AE41)</f>
        <v>85669.495061327907</v>
      </c>
      <c r="AF42" s="65">
        <f ca="1">SUM(AF36:AF41)</f>
        <v>22845.704192809833</v>
      </c>
      <c r="AG42" s="65">
        <f t="shared" ref="AG42:AL42" ca="1" si="54">SUM(AG36:AG41)</f>
        <v>12801.188917209918</v>
      </c>
      <c r="AH42" s="65">
        <f t="shared" ca="1" si="54"/>
        <v>175736.18609853717</v>
      </c>
      <c r="AI42" s="65">
        <f t="shared" ca="1" si="54"/>
        <v>98470.68397853784</v>
      </c>
      <c r="AJ42" s="65">
        <f t="shared" ca="1" si="54"/>
        <v>52720.855829561144</v>
      </c>
      <c r="AK42" s="65">
        <f t="shared" ca="1" si="54"/>
        <v>29541.205193561349</v>
      </c>
      <c r="AL42" s="65">
        <f t="shared" ca="1" si="54"/>
        <v>228457.0419280983</v>
      </c>
      <c r="AM42" s="65">
        <f ca="1">SUM(AM36:AM41)</f>
        <v>128011.8891720992</v>
      </c>
      <c r="AN42" s="65"/>
      <c r="AO42" s="65"/>
      <c r="AP42" s="65">
        <f>SUM(AP36:AP41)</f>
        <v>113.45712</v>
      </c>
      <c r="AQ42" s="65"/>
      <c r="AR42" s="65"/>
      <c r="AS42" s="65" t="e">
        <f>SUM(AS36:AS41)</f>
        <v>#REF!</v>
      </c>
      <c r="AT42" s="65"/>
      <c r="AU42" s="65">
        <f>SUM(AU36:AU41)</f>
        <v>0</v>
      </c>
      <c r="AV42" s="65"/>
      <c r="AW42" s="65">
        <f>SUM(AW36:AW41)</f>
        <v>0</v>
      </c>
      <c r="AX42" s="65"/>
      <c r="AY42" s="65">
        <f>SUM(AY36:AY41)</f>
        <v>0</v>
      </c>
      <c r="AZ42" s="65">
        <f>SUM(AZ36:AZ41)</f>
        <v>0</v>
      </c>
      <c r="BA42" s="65">
        <f>SUM(BA36:BA41)</f>
        <v>0</v>
      </c>
      <c r="BB42" s="65"/>
      <c r="BC42" s="65">
        <f>SUM(BC36:BC41)</f>
        <v>0</v>
      </c>
      <c r="BD42" s="65"/>
      <c r="BE42" s="65">
        <f>SUM(BE36:BE41)</f>
        <v>0</v>
      </c>
      <c r="BF42" s="65"/>
      <c r="BG42" s="65"/>
      <c r="BH42" s="65"/>
      <c r="BI42" s="65"/>
      <c r="BJ42" s="65">
        <f>SUM(BJ36:BJ41)</f>
        <v>1577.4915274999998</v>
      </c>
      <c r="BK42" s="65"/>
      <c r="BL42" s="65">
        <f>SUM(BL36:BL41)</f>
        <v>3034.6594881147539</v>
      </c>
      <c r="BM42" s="65"/>
      <c r="BN42" s="65"/>
      <c r="BO42" s="65">
        <f>SUM(BO36:BO41)</f>
        <v>17061.840000000004</v>
      </c>
      <c r="BP42" s="65"/>
      <c r="BQ42" s="65">
        <f>SUM(BQ36:BQ41)</f>
        <v>1890</v>
      </c>
      <c r="BR42" s="65"/>
      <c r="BS42" s="65">
        <f>SUM(BS36:BS37)</f>
        <v>0</v>
      </c>
      <c r="BT42" s="65">
        <f>SUM(BT36:BT41)</f>
        <v>127067.70552</v>
      </c>
      <c r="BU42" s="65" t="e">
        <f ca="1">SUM(BU36:BU37)</f>
        <v>#REF!</v>
      </c>
      <c r="BV42" s="65"/>
      <c r="BW42" s="65"/>
      <c r="BX42" s="65"/>
      <c r="BY42" s="65">
        <f>SUM(BY36:BY41)</f>
        <v>151.19999999999999</v>
      </c>
    </row>
    <row r="43" spans="1:77" s="7" customFormat="1" ht="12.75" customHeight="1" x14ac:dyDescent="0.2">
      <c r="A43" s="21"/>
      <c r="B43" s="477" t="s">
        <v>82</v>
      </c>
      <c r="C43" s="477"/>
      <c r="D43" s="477"/>
      <c r="E43" s="477"/>
      <c r="F43" s="22"/>
      <c r="G43" s="23"/>
      <c r="H43" s="23"/>
      <c r="I43" s="23"/>
      <c r="J43" s="23"/>
      <c r="K43" s="23"/>
      <c r="L43" s="23"/>
      <c r="M43" s="23"/>
      <c r="N43" s="23"/>
      <c r="O43" s="23"/>
      <c r="P43" s="23"/>
      <c r="Q43" s="24"/>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5"/>
      <c r="AQ43" s="26"/>
      <c r="AR43" s="26"/>
      <c r="AS43" s="25"/>
      <c r="AT43" s="23"/>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3"/>
    </row>
    <row r="44" spans="1:77" ht="22.5" x14ac:dyDescent="0.2">
      <c r="A44" s="19">
        <v>1</v>
      </c>
      <c r="B44" s="27" t="s">
        <v>423</v>
      </c>
      <c r="C44" s="66">
        <v>1</v>
      </c>
      <c r="D44" s="175" t="s">
        <v>491</v>
      </c>
      <c r="E44" s="176" t="s">
        <v>490</v>
      </c>
      <c r="F44" s="28" t="s">
        <v>106</v>
      </c>
      <c r="G44" s="29">
        <v>100</v>
      </c>
      <c r="H44" s="166">
        <v>42597</v>
      </c>
      <c r="I44" s="166">
        <v>42600</v>
      </c>
      <c r="J44" s="179">
        <f t="shared" ref="J44:J49" si="55">I44-H44</f>
        <v>3</v>
      </c>
      <c r="K44" s="164">
        <f>5*8</f>
        <v>40</v>
      </c>
      <c r="L44" s="33">
        <f t="shared" ref="L44:L49" si="56">G44/K44</f>
        <v>2.5</v>
      </c>
      <c r="M44" s="34">
        <v>1</v>
      </c>
      <c r="N44" s="34"/>
      <c r="O44" s="35">
        <f t="shared" ref="O44:O49" si="57">IF(M44=0,0,L44*$O$17)</f>
        <v>17.5</v>
      </c>
      <c r="P44" s="35">
        <f t="shared" ref="P44:P49" si="58">IF(N44=0,0,L44*$O$17)</f>
        <v>0</v>
      </c>
      <c r="Q44" s="34">
        <v>4</v>
      </c>
      <c r="R44" s="78">
        <f ca="1">IF(AND(O44&gt;0,Q44&gt;0),SUMIF('Исходные данные'!$C$14:H38,Q44,'Исходные данные'!$C$18:$H$18),IF(O44=0,0,IF(Q44=0,"РОТ")))</f>
        <v>156.08125696908263</v>
      </c>
      <c r="S44" s="34"/>
      <c r="T44" s="33"/>
      <c r="U44" s="125">
        <f ca="1">O44*R44*'Исходные данные'!$C$39%</f>
        <v>0</v>
      </c>
      <c r="V44" s="125">
        <f>P44*T44*'Исходные данные'!$C$40%</f>
        <v>0</v>
      </c>
      <c r="W44" s="125">
        <f t="shared" ref="W44:W49" ca="1" si="59">O44*R44*$W$17</f>
        <v>0</v>
      </c>
      <c r="X44" s="126">
        <f t="shared" ref="X44:X49" si="60">P44*T44*$W$17</f>
        <v>0</v>
      </c>
      <c r="Y44" s="125">
        <f t="shared" ref="Y44:Y49" ca="1" si="61">(O44*R44+U44+W44)*$Y$17</f>
        <v>273.14219969589465</v>
      </c>
      <c r="Z44" s="126">
        <f t="shared" ref="Z44:Z49" si="62">(P44*T44+V44+X44)*$Z$17</f>
        <v>0</v>
      </c>
      <c r="AA44" s="125">
        <f t="shared" ref="AA44:AA49" ca="1" si="63">(O44*R44+U44)*$AA$17</f>
        <v>0</v>
      </c>
      <c r="AB44" s="126">
        <f t="shared" ref="AB44:AB49" si="64">(P44*T44+V44)*$AA$17</f>
        <v>0</v>
      </c>
      <c r="AC44" s="124">
        <v>2.5</v>
      </c>
      <c r="AD44" s="125">
        <f t="shared" ref="AD44:AD49" ca="1" si="65">(O44*R44+U44+W44+Y44+AA44)*AC44</f>
        <v>7511.4104916371025</v>
      </c>
      <c r="AE44" s="125">
        <f t="shared" ref="AE44:AE49" si="66">(P44*T44+V44+X44+Z44+AB44)*AC44</f>
        <v>0</v>
      </c>
      <c r="AF44" s="35">
        <f ca="1">AD44*$AF$17</f>
        <v>1122.3946711641647</v>
      </c>
      <c r="AG44" s="70">
        <f ca="1">AE44*$AF$17</f>
        <v>0</v>
      </c>
      <c r="AH44" s="35">
        <f ca="1">AD44+AF44</f>
        <v>8633.8051628012672</v>
      </c>
      <c r="AI44" s="35">
        <f ca="1">AE44+AG44</f>
        <v>0</v>
      </c>
      <c r="AJ44" s="35">
        <f ca="1">AH44*$AJ$17</f>
        <v>2590.14154884038</v>
      </c>
      <c r="AK44" s="70">
        <f ca="1">AI44*$AJ$17</f>
        <v>0</v>
      </c>
      <c r="AL44" s="35">
        <f ca="1">AH44+AJ44</f>
        <v>11223.946711641647</v>
      </c>
      <c r="AM44" s="70">
        <f ca="1">AK44+AI44</f>
        <v>0</v>
      </c>
      <c r="AN44" s="165">
        <f>12.5/0.84</f>
        <v>14.880952380952381</v>
      </c>
      <c r="AO44" s="33">
        <f>'Исходные данные'!$C$55</f>
        <v>0.84</v>
      </c>
      <c r="AP44" s="74">
        <f>(G44*AN44)*AO44/100</f>
        <v>12.5</v>
      </c>
      <c r="AQ44" s="33" t="s">
        <v>152</v>
      </c>
      <c r="AR44" s="78" t="e">
        <f>'Исходные данные'!#REF!</f>
        <v>#REF!</v>
      </c>
      <c r="AS44" s="36" t="e">
        <f>AP44*AR44</f>
        <v>#REF!</v>
      </c>
      <c r="AT44" s="32"/>
      <c r="AU44" s="36"/>
      <c r="AV44" s="36"/>
      <c r="AW44" s="36"/>
      <c r="AX44" s="36"/>
      <c r="AY44" s="36"/>
      <c r="AZ44" s="36"/>
      <c r="BA44" s="36"/>
      <c r="BB44" s="36"/>
      <c r="BC44" s="36"/>
      <c r="BD44" s="36"/>
      <c r="BE44" s="36"/>
      <c r="BF44" s="36"/>
      <c r="BG44" s="36"/>
      <c r="BH44" s="36"/>
      <c r="BI44" s="36">
        <f>аморт!$G$11</f>
        <v>181.91312849162011</v>
      </c>
      <c r="BJ44" s="36">
        <f>BI44*L44</f>
        <v>454.78282122905028</v>
      </c>
      <c r="BK44" s="36">
        <f>аморт!G60</f>
        <v>41.864400000000003</v>
      </c>
      <c r="BL44" s="36">
        <f>BK44*L44</f>
        <v>104.661</v>
      </c>
      <c r="BM44" s="36"/>
      <c r="BN44" s="38">
        <v>82.4</v>
      </c>
      <c r="BO44" s="36">
        <f>BN44*BY44</f>
        <v>1050.6000000000001</v>
      </c>
      <c r="BP44" s="38">
        <v>13.9</v>
      </c>
      <c r="BQ44" s="36">
        <f>BP44*BY44</f>
        <v>177.22499999999999</v>
      </c>
      <c r="BR44" s="38">
        <f>4.8*1.045*1.054</f>
        <v>5.2868639999999996</v>
      </c>
      <c r="BS44" s="36">
        <f>BR44*BY44</f>
        <v>67.407516000000001</v>
      </c>
      <c r="BT44" s="36">
        <f>аморт!C56*10%/аморт!E56*L44*7</f>
        <v>7308.4759999999997</v>
      </c>
      <c r="BU44" s="36" t="e">
        <f t="shared" ref="BU44:BU49" ca="1" si="67">AL44+AM44+AS44+AW44+BA44+BE44+BH44+BJ44+BL44+BM44+BO44+BQ44+BS44+BT44</f>
        <v>#REF!</v>
      </c>
      <c r="BV44" s="36" t="e">
        <f t="shared" ref="BV44:BV49" ca="1" si="68">BU44/$D$6</f>
        <v>#REF!</v>
      </c>
      <c r="BW44" s="38">
        <f t="shared" ref="BW44:BW49" si="69">(O44+P44)/$D$6</f>
        <v>0.17499999999999999</v>
      </c>
      <c r="BX44" s="38">
        <v>5.0999999999999996</v>
      </c>
      <c r="BY44" s="39">
        <f>BX44*L44</f>
        <v>12.75</v>
      </c>
    </row>
    <row r="45" spans="1:77" ht="22.5" x14ac:dyDescent="0.2">
      <c r="A45" s="19">
        <v>2</v>
      </c>
      <c r="B45" s="27" t="s">
        <v>77</v>
      </c>
      <c r="C45" s="66">
        <v>5</v>
      </c>
      <c r="D45" s="19" t="s">
        <v>224</v>
      </c>
      <c r="E45" s="31"/>
      <c r="F45" s="28" t="s">
        <v>119</v>
      </c>
      <c r="G45" s="29">
        <f>D12/10</f>
        <v>1500</v>
      </c>
      <c r="H45" s="166">
        <v>42597</v>
      </c>
      <c r="I45" s="166">
        <f>I44</f>
        <v>42600</v>
      </c>
      <c r="J45" s="179">
        <f t="shared" si="55"/>
        <v>3</v>
      </c>
      <c r="K45" s="164">
        <v>80</v>
      </c>
      <c r="L45" s="33">
        <f t="shared" si="56"/>
        <v>18.75</v>
      </c>
      <c r="M45" s="34">
        <v>1</v>
      </c>
      <c r="N45" s="34"/>
      <c r="O45" s="35">
        <f t="shared" si="57"/>
        <v>131.25</v>
      </c>
      <c r="P45" s="35">
        <f t="shared" si="58"/>
        <v>0</v>
      </c>
      <c r="Q45" s="34">
        <v>5</v>
      </c>
      <c r="R45" s="78">
        <f>'Исходные данные'!G22</f>
        <v>197.57121135326915</v>
      </c>
      <c r="S45" s="34"/>
      <c r="T45" s="33"/>
      <c r="U45" s="125">
        <f>O45*R45*'Исходные данные'!$C$39%</f>
        <v>0</v>
      </c>
      <c r="V45" s="125">
        <f>P45*T45*'Исходные данные'!$C$40%</f>
        <v>0</v>
      </c>
      <c r="W45" s="125">
        <f t="shared" si="59"/>
        <v>0</v>
      </c>
      <c r="X45" s="126">
        <f t="shared" si="60"/>
        <v>0</v>
      </c>
      <c r="Y45" s="125">
        <f t="shared" si="61"/>
        <v>2593.1221490116577</v>
      </c>
      <c r="Z45" s="126">
        <f t="shared" si="62"/>
        <v>0</v>
      </c>
      <c r="AA45" s="125">
        <f t="shared" si="63"/>
        <v>0</v>
      </c>
      <c r="AB45" s="126">
        <f t="shared" si="64"/>
        <v>0</v>
      </c>
      <c r="AC45" s="124">
        <v>2.5</v>
      </c>
      <c r="AD45" s="125">
        <f t="shared" si="65"/>
        <v>71310.85909782059</v>
      </c>
      <c r="AE45" s="125">
        <f t="shared" si="66"/>
        <v>0</v>
      </c>
      <c r="AF45" s="35">
        <f ca="1">AD45*$AF$17</f>
        <v>10655.64561231802</v>
      </c>
      <c r="AG45" s="70"/>
      <c r="AH45" s="35">
        <f ca="1">AD45+AF45</f>
        <v>81966.504710138615</v>
      </c>
      <c r="AI45" s="35"/>
      <c r="AJ45" s="35">
        <f ca="1">AH45*$AJ$17</f>
        <v>24589.951413041585</v>
      </c>
      <c r="AK45" s="70"/>
      <c r="AL45" s="35">
        <f ca="1">AH45+AJ45</f>
        <v>106556.45612318019</v>
      </c>
      <c r="AM45" s="70"/>
      <c r="AN45" s="32">
        <v>12.33</v>
      </c>
      <c r="AO45" s="33">
        <f>'Исходные данные'!$C$55</f>
        <v>0.84</v>
      </c>
      <c r="AP45" s="74">
        <f>(G45*AN45)*AO45/100</f>
        <v>155.358</v>
      </c>
      <c r="AQ45" s="33" t="s">
        <v>152</v>
      </c>
      <c r="AR45" s="78" t="e">
        <f>'Исходные данные'!#REF!</f>
        <v>#REF!</v>
      </c>
      <c r="AS45" s="36" t="e">
        <f>AP45*AR45</f>
        <v>#REF!</v>
      </c>
      <c r="AT45" s="32"/>
      <c r="AU45" s="36"/>
      <c r="AV45" s="36"/>
      <c r="AW45" s="36"/>
      <c r="AX45" s="36"/>
      <c r="AY45" s="36"/>
      <c r="AZ45" s="36"/>
      <c r="BA45" s="36"/>
      <c r="BB45" s="36"/>
      <c r="BC45" s="36"/>
      <c r="BD45" s="36"/>
      <c r="BE45" s="36"/>
      <c r="BF45" s="36"/>
      <c r="BG45" s="36"/>
      <c r="BH45" s="36"/>
      <c r="BI45" s="36">
        <f>аморт!$G$11</f>
        <v>181.91312849162011</v>
      </c>
      <c r="BJ45" s="36">
        <f>BI45*L45</f>
        <v>3410.871159217877</v>
      </c>
      <c r="BK45" s="80">
        <f>аморт!$G$23</f>
        <v>48.426111111111105</v>
      </c>
      <c r="BL45" s="36">
        <f>BK45*L45</f>
        <v>907.98958333333326</v>
      </c>
      <c r="BM45" s="36"/>
      <c r="BN45" s="38">
        <v>82.4</v>
      </c>
      <c r="BO45" s="36">
        <f>BN45*BY45</f>
        <v>7879.5000000000009</v>
      </c>
      <c r="BP45" s="38">
        <v>13.9</v>
      </c>
      <c r="BQ45" s="36">
        <f>BP45*BY45</f>
        <v>1329.1875</v>
      </c>
      <c r="BR45" s="38">
        <f>4.8*1.045*1.054</f>
        <v>5.2868639999999996</v>
      </c>
      <c r="BS45" s="36">
        <f>BR45*BY45</f>
        <v>505.55636999999996</v>
      </c>
      <c r="BT45" s="36">
        <f>аморт!$C$23*10%/аморт!$E$23*L45*7</f>
        <v>144152.42625000002</v>
      </c>
      <c r="BU45" s="36" t="e">
        <f t="shared" ca="1" si="67"/>
        <v>#REF!</v>
      </c>
      <c r="BV45" s="36" t="e">
        <f t="shared" ca="1" si="68"/>
        <v>#REF!</v>
      </c>
      <c r="BW45" s="38">
        <f t="shared" si="69"/>
        <v>1.3125</v>
      </c>
      <c r="BX45" s="38">
        <v>5.0999999999999996</v>
      </c>
      <c r="BY45" s="39">
        <f>BX45*L45</f>
        <v>95.625</v>
      </c>
    </row>
    <row r="46" spans="1:77" x14ac:dyDescent="0.2">
      <c r="A46" s="20">
        <f>A45+1</f>
        <v>3</v>
      </c>
      <c r="B46" s="27" t="s">
        <v>78</v>
      </c>
      <c r="C46" s="66">
        <v>1</v>
      </c>
      <c r="D46" s="478" t="s">
        <v>486</v>
      </c>
      <c r="E46" s="479"/>
      <c r="F46" s="28" t="s">
        <v>119</v>
      </c>
      <c r="G46" s="29">
        <f>D12/10</f>
        <v>1500</v>
      </c>
      <c r="H46" s="166">
        <v>42597</v>
      </c>
      <c r="I46" s="166">
        <f>I45</f>
        <v>42600</v>
      </c>
      <c r="J46" s="179">
        <f t="shared" si="55"/>
        <v>3</v>
      </c>
      <c r="K46" s="164">
        <f>G46/J46</f>
        <v>500</v>
      </c>
      <c r="L46" s="33">
        <f t="shared" si="56"/>
        <v>3</v>
      </c>
      <c r="M46" s="34">
        <v>1</v>
      </c>
      <c r="N46" s="34"/>
      <c r="O46" s="35">
        <f t="shared" si="57"/>
        <v>21</v>
      </c>
      <c r="P46" s="35">
        <f t="shared" si="58"/>
        <v>0</v>
      </c>
      <c r="Q46" s="34">
        <v>5</v>
      </c>
      <c r="R46" s="78">
        <f>'Исходные данные'!$G$22</f>
        <v>197.57121135326915</v>
      </c>
      <c r="S46" s="34"/>
      <c r="T46" s="33"/>
      <c r="U46" s="125">
        <f>O46*R46*'Исходные данные'!$C$39%</f>
        <v>0</v>
      </c>
      <c r="V46" s="125">
        <f>P46*T46*'Исходные данные'!$C$40%</f>
        <v>0</v>
      </c>
      <c r="W46" s="125">
        <f t="shared" si="59"/>
        <v>0</v>
      </c>
      <c r="X46" s="126">
        <f t="shared" si="60"/>
        <v>0</v>
      </c>
      <c r="Y46" s="125">
        <f t="shared" si="61"/>
        <v>414.89954384186524</v>
      </c>
      <c r="Z46" s="126">
        <f t="shared" si="62"/>
        <v>0</v>
      </c>
      <c r="AA46" s="125">
        <f t="shared" si="63"/>
        <v>0</v>
      </c>
      <c r="AB46" s="126">
        <f t="shared" si="64"/>
        <v>0</v>
      </c>
      <c r="AC46" s="124">
        <v>2.5</v>
      </c>
      <c r="AD46" s="125">
        <f t="shared" si="65"/>
        <v>11409.737455651293</v>
      </c>
      <c r="AE46" s="125">
        <f t="shared" si="66"/>
        <v>0</v>
      </c>
      <c r="AF46" s="35">
        <f ca="1">AD46*$AF$17</f>
        <v>1704.9032979708829</v>
      </c>
      <c r="AG46" s="70"/>
      <c r="AH46" s="35">
        <f ca="1">AD46+AF46</f>
        <v>13114.640753622176</v>
      </c>
      <c r="AI46" s="35"/>
      <c r="AJ46" s="35">
        <f ca="1">AH46*$AJ$17</f>
        <v>3934.3922260866525</v>
      </c>
      <c r="AK46" s="70"/>
      <c r="AL46" s="35">
        <f ca="1">AH46+AJ46</f>
        <v>17049.032979708827</v>
      </c>
      <c r="AM46" s="70"/>
      <c r="AN46" s="165">
        <v>10</v>
      </c>
      <c r="AO46" s="33">
        <f>'Исходные данные'!$C$55</f>
        <v>0.84</v>
      </c>
      <c r="AP46" s="74">
        <f>(G46*AN46)*AO46/100</f>
        <v>126</v>
      </c>
      <c r="AQ46" s="33" t="s">
        <v>152</v>
      </c>
      <c r="AR46" s="78" t="e">
        <f>'Исходные данные'!#REF!</f>
        <v>#REF!</v>
      </c>
      <c r="AS46" s="36" t="e">
        <f>AP46*AR46</f>
        <v>#REF!</v>
      </c>
      <c r="AT46" s="32"/>
      <c r="AU46" s="36"/>
      <c r="AV46" s="36"/>
      <c r="AW46" s="36"/>
      <c r="AX46" s="36"/>
      <c r="AY46" s="36"/>
      <c r="AZ46" s="36"/>
      <c r="BA46" s="36"/>
      <c r="BB46" s="36"/>
      <c r="BC46" s="36"/>
      <c r="BD46" s="36"/>
      <c r="BE46" s="36"/>
      <c r="BF46" s="36"/>
      <c r="BG46" s="36"/>
      <c r="BH46" s="36"/>
      <c r="BI46" s="36">
        <f>аморт!$G$8</f>
        <v>75.11864416666667</v>
      </c>
      <c r="BJ46" s="36">
        <f>BI46*L46</f>
        <v>225.35593249999999</v>
      </c>
      <c r="BK46" s="36">
        <f>аморт!$G$36</f>
        <v>294.73684210526318</v>
      </c>
      <c r="BL46" s="36">
        <f>BK46*L46</f>
        <v>884.21052631578959</v>
      </c>
      <c r="BM46" s="36">
        <f>(2596950)*6.7%</f>
        <v>173995.65000000002</v>
      </c>
      <c r="BN46" s="38">
        <v>111.7</v>
      </c>
      <c r="BO46" s="36">
        <f>BN46*BY46</f>
        <v>2412.7200000000003</v>
      </c>
      <c r="BP46" s="38">
        <v>12.5</v>
      </c>
      <c r="BQ46" s="36">
        <f>BP46*BY46</f>
        <v>270</v>
      </c>
      <c r="BR46" s="36"/>
      <c r="BS46" s="36">
        <f>BR46*BY46</f>
        <v>0</v>
      </c>
      <c r="BT46" s="36"/>
      <c r="BU46" s="36" t="e">
        <f t="shared" ca="1" si="67"/>
        <v>#REF!</v>
      </c>
      <c r="BV46" s="36" t="e">
        <f t="shared" ca="1" si="68"/>
        <v>#REF!</v>
      </c>
      <c r="BW46" s="38">
        <f t="shared" si="69"/>
        <v>0.21</v>
      </c>
      <c r="BX46" s="38">
        <v>7.2</v>
      </c>
      <c r="BY46" s="39">
        <f>BX46*L46</f>
        <v>21.6</v>
      </c>
    </row>
    <row r="47" spans="1:77" ht="33.75" x14ac:dyDescent="0.2">
      <c r="A47" s="20">
        <f>A46+1</f>
        <v>4</v>
      </c>
      <c r="B47" s="27" t="s">
        <v>79</v>
      </c>
      <c r="C47" s="66"/>
      <c r="D47" s="478" t="s">
        <v>118</v>
      </c>
      <c r="E47" s="479"/>
      <c r="F47" s="28" t="s">
        <v>119</v>
      </c>
      <c r="G47" s="38">
        <f>BC47</f>
        <v>3</v>
      </c>
      <c r="H47" s="167">
        <v>42597</v>
      </c>
      <c r="I47" s="166">
        <f>I46</f>
        <v>42600</v>
      </c>
      <c r="J47" s="179">
        <f t="shared" si="55"/>
        <v>3</v>
      </c>
      <c r="K47" s="164">
        <v>2</v>
      </c>
      <c r="L47" s="33">
        <f t="shared" si="56"/>
        <v>1.5</v>
      </c>
      <c r="M47" s="34"/>
      <c r="N47" s="34">
        <v>1</v>
      </c>
      <c r="O47" s="35">
        <f t="shared" si="57"/>
        <v>0</v>
      </c>
      <c r="P47" s="35">
        <f t="shared" si="58"/>
        <v>10.5</v>
      </c>
      <c r="Q47" s="34"/>
      <c r="R47" s="33"/>
      <c r="S47" s="34">
        <v>2</v>
      </c>
      <c r="T47" s="78">
        <f ca="1">IF(AND(N47&gt;0,P47&gt;0),SUMIF('Исходные данные'!$C$14:$J$30,S47,'Исходные данные'!$C$34:$J$41),IF(N47=0,0,IF(S47=0,"РОТ")))</f>
        <v>105.700598073999</v>
      </c>
      <c r="U47" s="125">
        <f>O47*R47*'Исходные данные'!$C$39%</f>
        <v>0</v>
      </c>
      <c r="V47" s="125">
        <f ca="1">P47*T47*'Исходные данные'!$C$40%</f>
        <v>0</v>
      </c>
      <c r="W47" s="125">
        <f t="shared" si="59"/>
        <v>0</v>
      </c>
      <c r="X47" s="126">
        <f t="shared" ca="1" si="60"/>
        <v>0</v>
      </c>
      <c r="Y47" s="125">
        <f t="shared" si="61"/>
        <v>0</v>
      </c>
      <c r="Z47" s="126">
        <f t="shared" ca="1" si="62"/>
        <v>55.492813988849484</v>
      </c>
      <c r="AA47" s="125">
        <f t="shared" si="63"/>
        <v>0</v>
      </c>
      <c r="AB47" s="126">
        <f t="shared" ca="1" si="64"/>
        <v>0</v>
      </c>
      <c r="AC47" s="124">
        <v>2.5</v>
      </c>
      <c r="AD47" s="125">
        <f t="shared" si="65"/>
        <v>0</v>
      </c>
      <c r="AE47" s="125">
        <f t="shared" ca="1" si="66"/>
        <v>2913.3727344145977</v>
      </c>
      <c r="AF47" s="35"/>
      <c r="AG47" s="70">
        <f ca="1">AE47*$AF$17</f>
        <v>435.33155801597439</v>
      </c>
      <c r="AH47" s="35"/>
      <c r="AI47" s="35">
        <f ca="1">AE47+AG47</f>
        <v>3348.704292430572</v>
      </c>
      <c r="AJ47" s="35"/>
      <c r="AK47" s="70">
        <f ca="1">AI47*$AJ$17</f>
        <v>1004.6112877291715</v>
      </c>
      <c r="AL47" s="35"/>
      <c r="AM47" s="70">
        <f ca="1">AK47+AI47</f>
        <v>4353.3155801597431</v>
      </c>
      <c r="AN47" s="33"/>
      <c r="AO47" s="32"/>
      <c r="AP47" s="36"/>
      <c r="AQ47" s="37"/>
      <c r="AR47" s="37"/>
      <c r="AS47" s="36"/>
      <c r="AT47" s="32"/>
      <c r="AU47" s="36"/>
      <c r="AV47" s="36"/>
      <c r="AW47" s="36"/>
      <c r="AX47" s="36"/>
      <c r="AY47" s="36"/>
      <c r="AZ47" s="36"/>
      <c r="BA47" s="36"/>
      <c r="BB47" s="36">
        <v>2</v>
      </c>
      <c r="BC47" s="38">
        <f>BB47*D12/10/1000</f>
        <v>3</v>
      </c>
      <c r="BD47" s="108">
        <v>12.5</v>
      </c>
      <c r="BE47" s="36">
        <f>BC47*BD47*1000</f>
        <v>37500</v>
      </c>
      <c r="BF47" s="36"/>
      <c r="BG47" s="36"/>
      <c r="BH47" s="36"/>
      <c r="BI47" s="36"/>
      <c r="BJ47" s="36"/>
      <c r="BK47" s="36"/>
      <c r="BL47" s="36"/>
      <c r="BM47" s="36"/>
      <c r="BN47" s="36"/>
      <c r="BO47" s="36"/>
      <c r="BP47" s="36"/>
      <c r="BQ47" s="36"/>
      <c r="BR47" s="36"/>
      <c r="BS47" s="36"/>
      <c r="BT47" s="36"/>
      <c r="BU47" s="36">
        <f t="shared" ca="1" si="67"/>
        <v>41853.315580159746</v>
      </c>
      <c r="BV47" s="36">
        <f t="shared" ca="1" si="68"/>
        <v>418.53315580159745</v>
      </c>
      <c r="BW47" s="38">
        <f t="shared" si="69"/>
        <v>0.105</v>
      </c>
      <c r="BX47" s="38"/>
      <c r="BY47" s="39"/>
    </row>
    <row r="48" spans="1:77" ht="22.5" x14ac:dyDescent="0.2">
      <c r="A48" s="20">
        <v>5</v>
      </c>
      <c r="B48" s="27" t="s">
        <v>80</v>
      </c>
      <c r="C48" s="66"/>
      <c r="D48" s="478" t="s">
        <v>118</v>
      </c>
      <c r="E48" s="479"/>
      <c r="F48" s="28" t="s">
        <v>123</v>
      </c>
      <c r="G48" s="66">
        <f>D10*D9*2</f>
        <v>1000</v>
      </c>
      <c r="H48" s="167">
        <v>42597</v>
      </c>
      <c r="I48" s="166">
        <f>I47</f>
        <v>42600</v>
      </c>
      <c r="J48" s="179">
        <f t="shared" si="55"/>
        <v>3</v>
      </c>
      <c r="K48" s="164">
        <f>G48/J48</f>
        <v>333.33333333333331</v>
      </c>
      <c r="L48" s="33">
        <f t="shared" si="56"/>
        <v>3</v>
      </c>
      <c r="M48" s="34"/>
      <c r="N48" s="34">
        <v>1</v>
      </c>
      <c r="O48" s="35">
        <f t="shared" si="57"/>
        <v>0</v>
      </c>
      <c r="P48" s="35">
        <f t="shared" si="58"/>
        <v>21</v>
      </c>
      <c r="Q48" s="34"/>
      <c r="R48" s="33"/>
      <c r="S48" s="34">
        <v>2</v>
      </c>
      <c r="T48" s="78">
        <f ca="1">IF(AND(N48&gt;0,P48&gt;0),SUMIF('Исходные данные'!$C$14:$J$30,S48,'Исходные данные'!$C$34:$J$41),IF(N48=0,0,IF(S48=0,"РОТ")))</f>
        <v>105.700598073999</v>
      </c>
      <c r="U48" s="125">
        <f>O48*R48*'Исходные данные'!$C$39%</f>
        <v>0</v>
      </c>
      <c r="V48" s="125">
        <f ca="1">P48*T48*'Исходные данные'!$C$40%</f>
        <v>0</v>
      </c>
      <c r="W48" s="125">
        <f t="shared" si="59"/>
        <v>0</v>
      </c>
      <c r="X48" s="126">
        <f t="shared" ca="1" si="60"/>
        <v>0</v>
      </c>
      <c r="Y48" s="125">
        <f t="shared" si="61"/>
        <v>0</v>
      </c>
      <c r="Z48" s="126">
        <f t="shared" ca="1" si="62"/>
        <v>110.98562797769897</v>
      </c>
      <c r="AA48" s="125">
        <f t="shared" si="63"/>
        <v>0</v>
      </c>
      <c r="AB48" s="126">
        <f t="shared" ca="1" si="64"/>
        <v>0</v>
      </c>
      <c r="AC48" s="124">
        <v>2.5</v>
      </c>
      <c r="AD48" s="125">
        <f t="shared" si="65"/>
        <v>0</v>
      </c>
      <c r="AE48" s="125">
        <f t="shared" ca="1" si="66"/>
        <v>5826.7454688291955</v>
      </c>
      <c r="AF48" s="35"/>
      <c r="AG48" s="70">
        <f ca="1">AE48*$AF$17</f>
        <v>870.66311603194879</v>
      </c>
      <c r="AH48" s="35"/>
      <c r="AI48" s="35">
        <f ca="1">AE48+AG48</f>
        <v>6697.4085848611439</v>
      </c>
      <c r="AJ48" s="35"/>
      <c r="AK48" s="70">
        <f ca="1">AI48*$AJ$17</f>
        <v>2009.222575458343</v>
      </c>
      <c r="AL48" s="35"/>
      <c r="AM48" s="70">
        <f ca="1">AK48+AI48</f>
        <v>8706.6311603194863</v>
      </c>
      <c r="AN48" s="32"/>
      <c r="AO48" s="32"/>
      <c r="AP48" s="36"/>
      <c r="AQ48" s="37"/>
      <c r="AR48" s="37"/>
      <c r="AS48" s="36"/>
      <c r="AT48" s="32"/>
      <c r="AU48" s="36"/>
      <c r="AV48" s="36"/>
      <c r="AW48" s="36"/>
      <c r="AX48" s="36"/>
      <c r="AY48" s="36"/>
      <c r="AZ48" s="36"/>
      <c r="BA48" s="36"/>
      <c r="BB48" s="36"/>
      <c r="BC48" s="36"/>
      <c r="BD48" s="36"/>
      <c r="BE48" s="36"/>
      <c r="BF48" s="36">
        <f>G48*1.13</f>
        <v>1130</v>
      </c>
      <c r="BG48" s="38"/>
      <c r="BH48" s="36">
        <f>BF48*BG48</f>
        <v>0</v>
      </c>
      <c r="BI48" s="36"/>
      <c r="BJ48" s="36"/>
      <c r="BK48" s="36"/>
      <c r="BL48" s="36"/>
      <c r="BM48" s="36"/>
      <c r="BN48" s="36"/>
      <c r="BO48" s="36"/>
      <c r="BP48" s="36"/>
      <c r="BQ48" s="36"/>
      <c r="BR48" s="36"/>
      <c r="BS48" s="36"/>
      <c r="BT48" s="36"/>
      <c r="BU48" s="36">
        <f t="shared" ca="1" si="67"/>
        <v>8706.6311603194863</v>
      </c>
      <c r="BV48" s="36">
        <f t="shared" ca="1" si="68"/>
        <v>87.066311603194862</v>
      </c>
      <c r="BW48" s="38">
        <f t="shared" si="69"/>
        <v>0.21</v>
      </c>
      <c r="BX48" s="38"/>
      <c r="BY48" s="39"/>
    </row>
    <row r="49" spans="1:77" ht="22.5" x14ac:dyDescent="0.2">
      <c r="A49" s="20">
        <v>6</v>
      </c>
      <c r="B49" s="27" t="s">
        <v>81</v>
      </c>
      <c r="C49" s="66"/>
      <c r="D49" s="478" t="s">
        <v>118</v>
      </c>
      <c r="E49" s="479"/>
      <c r="F49" s="28" t="s">
        <v>123</v>
      </c>
      <c r="G49" s="66">
        <f>G48</f>
        <v>1000</v>
      </c>
      <c r="H49" s="167">
        <v>42597</v>
      </c>
      <c r="I49" s="166">
        <f>I48</f>
        <v>42600</v>
      </c>
      <c r="J49" s="179">
        <f t="shared" si="55"/>
        <v>3</v>
      </c>
      <c r="K49" s="164">
        <f>G49/J49</f>
        <v>333.33333333333331</v>
      </c>
      <c r="L49" s="33">
        <f t="shared" si="56"/>
        <v>3</v>
      </c>
      <c r="M49" s="34"/>
      <c r="N49" s="34">
        <v>1</v>
      </c>
      <c r="O49" s="35">
        <f t="shared" si="57"/>
        <v>0</v>
      </c>
      <c r="P49" s="35">
        <f t="shared" si="58"/>
        <v>21</v>
      </c>
      <c r="Q49" s="34"/>
      <c r="R49" s="33"/>
      <c r="S49" s="34">
        <v>2</v>
      </c>
      <c r="T49" s="78">
        <f ca="1">IF(AND(N49&gt;0,P49&gt;0),SUMIF('Исходные данные'!$C$14:$J$30,S49,'Исходные данные'!$C$34:$J$41),IF(N49=0,0,IF(S49=0,"РОТ")))</f>
        <v>105.700598073999</v>
      </c>
      <c r="U49" s="125">
        <f>O49*R49*'Исходные данные'!$C$39%</f>
        <v>0</v>
      </c>
      <c r="V49" s="125">
        <f ca="1">P49*T49*'Исходные данные'!$C$40%</f>
        <v>0</v>
      </c>
      <c r="W49" s="125">
        <f t="shared" si="59"/>
        <v>0</v>
      </c>
      <c r="X49" s="126">
        <f t="shared" ca="1" si="60"/>
        <v>0</v>
      </c>
      <c r="Y49" s="125">
        <f t="shared" si="61"/>
        <v>0</v>
      </c>
      <c r="Z49" s="126">
        <f t="shared" ca="1" si="62"/>
        <v>110.98562797769897</v>
      </c>
      <c r="AA49" s="125">
        <f t="shared" si="63"/>
        <v>0</v>
      </c>
      <c r="AB49" s="126">
        <f t="shared" ca="1" si="64"/>
        <v>0</v>
      </c>
      <c r="AC49" s="124">
        <v>2.5</v>
      </c>
      <c r="AD49" s="125">
        <f t="shared" si="65"/>
        <v>0</v>
      </c>
      <c r="AE49" s="125">
        <f t="shared" ca="1" si="66"/>
        <v>5826.7454688291955</v>
      </c>
      <c r="AF49" s="35"/>
      <c r="AG49" s="70">
        <f ca="1">AE49*$AF$17</f>
        <v>870.66311603194879</v>
      </c>
      <c r="AH49" s="35"/>
      <c r="AI49" s="35">
        <f ca="1">AE49+AG49</f>
        <v>6697.4085848611439</v>
      </c>
      <c r="AJ49" s="35"/>
      <c r="AK49" s="70">
        <f ca="1">AI49*$AJ$17</f>
        <v>2009.222575458343</v>
      </c>
      <c r="AL49" s="35"/>
      <c r="AM49" s="70">
        <f ca="1">AK49+AI49</f>
        <v>8706.6311603194863</v>
      </c>
      <c r="AN49" s="32"/>
      <c r="AO49" s="32"/>
      <c r="AP49" s="36"/>
      <c r="AQ49" s="37"/>
      <c r="AR49" s="37"/>
      <c r="AS49" s="36"/>
      <c r="AT49" s="32"/>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f t="shared" ca="1" si="67"/>
        <v>8706.6311603194863</v>
      </c>
      <c r="BV49" s="36">
        <f t="shared" ca="1" si="68"/>
        <v>87.066311603194862</v>
      </c>
      <c r="BW49" s="38">
        <f t="shared" si="69"/>
        <v>0.21</v>
      </c>
      <c r="BX49" s="38"/>
      <c r="BY49" s="39"/>
    </row>
    <row r="50" spans="1:77" s="54" customFormat="1" x14ac:dyDescent="0.2">
      <c r="A50" s="52"/>
      <c r="B50" s="53" t="s">
        <v>21</v>
      </c>
      <c r="C50" s="56"/>
      <c r="D50" s="56"/>
      <c r="E50" s="56"/>
      <c r="F50" s="55"/>
      <c r="G50" s="56"/>
      <c r="H50" s="56"/>
      <c r="I50" s="56"/>
      <c r="J50" s="65">
        <f>SUM(J44:J49)</f>
        <v>18</v>
      </c>
      <c r="K50" s="65"/>
      <c r="L50" s="65">
        <f t="shared" ref="L50:BQ50" si="70">SUM(L44:L49)</f>
        <v>31.75</v>
      </c>
      <c r="M50" s="65">
        <f t="shared" si="70"/>
        <v>3</v>
      </c>
      <c r="N50" s="65">
        <f t="shared" si="70"/>
        <v>3</v>
      </c>
      <c r="O50" s="65">
        <f t="shared" si="70"/>
        <v>169.75</v>
      </c>
      <c r="P50" s="65">
        <f t="shared" si="70"/>
        <v>52.5</v>
      </c>
      <c r="Q50" s="65"/>
      <c r="R50" s="65"/>
      <c r="S50" s="65"/>
      <c r="T50" s="65"/>
      <c r="U50" s="65">
        <f t="shared" ca="1" si="70"/>
        <v>0</v>
      </c>
      <c r="V50" s="65">
        <f t="shared" ca="1" si="70"/>
        <v>0</v>
      </c>
      <c r="W50" s="65">
        <f t="shared" ca="1" si="70"/>
        <v>0</v>
      </c>
      <c r="X50" s="65">
        <f t="shared" ca="1" si="70"/>
        <v>0</v>
      </c>
      <c r="Y50" s="65">
        <f t="shared" ca="1" si="70"/>
        <v>3281.1638925494176</v>
      </c>
      <c r="Z50" s="65">
        <f t="shared" ca="1" si="70"/>
        <v>277.4640699442474</v>
      </c>
      <c r="AA50" s="65">
        <f t="shared" ca="1" si="70"/>
        <v>0</v>
      </c>
      <c r="AB50" s="65">
        <f t="shared" ca="1" si="70"/>
        <v>0</v>
      </c>
      <c r="AC50" s="65"/>
      <c r="AD50" s="65">
        <f t="shared" ca="1" si="70"/>
        <v>90232.007045108985</v>
      </c>
      <c r="AE50" s="65">
        <f t="shared" ca="1" si="70"/>
        <v>14566.863672072988</v>
      </c>
      <c r="AF50" s="65">
        <f t="shared" ca="1" si="70"/>
        <v>13482.943581453066</v>
      </c>
      <c r="AG50" s="65">
        <f t="shared" ca="1" si="70"/>
        <v>2176.657790079872</v>
      </c>
      <c r="AH50" s="65">
        <f t="shared" ca="1" si="70"/>
        <v>103714.95062656206</v>
      </c>
      <c r="AI50" s="65">
        <f t="shared" ca="1" si="70"/>
        <v>16743.521462152861</v>
      </c>
      <c r="AJ50" s="65">
        <f t="shared" ca="1" si="70"/>
        <v>31114.485187968618</v>
      </c>
      <c r="AK50" s="65">
        <f t="shared" ca="1" si="70"/>
        <v>5023.0564386458573</v>
      </c>
      <c r="AL50" s="65">
        <f t="shared" ca="1" si="70"/>
        <v>134829.43581453068</v>
      </c>
      <c r="AM50" s="65">
        <f t="shared" ca="1" si="70"/>
        <v>21766.577900798715</v>
      </c>
      <c r="AN50" s="65"/>
      <c r="AO50" s="65"/>
      <c r="AP50" s="65">
        <f t="shared" si="70"/>
        <v>293.858</v>
      </c>
      <c r="AQ50" s="65"/>
      <c r="AR50" s="65"/>
      <c r="AS50" s="65" t="e">
        <f t="shared" si="70"/>
        <v>#REF!</v>
      </c>
      <c r="AT50" s="65"/>
      <c r="AU50" s="65">
        <f t="shared" si="70"/>
        <v>0</v>
      </c>
      <c r="AV50" s="65"/>
      <c r="AW50" s="65">
        <f t="shared" si="70"/>
        <v>0</v>
      </c>
      <c r="AX50" s="65"/>
      <c r="AY50" s="65">
        <f t="shared" si="70"/>
        <v>0</v>
      </c>
      <c r="AZ50" s="65"/>
      <c r="BA50" s="65">
        <f t="shared" si="70"/>
        <v>0</v>
      </c>
      <c r="BB50" s="65"/>
      <c r="BC50" s="65">
        <f t="shared" si="70"/>
        <v>3</v>
      </c>
      <c r="BD50" s="65"/>
      <c r="BE50" s="65">
        <f t="shared" si="70"/>
        <v>37500</v>
      </c>
      <c r="BF50" s="65">
        <f>SUM(BF44:BF49)</f>
        <v>1130</v>
      </c>
      <c r="BG50" s="65"/>
      <c r="BH50" s="65">
        <f>SUM(BH44:BH49)</f>
        <v>0</v>
      </c>
      <c r="BI50" s="65"/>
      <c r="BJ50" s="65">
        <f t="shared" si="70"/>
        <v>4091.0099129469272</v>
      </c>
      <c r="BK50" s="65"/>
      <c r="BL50" s="65">
        <f t="shared" si="70"/>
        <v>1896.8611096491229</v>
      </c>
      <c r="BM50" s="65">
        <f t="shared" si="70"/>
        <v>173995.65000000002</v>
      </c>
      <c r="BN50" s="65"/>
      <c r="BO50" s="65">
        <f t="shared" si="70"/>
        <v>11342.82</v>
      </c>
      <c r="BP50" s="65"/>
      <c r="BQ50" s="65">
        <f t="shared" si="70"/>
        <v>1776.4124999999999</v>
      </c>
      <c r="BR50" s="65"/>
      <c r="BS50" s="65">
        <f t="shared" ref="BS50:BY50" si="71">SUM(BS44:BS49)</f>
        <v>572.963886</v>
      </c>
      <c r="BT50" s="65">
        <f t="shared" si="71"/>
        <v>151460.90225000001</v>
      </c>
      <c r="BU50" s="65" t="e">
        <f t="shared" ca="1" si="71"/>
        <v>#REF!</v>
      </c>
      <c r="BV50" s="65"/>
      <c r="BW50" s="65"/>
      <c r="BX50" s="65"/>
      <c r="BY50" s="65">
        <f t="shared" si="71"/>
        <v>129.97499999999999</v>
      </c>
    </row>
    <row r="51" spans="1:77" s="51" customFormat="1" x14ac:dyDescent="0.2">
      <c r="A51" s="48"/>
      <c r="B51" s="58" t="s">
        <v>29</v>
      </c>
      <c r="C51" s="50"/>
      <c r="D51" s="50"/>
      <c r="E51" s="50"/>
      <c r="F51" s="49"/>
      <c r="G51" s="50"/>
      <c r="H51" s="50"/>
      <c r="I51" s="50"/>
      <c r="J51" s="73">
        <f>J34+J42+J50</f>
        <v>93</v>
      </c>
      <c r="K51" s="73"/>
      <c r="L51" s="73">
        <f>L34+L42+L50</f>
        <v>131.10971926083866</v>
      </c>
      <c r="M51" s="73">
        <f>M34+M42+M50</f>
        <v>14</v>
      </c>
      <c r="N51" s="73">
        <f>N34+N42+N50</f>
        <v>13</v>
      </c>
      <c r="O51" s="73">
        <f>O34+O42+O50</f>
        <v>592.2680348258707</v>
      </c>
      <c r="P51" s="73">
        <f>P34+P42+P50</f>
        <v>464.55970149253733</v>
      </c>
      <c r="Q51" s="73"/>
      <c r="R51" s="73"/>
      <c r="S51" s="73"/>
      <c r="T51" s="73"/>
      <c r="U51" s="73">
        <f t="shared" ref="U51:AM51" ca="1" si="72">U34+U42+U50</f>
        <v>0</v>
      </c>
      <c r="V51" s="73">
        <f t="shared" ca="1" si="72"/>
        <v>0</v>
      </c>
      <c r="W51" s="73">
        <f t="shared" ca="1" si="72"/>
        <v>0</v>
      </c>
      <c r="X51" s="73">
        <f t="shared" ca="1" si="72"/>
        <v>0</v>
      </c>
      <c r="Y51" s="73">
        <f t="shared" ca="1" si="72"/>
        <v>10504.501497651127</v>
      </c>
      <c r="Z51" s="73">
        <f t="shared" ca="1" si="72"/>
        <v>2680.2949169761937</v>
      </c>
      <c r="AA51" s="73">
        <f t="shared" ca="1" si="72"/>
        <v>0</v>
      </c>
      <c r="AB51" s="73">
        <f t="shared" ca="1" si="72"/>
        <v>0</v>
      </c>
      <c r="AC51" s="73"/>
      <c r="AD51" s="73">
        <f t="shared" ca="1" si="72"/>
        <v>361896.11090157431</v>
      </c>
      <c r="AE51" s="73">
        <f t="shared" ca="1" si="72"/>
        <v>173780.90228772763</v>
      </c>
      <c r="AF51" s="73">
        <f t="shared" ca="1" si="72"/>
        <v>54076.430364603053</v>
      </c>
      <c r="AG51" s="73">
        <f t="shared" ca="1" si="72"/>
        <v>25967.261261384585</v>
      </c>
      <c r="AH51" s="73">
        <f t="shared" ca="1" si="72"/>
        <v>415972.54126617737</v>
      </c>
      <c r="AI51" s="73">
        <f t="shared" ca="1" si="72"/>
        <v>199748.16354911219</v>
      </c>
      <c r="AJ51" s="73">
        <f t="shared" ca="1" si="72"/>
        <v>124791.7623798532</v>
      </c>
      <c r="AK51" s="73">
        <f t="shared" ca="1" si="72"/>
        <v>59924.44906473365</v>
      </c>
      <c r="AL51" s="73">
        <f t="shared" ca="1" si="72"/>
        <v>540764.3036460306</v>
      </c>
      <c r="AM51" s="73">
        <f t="shared" ca="1" si="72"/>
        <v>259672.61261384585</v>
      </c>
      <c r="AN51" s="73"/>
      <c r="AO51" s="73"/>
      <c r="AP51" s="73">
        <f>AP34+AP42+AP50</f>
        <v>441.234512</v>
      </c>
      <c r="AQ51" s="73"/>
      <c r="AR51" s="73"/>
      <c r="AS51" s="73" t="e">
        <f>AS34+AS42+AS50</f>
        <v>#REF!</v>
      </c>
      <c r="AT51" s="73"/>
      <c r="AU51" s="73">
        <f>AU34+AU42+AU50</f>
        <v>3</v>
      </c>
      <c r="AV51" s="73"/>
      <c r="AW51" s="73">
        <f>AW34+AW42+AW50</f>
        <v>60000</v>
      </c>
      <c r="AX51" s="73"/>
      <c r="AY51" s="73">
        <f>AY34+AY42+AY50</f>
        <v>50</v>
      </c>
      <c r="AZ51" s="73"/>
      <c r="BA51" s="73" t="e">
        <f>BA34+BA42+BA50</f>
        <v>#REF!</v>
      </c>
      <c r="BB51" s="73"/>
      <c r="BC51" s="73">
        <f>BC34+BC42+BC50</f>
        <v>3</v>
      </c>
      <c r="BD51" s="73"/>
      <c r="BE51" s="73">
        <f>BE34+BE42+BE50</f>
        <v>37500</v>
      </c>
      <c r="BF51" s="73">
        <f>BF34+BF42+BF50</f>
        <v>1130</v>
      </c>
      <c r="BG51" s="73"/>
      <c r="BH51" s="73">
        <f>BH34+BH42+BH50</f>
        <v>0</v>
      </c>
      <c r="BI51" s="73"/>
      <c r="BJ51" s="73">
        <f>BJ34+BJ42+BJ50</f>
        <v>9752.7630524502019</v>
      </c>
      <c r="BK51" s="73"/>
      <c r="BL51" s="73">
        <f>BL34+BL42+BL50</f>
        <v>7148.427569779552</v>
      </c>
      <c r="BM51" s="73">
        <f>BM34+BM42+BM50</f>
        <v>173995.65000000002</v>
      </c>
      <c r="BN51" s="73"/>
      <c r="BO51" s="73">
        <f>BO34+BO42+BO50</f>
        <v>51673.087707889128</v>
      </c>
      <c r="BP51" s="73"/>
      <c r="BQ51" s="73">
        <f>BQ34+BQ42+BQ50</f>
        <v>6661.4392484008531</v>
      </c>
      <c r="BR51" s="73"/>
      <c r="BS51" s="73">
        <f>BS34+BS42+BS50</f>
        <v>2441.0515529679105</v>
      </c>
      <c r="BT51" s="73">
        <f>BT34+BT42+BT50</f>
        <v>516876.29372920399</v>
      </c>
      <c r="BU51" s="73" t="e">
        <f ca="1">BU34+BU42+BU50</f>
        <v>#REF!</v>
      </c>
      <c r="BV51" s="73"/>
      <c r="BW51" s="73"/>
      <c r="BX51" s="73"/>
      <c r="BY51" s="73">
        <f>BY34+BY42+BY50</f>
        <v>558.67563965884858</v>
      </c>
    </row>
  </sheetData>
  <mergeCells count="128">
    <mergeCell ref="A15:A19"/>
    <mergeCell ref="B15:E16"/>
    <mergeCell ref="F15:F19"/>
    <mergeCell ref="G15:G19"/>
    <mergeCell ref="H15:I16"/>
    <mergeCell ref="J15:J19"/>
    <mergeCell ref="B17:B19"/>
    <mergeCell ref="C17:E17"/>
    <mergeCell ref="H17:H19"/>
    <mergeCell ref="I17:I19"/>
    <mergeCell ref="C18:C19"/>
    <mergeCell ref="D18:D19"/>
    <mergeCell ref="E18:E19"/>
    <mergeCell ref="Q15:T16"/>
    <mergeCell ref="U15:V16"/>
    <mergeCell ref="M17:M19"/>
    <mergeCell ref="N17:N19"/>
    <mergeCell ref="O17:P17"/>
    <mergeCell ref="Q17:R17"/>
    <mergeCell ref="S17:T17"/>
    <mergeCell ref="U17:U19"/>
    <mergeCell ref="V17:V19"/>
    <mergeCell ref="R18:R19"/>
    <mergeCell ref="O15:P16"/>
    <mergeCell ref="O18:O19"/>
    <mergeCell ref="P18:P19"/>
    <mergeCell ref="Q18:Q19"/>
    <mergeCell ref="W15:X16"/>
    <mergeCell ref="Y15:Z16"/>
    <mergeCell ref="AA15:AB16"/>
    <mergeCell ref="AC15:AE16"/>
    <mergeCell ref="AF15:AG16"/>
    <mergeCell ref="AH15:AI16"/>
    <mergeCell ref="AJ15:AK16"/>
    <mergeCell ref="AL15:AM16"/>
    <mergeCell ref="AN15:AS16"/>
    <mergeCell ref="AT15:AW16"/>
    <mergeCell ref="AX15:BA16"/>
    <mergeCell ref="BB15:BE16"/>
    <mergeCell ref="BF15:BH16"/>
    <mergeCell ref="BI15:BM16"/>
    <mergeCell ref="BN15:BT16"/>
    <mergeCell ref="BU15:BV16"/>
    <mergeCell ref="BW15:BW19"/>
    <mergeCell ref="BX15:BY16"/>
    <mergeCell ref="BK17:BL17"/>
    <mergeCell ref="BM17:BM19"/>
    <mergeCell ref="BN17:BO17"/>
    <mergeCell ref="BP17:BQ17"/>
    <mergeCell ref="BX17:BX19"/>
    <mergeCell ref="BY17:BY19"/>
    <mergeCell ref="BR18:BR19"/>
    <mergeCell ref="BS18:BS19"/>
    <mergeCell ref="BD17:BD19"/>
    <mergeCell ref="BE17:BE19"/>
    <mergeCell ref="BF17:BF19"/>
    <mergeCell ref="BG17:BG19"/>
    <mergeCell ref="BH17:BH19"/>
    <mergeCell ref="BI17:BJ17"/>
    <mergeCell ref="BR17:BS17"/>
    <mergeCell ref="W17:X17"/>
    <mergeCell ref="AA17:AB17"/>
    <mergeCell ref="AC17:AC19"/>
    <mergeCell ref="Z18:Z19"/>
    <mergeCell ref="AA18:AA19"/>
    <mergeCell ref="AB18:AB19"/>
    <mergeCell ref="Y18:Y19"/>
    <mergeCell ref="AD17:AD19"/>
    <mergeCell ref="AE17:AE19"/>
    <mergeCell ref="AF17:AG17"/>
    <mergeCell ref="AH17:AH19"/>
    <mergeCell ref="AI17:AI19"/>
    <mergeCell ref="AJ17:AK17"/>
    <mergeCell ref="AF18:AF19"/>
    <mergeCell ref="AG18:AG19"/>
    <mergeCell ref="AJ18:AJ19"/>
    <mergeCell ref="AK18:AK19"/>
    <mergeCell ref="AL17:AL19"/>
    <mergeCell ref="BT17:BT19"/>
    <mergeCell ref="BU17:BU19"/>
    <mergeCell ref="BV17:BV19"/>
    <mergeCell ref="BI18:BI19"/>
    <mergeCell ref="BJ18:BJ19"/>
    <mergeCell ref="AX17:AX19"/>
    <mergeCell ref="AY17:AY19"/>
    <mergeCell ref="AZ17:AZ19"/>
    <mergeCell ref="BK18:BK19"/>
    <mergeCell ref="BA17:BA19"/>
    <mergeCell ref="BB17:BB19"/>
    <mergeCell ref="BC17:BC19"/>
    <mergeCell ref="K15:K19"/>
    <mergeCell ref="L15:L19"/>
    <mergeCell ref="M15:N16"/>
    <mergeCell ref="BL18:BL19"/>
    <mergeCell ref="BN18:BN19"/>
    <mergeCell ref="BO18:BO19"/>
    <mergeCell ref="BP18:BP19"/>
    <mergeCell ref="BQ18:BQ19"/>
    <mergeCell ref="B20:E20"/>
    <mergeCell ref="S18:S19"/>
    <mergeCell ref="T18:T19"/>
    <mergeCell ref="W18:W19"/>
    <mergeCell ref="X18:X19"/>
    <mergeCell ref="AM17:AM19"/>
    <mergeCell ref="AN17:AN19"/>
    <mergeCell ref="AO17:AO19"/>
    <mergeCell ref="AP17:AP19"/>
    <mergeCell ref="AQ17:AQ19"/>
    <mergeCell ref="AR17:AR19"/>
    <mergeCell ref="AS17:AS19"/>
    <mergeCell ref="AT17:AT19"/>
    <mergeCell ref="AU17:AU19"/>
    <mergeCell ref="AV17:AV19"/>
    <mergeCell ref="AW17:AW19"/>
    <mergeCell ref="B21:E21"/>
    <mergeCell ref="D26:E26"/>
    <mergeCell ref="D28:E28"/>
    <mergeCell ref="D29:E29"/>
    <mergeCell ref="D31:E31"/>
    <mergeCell ref="D47:E47"/>
    <mergeCell ref="D48:E48"/>
    <mergeCell ref="D49:E49"/>
    <mergeCell ref="B35:E35"/>
    <mergeCell ref="D36:E36"/>
    <mergeCell ref="D38:E38"/>
    <mergeCell ref="D40:E40"/>
    <mergeCell ref="B43:E43"/>
    <mergeCell ref="D46:E46"/>
  </mergeCells>
  <conditionalFormatting sqref="AO47:AS49 AN48:AN49 AR26:AS26 AO26:AP26 AO28:AP29 AR28:AS29 AP27 AS27 AR31:AS31 AO31:AP31 AP30 AS30 AP32:AP33 AS32:AS33 AN35:AS35 T45:T46 AS25 AS22:BY24 G21:BY21 G50:BY51 R47:R49 G34:G35 G42:G43 K35 R35 O35:P35 K34:BY34 T33 S45:S49 U45:AM49 T25 S25:S33 T35:AE35 U25:AM33 AP22:AP25 Q22:Q33 L22:N33 S22:AM24 AS45:AS46 AT25:BY33 AP44:AP46 S44:AM44 AS44:BQ44 AT45:BQ49 BR44:BY49 L35:N41 Q35:Q41 S35:S41 U36:AE41 AF35:AM41 AP36:AP41 AS36:AS41 K42:BY43 AT35:BY41 Q44:Q49 L44:N49 H22:J49">
    <cfRule type="cellIs" dxfId="66" priority="47" stopIfTrue="1" operator="greaterThan">
      <formula>0</formula>
    </cfRule>
  </conditionalFormatting>
  <conditionalFormatting sqref="AN36:AN41 K22:K33 AN22:AN33 AN44:AN47 K36:K41 K44:K49">
    <cfRule type="cellIs" dxfId="65" priority="46" stopIfTrue="1" operator="greaterThan">
      <formula>0</formula>
    </cfRule>
  </conditionalFormatting>
  <conditionalFormatting sqref="E22:E25 E32:E33 E27 E30 E37:E41 E44:E45">
    <cfRule type="cellIs" dxfId="64" priority="45" stopIfTrue="1" operator="equal">
      <formula>0</formula>
    </cfRule>
  </conditionalFormatting>
  <conditionalFormatting sqref="O22:P33 O44:P49 O36:P41">
    <cfRule type="cellIs" dxfId="63" priority="44" stopIfTrue="1" operator="greaterThan">
      <formula>0</formula>
    </cfRule>
  </conditionalFormatting>
  <conditionalFormatting sqref="E32">
    <cfRule type="cellIs" dxfId="62" priority="43" stopIfTrue="1" operator="equal">
      <formula>0</formula>
    </cfRule>
  </conditionalFormatting>
  <conditionalFormatting sqref="E44">
    <cfRule type="cellIs" dxfId="61" priority="42" stopIfTrue="1" operator="equal">
      <formula>0</formula>
    </cfRule>
  </conditionalFormatting>
  <conditionalFormatting sqref="E44">
    <cfRule type="cellIs" dxfId="60" priority="41" stopIfTrue="1" operator="equal">
      <formula>0</formula>
    </cfRule>
  </conditionalFormatting>
  <conditionalFormatting sqref="E32">
    <cfRule type="cellIs" dxfId="59" priority="40" stopIfTrue="1" operator="equal">
      <formula>0</formula>
    </cfRule>
  </conditionalFormatting>
  <conditionalFormatting sqref="E44">
    <cfRule type="cellIs" dxfId="58" priority="39" stopIfTrue="1" operator="equal">
      <formula>0</formula>
    </cfRule>
  </conditionalFormatting>
  <conditionalFormatting sqref="E44">
    <cfRule type="cellIs" dxfId="57" priority="38" stopIfTrue="1" operator="equal">
      <formula>0</formula>
    </cfRule>
  </conditionalFormatting>
  <conditionalFormatting sqref="E44">
    <cfRule type="cellIs" dxfId="56" priority="37" stopIfTrue="1" operator="equal">
      <formula>0</formula>
    </cfRule>
  </conditionalFormatting>
  <conditionalFormatting sqref="E39">
    <cfRule type="cellIs" dxfId="55" priority="36" stopIfTrue="1" operator="equal">
      <formula>0</formula>
    </cfRule>
  </conditionalFormatting>
  <conditionalFormatting sqref="J36:J41">
    <cfRule type="cellIs" dxfId="54" priority="35" stopIfTrue="1" operator="greaterThan">
      <formula>0</formula>
    </cfRule>
  </conditionalFormatting>
  <conditionalFormatting sqref="L36:L39">
    <cfRule type="cellIs" dxfId="53" priority="34" stopIfTrue="1" operator="greaterThan">
      <formula>0</formula>
    </cfRule>
  </conditionalFormatting>
  <conditionalFormatting sqref="H38:I39">
    <cfRule type="cellIs" dxfId="52" priority="33" stopIfTrue="1" operator="greaterThan">
      <formula>0</formula>
    </cfRule>
  </conditionalFormatting>
  <conditionalFormatting sqref="L40:L41">
    <cfRule type="cellIs" dxfId="51" priority="32" stopIfTrue="1" operator="greaterThan">
      <formula>0</formula>
    </cfRule>
  </conditionalFormatting>
  <conditionalFormatting sqref="E41">
    <cfRule type="cellIs" dxfId="50" priority="31" stopIfTrue="1" operator="equal">
      <formula>0</formula>
    </cfRule>
  </conditionalFormatting>
  <conditionalFormatting sqref="H40:I41">
    <cfRule type="cellIs" dxfId="49" priority="30" stopIfTrue="1" operator="greaterThan">
      <formula>0</formula>
    </cfRule>
  </conditionalFormatting>
  <conditionalFormatting sqref="K36:K41">
    <cfRule type="cellIs" dxfId="48" priority="29" stopIfTrue="1" operator="greaterThan">
      <formula>0</formula>
    </cfRule>
  </conditionalFormatting>
  <conditionalFormatting sqref="H36:I37">
    <cfRule type="cellIs" dxfId="47" priority="28" stopIfTrue="1" operator="greaterThan">
      <formula>0</formula>
    </cfRule>
  </conditionalFormatting>
  <conditionalFormatting sqref="H22:I32">
    <cfRule type="cellIs" dxfId="46" priority="27" stopIfTrue="1" operator="greaterThan">
      <formula>0</formula>
    </cfRule>
  </conditionalFormatting>
  <conditionalFormatting sqref="E25">
    <cfRule type="cellIs" dxfId="45" priority="26" stopIfTrue="1" operator="equal">
      <formula>0</formula>
    </cfRule>
  </conditionalFormatting>
  <conditionalFormatting sqref="K32">
    <cfRule type="cellIs" dxfId="44" priority="25" stopIfTrue="1" operator="greaterThan">
      <formula>0</formula>
    </cfRule>
  </conditionalFormatting>
  <conditionalFormatting sqref="AT32">
    <cfRule type="cellIs" dxfId="43" priority="24" stopIfTrue="1" operator="greaterThan">
      <formula>0</formula>
    </cfRule>
  </conditionalFormatting>
  <conditionalFormatting sqref="K22">
    <cfRule type="cellIs" dxfId="42" priority="23" stopIfTrue="1" operator="greaterThan">
      <formula>0</formula>
    </cfRule>
  </conditionalFormatting>
  <conditionalFormatting sqref="K23:K24">
    <cfRule type="cellIs" dxfId="41" priority="22" stopIfTrue="1" operator="greaterThan">
      <formula>0</formula>
    </cfRule>
  </conditionalFormatting>
  <conditionalFormatting sqref="J22">
    <cfRule type="cellIs" dxfId="40" priority="21" stopIfTrue="1" operator="greaterThan">
      <formula>0</formula>
    </cfRule>
  </conditionalFormatting>
  <conditionalFormatting sqref="J23:J24">
    <cfRule type="cellIs" dxfId="39" priority="20" stopIfTrue="1" operator="greaterThan">
      <formula>0</formula>
    </cfRule>
  </conditionalFormatting>
  <conditionalFormatting sqref="J32">
    <cfRule type="cellIs" dxfId="38" priority="19" stopIfTrue="1" operator="greaterThan">
      <formula>0</formula>
    </cfRule>
  </conditionalFormatting>
  <conditionalFormatting sqref="H44:I49">
    <cfRule type="cellIs" dxfId="37" priority="18" stopIfTrue="1" operator="greaterThan">
      <formula>0</formula>
    </cfRule>
  </conditionalFormatting>
  <conditionalFormatting sqref="K44">
    <cfRule type="cellIs" dxfId="36" priority="17" stopIfTrue="1" operator="greaterThan">
      <formula>0</formula>
    </cfRule>
  </conditionalFormatting>
  <conditionalFormatting sqref="K45">
    <cfRule type="cellIs" dxfId="35" priority="16" stopIfTrue="1" operator="greaterThan">
      <formula>0</formula>
    </cfRule>
  </conditionalFormatting>
  <conditionalFormatting sqref="K46">
    <cfRule type="cellIs" dxfId="34" priority="15" stopIfTrue="1" operator="greaterThan">
      <formula>0</formula>
    </cfRule>
  </conditionalFormatting>
  <conditionalFormatting sqref="J44:J49">
    <cfRule type="cellIs" dxfId="33" priority="14" stopIfTrue="1" operator="greaterThan">
      <formula>0</formula>
    </cfRule>
  </conditionalFormatting>
  <conditionalFormatting sqref="K48:K49">
    <cfRule type="cellIs" dxfId="32" priority="13" stopIfTrue="1" operator="greaterThan">
      <formula>0</formula>
    </cfRule>
  </conditionalFormatting>
  <conditionalFormatting sqref="K23:K31">
    <cfRule type="cellIs" dxfId="31" priority="12" stopIfTrue="1" operator="greaterThan">
      <formula>0</formula>
    </cfRule>
  </conditionalFormatting>
  <conditionalFormatting sqref="J22:J32">
    <cfRule type="cellIs" dxfId="30" priority="11" stopIfTrue="1" operator="greaterThan">
      <formula>0</formula>
    </cfRule>
  </conditionalFormatting>
  <conditionalFormatting sqref="AN36:AN41">
    <cfRule type="cellIs" dxfId="29" priority="10" stopIfTrue="1" operator="greaterThan">
      <formula>0</formula>
    </cfRule>
  </conditionalFormatting>
  <conditionalFormatting sqref="AN22:AN32">
    <cfRule type="cellIs" dxfId="28" priority="9" stopIfTrue="1" operator="greaterThan">
      <formula>0</formula>
    </cfRule>
  </conditionalFormatting>
  <conditionalFormatting sqref="AN44">
    <cfRule type="cellIs" dxfId="27" priority="8" stopIfTrue="1" operator="greaterThan">
      <formula>0</formula>
    </cfRule>
  </conditionalFormatting>
  <conditionalFormatting sqref="AN46">
    <cfRule type="cellIs" dxfId="26" priority="7" stopIfTrue="1" operator="greaterThan">
      <formula>0</formula>
    </cfRule>
  </conditionalFormatting>
  <conditionalFormatting sqref="BD47">
    <cfRule type="cellIs" dxfId="25" priority="6" stopIfTrue="1" operator="greaterThan">
      <formula>0</formula>
    </cfRule>
  </conditionalFormatting>
  <conditionalFormatting sqref="AV32">
    <cfRule type="cellIs" dxfId="24" priority="5" stopIfTrue="1" operator="greaterThan">
      <formula>0</formula>
    </cfRule>
  </conditionalFormatting>
  <conditionalFormatting sqref="K47">
    <cfRule type="cellIs" dxfId="23" priority="4" stopIfTrue="1" operator="greaterThan">
      <formula>0</formula>
    </cfRule>
  </conditionalFormatting>
  <conditionalFormatting sqref="H32:I32">
    <cfRule type="cellIs" dxfId="22" priority="3" stopIfTrue="1" operator="greaterThan">
      <formula>0</formula>
    </cfRule>
  </conditionalFormatting>
  <conditionalFormatting sqref="AT32">
    <cfRule type="cellIs" dxfId="21" priority="2" stopIfTrue="1" operator="greaterThan">
      <formula>0</formula>
    </cfRule>
  </conditionalFormatting>
  <conditionalFormatting sqref="AV32">
    <cfRule type="cellIs" dxfId="20" priority="1" stopIfTrue="1" operator="greaterThan">
      <formula>0</formula>
    </cfRule>
  </conditionalFormatting>
  <dataValidations count="1">
    <dataValidation type="list" allowBlank="1" showInputMessage="1" showErrorMessage="1" sqref="AQ47:AR49">
      <formula1>#REF!</formula1>
    </dataValidation>
  </dataValidations>
  <pageMargins left="0.19685039370078741" right="0.19685039370078741" top="0.39370078740157483" bottom="0.27559055118110237" header="0.19685039370078741" footer="0.15748031496062992"/>
  <pageSetup paperSize="9" scale="54" fitToWidth="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BZ50"/>
  <sheetViews>
    <sheetView topLeftCell="A25" workbookViewId="0">
      <selection activeCell="A50" sqref="A50:I50"/>
    </sheetView>
  </sheetViews>
  <sheetFormatPr defaultRowHeight="12.75" x14ac:dyDescent="0.2"/>
  <cols>
    <col min="1" max="1" width="50.42578125" style="91" bestFit="1" customWidth="1"/>
    <col min="2" max="3" width="12.140625" style="91" customWidth="1"/>
    <col min="4" max="4" width="10.85546875" style="91" bestFit="1" customWidth="1"/>
    <col min="5" max="5" width="9.28515625" style="91" bestFit="1" customWidth="1"/>
    <col min="6" max="16384" width="9.140625" style="91"/>
  </cols>
  <sheetData>
    <row r="1" spans="1:78" s="1" customFormat="1" x14ac:dyDescent="0.2">
      <c r="A1" s="46" t="s">
        <v>354</v>
      </c>
      <c r="B1" s="46"/>
      <c r="C1" s="46"/>
      <c r="D1" s="1" t="s">
        <v>495</v>
      </c>
      <c r="F1" s="2"/>
      <c r="H1" s="92"/>
      <c r="S1" s="3"/>
      <c r="AT1" s="4"/>
      <c r="AU1" s="93"/>
      <c r="AV1" s="93"/>
      <c r="AW1" s="4"/>
      <c r="AX1" s="4"/>
      <c r="AY1" s="4"/>
      <c r="AZ1" s="4"/>
      <c r="BA1" s="4"/>
      <c r="BC1" s="4"/>
      <c r="BD1" s="4"/>
      <c r="BE1" s="4"/>
      <c r="BF1" s="4"/>
      <c r="BG1" s="4"/>
      <c r="BH1" s="4"/>
      <c r="BI1" s="4"/>
      <c r="BJ1" s="4"/>
      <c r="BK1" s="4"/>
      <c r="BL1" s="4"/>
      <c r="BM1" s="4"/>
      <c r="BN1" s="4"/>
      <c r="BO1" s="4"/>
      <c r="BP1" s="4"/>
      <c r="BQ1" s="4"/>
      <c r="BR1" s="4"/>
      <c r="BS1" s="4"/>
      <c r="BT1" s="4"/>
      <c r="BU1" s="4"/>
      <c r="BV1" s="4"/>
      <c r="BW1" s="4"/>
      <c r="BX1" s="4"/>
      <c r="BY1" s="4"/>
      <c r="BZ1" s="5"/>
    </row>
    <row r="2" spans="1:78" s="1" customFormat="1" x14ac:dyDescent="0.2">
      <c r="A2" s="46" t="s">
        <v>57</v>
      </c>
      <c r="B2" s="46"/>
      <c r="C2" s="46"/>
      <c r="F2" s="2"/>
      <c r="H2" s="92"/>
      <c r="S2" s="3"/>
      <c r="AT2" s="4"/>
      <c r="AU2" s="4"/>
      <c r="AV2" s="4"/>
      <c r="AW2" s="4"/>
      <c r="AX2" s="4"/>
      <c r="AY2" s="4"/>
      <c r="AZ2" s="4"/>
      <c r="BA2" s="4"/>
      <c r="BC2" s="4"/>
      <c r="BD2" s="4"/>
      <c r="BE2" s="4"/>
      <c r="BF2" s="4"/>
      <c r="BG2" s="4"/>
      <c r="BH2" s="4"/>
      <c r="BI2" s="4"/>
      <c r="BJ2" s="4"/>
      <c r="BK2" s="4"/>
      <c r="BL2" s="4"/>
      <c r="BM2" s="4"/>
      <c r="BN2" s="4"/>
      <c r="BO2" s="4"/>
      <c r="BP2" s="4"/>
      <c r="BQ2" s="4"/>
      <c r="BR2" s="4"/>
      <c r="BS2" s="4"/>
      <c r="BT2" s="4"/>
      <c r="BU2" s="4"/>
      <c r="BV2" s="4"/>
      <c r="BW2" s="4"/>
      <c r="BX2" s="4"/>
      <c r="BY2" s="4"/>
      <c r="BZ2" s="5"/>
    </row>
    <row r="3" spans="1:78" s="1" customFormat="1" x14ac:dyDescent="0.2">
      <c r="A3" s="92"/>
      <c r="B3" s="92"/>
      <c r="C3" s="92"/>
      <c r="F3" s="2"/>
      <c r="H3" s="92"/>
      <c r="S3" s="3"/>
      <c r="AT3" s="4"/>
      <c r="AU3" s="4"/>
      <c r="AV3" s="4"/>
      <c r="AW3" s="4"/>
      <c r="AX3" s="4"/>
      <c r="AY3" s="4"/>
      <c r="AZ3" s="4"/>
      <c r="BA3" s="4"/>
      <c r="BC3" s="4"/>
      <c r="BD3" s="4"/>
      <c r="BE3" s="4"/>
      <c r="BF3" s="4"/>
      <c r="BG3" s="4"/>
      <c r="BH3" s="4"/>
      <c r="BI3" s="4"/>
      <c r="BJ3" s="4"/>
      <c r="BK3" s="4"/>
      <c r="BL3" s="4"/>
      <c r="BM3" s="4"/>
      <c r="BN3" s="4"/>
      <c r="BO3" s="4"/>
      <c r="BP3" s="4"/>
      <c r="BQ3" s="4"/>
      <c r="BR3" s="4"/>
      <c r="BS3" s="4"/>
      <c r="BT3" s="4"/>
      <c r="BU3" s="4"/>
      <c r="BV3" s="4"/>
      <c r="BW3" s="4"/>
      <c r="BX3" s="4"/>
      <c r="BY3" s="4"/>
      <c r="BZ3" s="5"/>
    </row>
    <row r="4" spans="1:78" s="1" customFormat="1" ht="12.75" customHeight="1" x14ac:dyDescent="0.2">
      <c r="A4" s="46" t="str">
        <f>'силос сп кукур'!B4</f>
        <v>Культура: Кукуруза на силос (с поливом)</v>
      </c>
      <c r="B4" s="46"/>
      <c r="C4" s="46"/>
      <c r="F4" s="2"/>
      <c r="H4" s="46"/>
      <c r="N4" s="46"/>
      <c r="S4" s="3"/>
      <c r="AT4" s="4"/>
      <c r="AU4" s="4"/>
      <c r="AV4" s="4"/>
      <c r="AW4" s="4"/>
      <c r="AX4" s="4"/>
      <c r="AY4" s="4"/>
      <c r="AZ4" s="4"/>
      <c r="BA4" s="4"/>
      <c r="BC4" s="4"/>
      <c r="BD4" s="4"/>
      <c r="BE4" s="4"/>
      <c r="BF4" s="4"/>
      <c r="BG4" s="4"/>
      <c r="BH4" s="4"/>
      <c r="BI4" s="4"/>
      <c r="BJ4" s="4"/>
      <c r="BK4" s="4"/>
      <c r="BL4" s="4"/>
      <c r="BM4" s="4"/>
      <c r="BN4" s="4"/>
      <c r="BO4" s="4"/>
      <c r="BP4" s="4"/>
      <c r="BQ4" s="4"/>
      <c r="BR4" s="4"/>
      <c r="BS4" s="4"/>
      <c r="BT4" s="4"/>
      <c r="BU4" s="4"/>
      <c r="BV4" s="4"/>
      <c r="BW4" s="4"/>
      <c r="BX4" s="4"/>
      <c r="BY4" s="4"/>
      <c r="BZ4" s="5"/>
    </row>
    <row r="5" spans="1:78" s="1" customFormat="1" ht="12.75" customHeight="1" x14ac:dyDescent="0.2">
      <c r="A5" s="46" t="s">
        <v>363</v>
      </c>
      <c r="B5" s="46"/>
      <c r="C5" s="46"/>
      <c r="F5" s="2"/>
      <c r="H5" s="46"/>
      <c r="N5" s="46"/>
      <c r="S5" s="3"/>
      <c r="AT5" s="4"/>
      <c r="AU5" s="4"/>
      <c r="AV5" s="4"/>
      <c r="AW5" s="4"/>
      <c r="AX5" s="4"/>
      <c r="AY5" s="4"/>
      <c r="AZ5" s="4"/>
      <c r="BA5" s="4"/>
      <c r="BC5" s="4"/>
      <c r="BD5" s="4"/>
      <c r="BE5" s="4"/>
      <c r="BF5" s="4"/>
      <c r="BG5" s="4"/>
      <c r="BH5" s="4"/>
      <c r="BI5" s="4"/>
      <c r="BJ5" s="4"/>
      <c r="BK5" s="4"/>
      <c r="BL5" s="4"/>
      <c r="BM5" s="4"/>
      <c r="BN5" s="4"/>
      <c r="BO5" s="4"/>
      <c r="BP5" s="4"/>
      <c r="BQ5" s="4"/>
      <c r="BR5" s="4"/>
      <c r="BS5" s="4"/>
      <c r="BT5" s="4"/>
      <c r="BU5" s="4"/>
      <c r="BV5" s="4"/>
      <c r="BW5" s="4"/>
      <c r="BX5" s="4"/>
      <c r="BY5" s="4"/>
      <c r="BZ5" s="5"/>
    </row>
    <row r="6" spans="1:78" s="1" customFormat="1" ht="12.75" customHeight="1" x14ac:dyDescent="0.2">
      <c r="A6" s="46" t="s">
        <v>361</v>
      </c>
      <c r="B6" s="3">
        <v>100</v>
      </c>
      <c r="F6" s="4"/>
      <c r="M6" s="46"/>
      <c r="R6" s="3"/>
      <c r="AS6" s="4"/>
      <c r="AV6" s="4"/>
      <c r="AW6" s="4"/>
      <c r="AX6" s="4"/>
      <c r="AY6" s="4"/>
      <c r="AZ6" s="4"/>
      <c r="BB6" s="4"/>
      <c r="BC6" s="4"/>
      <c r="BD6" s="4"/>
      <c r="BE6" s="4"/>
      <c r="BF6" s="4"/>
      <c r="BG6" s="4"/>
      <c r="BH6" s="4"/>
      <c r="BI6" s="4"/>
      <c r="BJ6" s="4"/>
      <c r="BK6" s="4"/>
      <c r="BL6" s="4"/>
      <c r="BM6" s="4"/>
      <c r="BN6" s="4"/>
      <c r="BO6" s="4"/>
      <c r="BP6" s="4"/>
      <c r="BQ6" s="4"/>
      <c r="BR6" s="4"/>
      <c r="BS6" s="4"/>
      <c r="BT6" s="4"/>
      <c r="BU6" s="4"/>
      <c r="BV6" s="4"/>
      <c r="BW6" s="4"/>
      <c r="BX6" s="4"/>
      <c r="BY6" s="5"/>
    </row>
    <row r="7" spans="1:78" s="1" customFormat="1" ht="12.75" customHeight="1" x14ac:dyDescent="0.2">
      <c r="A7" s="1" t="s">
        <v>352</v>
      </c>
      <c r="B7" s="3">
        <f>'силос сп кукур'!I6</f>
        <v>150</v>
      </c>
      <c r="D7" s="2"/>
      <c r="M7" s="46"/>
      <c r="R7" s="3"/>
      <c r="AS7" s="4"/>
      <c r="AV7" s="4"/>
      <c r="AW7" s="4"/>
      <c r="AX7" s="4"/>
      <c r="AY7" s="4"/>
      <c r="AZ7" s="4"/>
      <c r="BB7" s="4"/>
      <c r="BC7" s="4"/>
      <c r="BD7" s="4"/>
      <c r="BE7" s="4"/>
      <c r="BF7" s="4"/>
      <c r="BG7" s="4"/>
      <c r="BH7" s="4"/>
      <c r="BI7" s="4"/>
      <c r="BJ7" s="4"/>
      <c r="BK7" s="4"/>
      <c r="BL7" s="4"/>
      <c r="BM7" s="4"/>
      <c r="BN7" s="4"/>
      <c r="BO7" s="4"/>
      <c r="BP7" s="4"/>
      <c r="BQ7" s="4"/>
      <c r="BR7" s="4"/>
      <c r="BS7" s="4"/>
      <c r="BT7" s="4"/>
      <c r="BU7" s="4"/>
      <c r="BV7" s="4"/>
      <c r="BW7" s="4"/>
      <c r="BX7" s="4"/>
      <c r="BY7" s="5"/>
    </row>
    <row r="8" spans="1:78" s="1" customFormat="1" ht="12.75" customHeight="1" x14ac:dyDescent="0.2">
      <c r="A8" s="45" t="s">
        <v>368</v>
      </c>
      <c r="B8" s="72">
        <f>B6*B7</f>
        <v>15000</v>
      </c>
      <c r="D8" s="2"/>
      <c r="M8" s="46"/>
      <c r="R8" s="3"/>
      <c r="AS8" s="4"/>
      <c r="AV8" s="4"/>
      <c r="AW8" s="4"/>
      <c r="AX8" s="4"/>
      <c r="AY8" s="4"/>
      <c r="AZ8" s="4"/>
      <c r="BB8" s="4"/>
      <c r="BC8" s="4"/>
      <c r="BD8" s="4"/>
      <c r="BE8" s="4"/>
      <c r="BF8" s="4"/>
      <c r="BG8" s="4"/>
      <c r="BH8" s="4"/>
      <c r="BI8" s="4"/>
      <c r="BJ8" s="4"/>
      <c r="BK8" s="4"/>
      <c r="BL8" s="4"/>
      <c r="BM8" s="4"/>
      <c r="BN8" s="4"/>
      <c r="BO8" s="4"/>
      <c r="BP8" s="4"/>
      <c r="BQ8" s="4"/>
      <c r="BR8" s="4"/>
      <c r="BS8" s="4"/>
      <c r="BT8" s="4"/>
      <c r="BU8" s="4"/>
      <c r="BV8" s="4"/>
      <c r="BW8" s="4"/>
      <c r="BX8" s="4"/>
      <c r="BY8" s="5"/>
    </row>
    <row r="9" spans="1:78" s="97" customFormat="1" ht="12.75" customHeight="1" x14ac:dyDescent="0.2">
      <c r="A9" s="45" t="s">
        <v>369</v>
      </c>
      <c r="B9" s="117">
        <f>B8*0.75</f>
        <v>11250</v>
      </c>
      <c r="C9" s="94"/>
      <c r="F9" s="96"/>
      <c r="G9" s="1"/>
      <c r="H9" s="95"/>
      <c r="M9" s="1"/>
      <c r="N9" s="1"/>
      <c r="P9" s="1"/>
      <c r="S9" s="98"/>
      <c r="AT9" s="99"/>
      <c r="AU9" s="99"/>
      <c r="AV9" s="99"/>
      <c r="AW9" s="99"/>
      <c r="AX9" s="99"/>
      <c r="AY9" s="99"/>
      <c r="AZ9" s="99"/>
      <c r="BA9" s="99"/>
      <c r="BC9" s="99"/>
      <c r="BD9" s="99"/>
      <c r="BE9" s="99"/>
      <c r="BF9" s="99"/>
      <c r="BG9" s="99"/>
      <c r="BH9" s="99"/>
      <c r="BI9" s="99"/>
      <c r="BJ9" s="99"/>
      <c r="BK9" s="99"/>
      <c r="BL9" s="99"/>
      <c r="BM9" s="99"/>
      <c r="BN9" s="99"/>
      <c r="BO9" s="99"/>
      <c r="BP9" s="99"/>
      <c r="BQ9" s="99"/>
      <c r="BR9" s="99"/>
      <c r="BS9" s="99"/>
      <c r="BT9" s="99"/>
      <c r="BU9" s="99"/>
      <c r="BV9" s="99"/>
      <c r="BW9" s="99"/>
      <c r="BX9" s="99"/>
      <c r="BY9" s="99"/>
      <c r="BZ9" s="100"/>
    </row>
    <row r="10" spans="1:78" s="97" customFormat="1" ht="12.75" customHeight="1" x14ac:dyDescent="0.2">
      <c r="A10" s="45"/>
      <c r="B10" s="94"/>
      <c r="C10" s="94"/>
      <c r="F10" s="96"/>
      <c r="G10" s="1"/>
      <c r="H10" s="95"/>
      <c r="M10" s="1"/>
      <c r="N10" s="1"/>
      <c r="P10" s="1"/>
      <c r="S10" s="98"/>
      <c r="AT10" s="99"/>
      <c r="AU10" s="99"/>
      <c r="AV10" s="99"/>
      <c r="AW10" s="99"/>
      <c r="AX10" s="99"/>
      <c r="AY10" s="99"/>
      <c r="AZ10" s="99"/>
      <c r="BA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100"/>
    </row>
    <row r="11" spans="1:78" s="83" customFormat="1" ht="33.75" customHeight="1" x14ac:dyDescent="0.2">
      <c r="A11" s="101" t="s">
        <v>426</v>
      </c>
      <c r="B11" s="81" t="s">
        <v>29</v>
      </c>
      <c r="C11" s="82" t="s">
        <v>334</v>
      </c>
      <c r="D11" s="82" t="s">
        <v>338</v>
      </c>
    </row>
    <row r="12" spans="1:78" s="87" customFormat="1" x14ac:dyDescent="0.2">
      <c r="A12" s="84" t="s">
        <v>351</v>
      </c>
      <c r="B12" s="85">
        <f ca="1">'силос сп кукур'!AL51+'силос сп кукур'!AM51</f>
        <v>800436.91625987645</v>
      </c>
      <c r="C12" s="86">
        <f t="shared" ref="C12:C32" ca="1" si="0">B12/$B$6</f>
        <v>8004.3691625987649</v>
      </c>
      <c r="D12" s="105" t="e">
        <f t="shared" ref="D12:D31" ca="1" si="1">B12/$B$32%</f>
        <v>#REF!</v>
      </c>
    </row>
    <row r="13" spans="1:78" s="87" customFormat="1" x14ac:dyDescent="0.2">
      <c r="A13" s="88" t="s">
        <v>348</v>
      </c>
      <c r="B13" s="86">
        <f>'силос сп кукур'!AW51</f>
        <v>60000</v>
      </c>
      <c r="C13" s="86">
        <f t="shared" si="0"/>
        <v>600</v>
      </c>
      <c r="D13" s="105" t="e">
        <f t="shared" ca="1" si="1"/>
        <v>#REF!</v>
      </c>
    </row>
    <row r="14" spans="1:78" s="87" customFormat="1" x14ac:dyDescent="0.2">
      <c r="A14" s="88" t="s">
        <v>349</v>
      </c>
      <c r="B14" s="86" t="e">
        <f>'силос сп кукур'!BA51</f>
        <v>#REF!</v>
      </c>
      <c r="C14" s="86" t="e">
        <f t="shared" si="0"/>
        <v>#REF!</v>
      </c>
      <c r="D14" s="105" t="e">
        <f t="shared" ca="1" si="1"/>
        <v>#REF!</v>
      </c>
    </row>
    <row r="15" spans="1:78" s="87" customFormat="1" x14ac:dyDescent="0.2">
      <c r="A15" s="88" t="s">
        <v>373</v>
      </c>
      <c r="B15" s="86">
        <f>'силос сп кукур'!BE51</f>
        <v>37500</v>
      </c>
      <c r="C15" s="86">
        <f t="shared" si="0"/>
        <v>375</v>
      </c>
      <c r="D15" s="105" t="e">
        <f t="shared" ca="1" si="1"/>
        <v>#REF!</v>
      </c>
    </row>
    <row r="16" spans="1:78" s="87" customFormat="1" x14ac:dyDescent="0.2">
      <c r="A16" s="88" t="s">
        <v>350</v>
      </c>
      <c r="B16" s="86" t="e">
        <f>B17+B21+B24</f>
        <v>#REF!</v>
      </c>
      <c r="C16" s="86" t="e">
        <f t="shared" si="0"/>
        <v>#REF!</v>
      </c>
      <c r="D16" s="105" t="e">
        <f t="shared" ca="1" si="1"/>
        <v>#REF!</v>
      </c>
    </row>
    <row r="17" spans="1:4" x14ac:dyDescent="0.2">
      <c r="A17" s="89" t="s">
        <v>332</v>
      </c>
      <c r="B17" s="90">
        <f>SUM(B18:B20)</f>
        <v>190896.84062222979</v>
      </c>
      <c r="C17" s="90">
        <f t="shared" si="0"/>
        <v>1908.968406222298</v>
      </c>
      <c r="D17" s="106" t="e">
        <f t="shared" ca="1" si="1"/>
        <v>#REF!</v>
      </c>
    </row>
    <row r="18" spans="1:4" x14ac:dyDescent="0.2">
      <c r="A18" s="102" t="s">
        <v>339</v>
      </c>
      <c r="B18" s="90">
        <f>'силос сп кукур'!BJ51</f>
        <v>9752.7630524502019</v>
      </c>
      <c r="C18" s="90">
        <f t="shared" si="0"/>
        <v>97.527630524502015</v>
      </c>
      <c r="D18" s="106" t="e">
        <f t="shared" ca="1" si="1"/>
        <v>#REF!</v>
      </c>
    </row>
    <row r="19" spans="1:4" x14ac:dyDescent="0.2">
      <c r="A19" s="102" t="s">
        <v>340</v>
      </c>
      <c r="B19" s="90">
        <f>'силос сп кукур'!BL51</f>
        <v>7148.427569779552</v>
      </c>
      <c r="C19" s="90">
        <f t="shared" si="0"/>
        <v>71.484275697795525</v>
      </c>
      <c r="D19" s="106" t="e">
        <f t="shared" ca="1" si="1"/>
        <v>#REF!</v>
      </c>
    </row>
    <row r="20" spans="1:4" x14ac:dyDescent="0.2">
      <c r="A20" s="102" t="s">
        <v>397</v>
      </c>
      <c r="B20" s="90">
        <f>'силос сп кукур'!BM51</f>
        <v>173995.65000000002</v>
      </c>
      <c r="C20" s="90">
        <f t="shared" si="0"/>
        <v>1739.9565000000002</v>
      </c>
      <c r="D20" s="106" t="e">
        <f t="shared" ca="1" si="1"/>
        <v>#REF!</v>
      </c>
    </row>
    <row r="21" spans="1:4" x14ac:dyDescent="0.2">
      <c r="A21" s="89" t="s">
        <v>333</v>
      </c>
      <c r="B21" s="90">
        <f>SUM(B22:B23)</f>
        <v>577651.87223846186</v>
      </c>
      <c r="C21" s="90">
        <f t="shared" si="0"/>
        <v>5776.5187223846187</v>
      </c>
      <c r="D21" s="106" t="e">
        <f t="shared" ca="1" si="1"/>
        <v>#REF!</v>
      </c>
    </row>
    <row r="22" spans="1:4" x14ac:dyDescent="0.2">
      <c r="A22" s="102" t="s">
        <v>339</v>
      </c>
      <c r="B22" s="90">
        <f>'силос сп кукур'!BO51+'силос сп кукур'!BQ51+'силос сп кукур'!BS51</f>
        <v>60775.578509257888</v>
      </c>
      <c r="C22" s="90">
        <f t="shared" si="0"/>
        <v>607.75578509257889</v>
      </c>
      <c r="D22" s="106" t="e">
        <f t="shared" ca="1" si="1"/>
        <v>#REF!</v>
      </c>
    </row>
    <row r="23" spans="1:4" x14ac:dyDescent="0.2">
      <c r="A23" s="102" t="s">
        <v>340</v>
      </c>
      <c r="B23" s="90">
        <f>'силос сп кукур'!BT51</f>
        <v>516876.29372920399</v>
      </c>
      <c r="C23" s="90">
        <f t="shared" si="0"/>
        <v>5168.7629372920401</v>
      </c>
      <c r="D23" s="106" t="e">
        <f t="shared" ca="1" si="1"/>
        <v>#REF!</v>
      </c>
    </row>
    <row r="24" spans="1:4" x14ac:dyDescent="0.2">
      <c r="A24" s="89" t="s">
        <v>331</v>
      </c>
      <c r="B24" s="107" t="e">
        <f>'силос сп кукур'!AS51</f>
        <v>#REF!</v>
      </c>
      <c r="C24" s="90" t="e">
        <f t="shared" si="0"/>
        <v>#REF!</v>
      </c>
      <c r="D24" s="106" t="e">
        <f t="shared" ca="1" si="1"/>
        <v>#REF!</v>
      </c>
    </row>
    <row r="25" spans="1:4" s="87" customFormat="1" x14ac:dyDescent="0.2">
      <c r="A25" s="88" t="s">
        <v>341</v>
      </c>
      <c r="B25" s="86">
        <f>SUM(B26:B29)</f>
        <v>24294.234655294953</v>
      </c>
      <c r="C25" s="86">
        <f t="shared" si="0"/>
        <v>242.94234655294952</v>
      </c>
      <c r="D25" s="105" t="e">
        <f t="shared" ca="1" si="1"/>
        <v>#REF!</v>
      </c>
    </row>
    <row r="26" spans="1:4" x14ac:dyDescent="0.2">
      <c r="A26" s="102" t="s">
        <v>355</v>
      </c>
      <c r="B26" s="90">
        <f>B6*15.12</f>
        <v>1512</v>
      </c>
      <c r="C26" s="90">
        <f t="shared" si="0"/>
        <v>15.12</v>
      </c>
      <c r="D26" s="106" t="e">
        <f t="shared" ca="1" si="1"/>
        <v>#REF!</v>
      </c>
    </row>
    <row r="27" spans="1:4" x14ac:dyDescent="0.2">
      <c r="A27" s="102" t="s">
        <v>358</v>
      </c>
      <c r="B27" s="90">
        <f>12*100/250*('силос сп кукур'!L37+'силос сп кукур'!L46)+12*80/250*('силос сп кукур'!L22+'силос сп кукур'!L23+'силос сп кукур'!L24+'силос сп кукур'!L25+'силос сп кукур'!L27+'силос сп кукур'!L30+'силос сп кукур'!L32+'силос сп кукур'!L33+'силос сп кукур'!L44+'силос сп кукур'!L45)</f>
        <v>252.90132196162045</v>
      </c>
      <c r="C27" s="90">
        <f t="shared" si="0"/>
        <v>2.5290132196162047</v>
      </c>
      <c r="D27" s="106" t="e">
        <f t="shared" ca="1" si="1"/>
        <v>#REF!</v>
      </c>
    </row>
    <row r="28" spans="1:4" x14ac:dyDescent="0.2">
      <c r="A28" s="102" t="s">
        <v>362</v>
      </c>
      <c r="B28" s="90">
        <f>'силос сп кукур'!BH51</f>
        <v>0</v>
      </c>
      <c r="C28" s="90">
        <f t="shared" si="0"/>
        <v>0</v>
      </c>
      <c r="D28" s="106" t="e">
        <f t="shared" ca="1" si="1"/>
        <v>#REF!</v>
      </c>
    </row>
    <row r="29" spans="1:4" x14ac:dyDescent="0.2">
      <c r="A29" s="102" t="s">
        <v>360</v>
      </c>
      <c r="B29" s="90">
        <f>(B6*100*4/1000*33794/15)*25%</f>
        <v>22529.333333333332</v>
      </c>
      <c r="C29" s="90">
        <f t="shared" si="0"/>
        <v>225.29333333333332</v>
      </c>
      <c r="D29" s="106" t="e">
        <f t="shared" ca="1" si="1"/>
        <v>#REF!</v>
      </c>
    </row>
    <row r="30" spans="1:4" s="87" customFormat="1" x14ac:dyDescent="0.2">
      <c r="A30" s="88" t="s">
        <v>342</v>
      </c>
      <c r="B30" s="86" t="e">
        <f ca="1">B12+B13+B14+B16+B25+B15</f>
        <v>#REF!</v>
      </c>
      <c r="C30" s="86" t="e">
        <f t="shared" ca="1" si="0"/>
        <v>#REF!</v>
      </c>
      <c r="D30" s="105" t="e">
        <f t="shared" ca="1" si="1"/>
        <v>#REF!</v>
      </c>
    </row>
    <row r="31" spans="1:4" s="87" customFormat="1" x14ac:dyDescent="0.2">
      <c r="A31" s="88" t="s">
        <v>343</v>
      </c>
      <c r="B31" s="86" t="e">
        <f ca="1">B30*17.7%</f>
        <v>#REF!</v>
      </c>
      <c r="C31" s="86" t="e">
        <f t="shared" ca="1" si="0"/>
        <v>#REF!</v>
      </c>
      <c r="D31" s="105" t="e">
        <f t="shared" ca="1" si="1"/>
        <v>#REF!</v>
      </c>
    </row>
    <row r="32" spans="1:4" s="87" customFormat="1" x14ac:dyDescent="0.2">
      <c r="A32" s="88" t="s">
        <v>344</v>
      </c>
      <c r="B32" s="86" t="e">
        <f ca="1">B30+B31</f>
        <v>#REF!</v>
      </c>
      <c r="C32" s="86" t="e">
        <f t="shared" ca="1" si="0"/>
        <v>#REF!</v>
      </c>
      <c r="D32" s="105" t="e">
        <f ca="1">D30+D31</f>
        <v>#REF!</v>
      </c>
    </row>
    <row r="33" spans="1:9" x14ac:dyDescent="0.2">
      <c r="A33" s="89" t="s">
        <v>345</v>
      </c>
      <c r="B33" s="90" t="e">
        <f ca="1">B32/B6</f>
        <v>#REF!</v>
      </c>
      <c r="C33" s="90"/>
      <c r="D33" s="90"/>
    </row>
    <row r="34" spans="1:9" x14ac:dyDescent="0.2">
      <c r="A34" s="89" t="s">
        <v>366</v>
      </c>
      <c r="B34" s="90" t="e">
        <f ca="1">B32/(B8)</f>
        <v>#REF!</v>
      </c>
      <c r="C34" s="90"/>
      <c r="D34" s="90"/>
    </row>
    <row r="35" spans="1:9" x14ac:dyDescent="0.2">
      <c r="A35" s="135" t="s">
        <v>374</v>
      </c>
      <c r="B35" s="134" t="e">
        <f ca="1">B32/(B9)</f>
        <v>#REF!</v>
      </c>
      <c r="C35" s="133"/>
      <c r="D35" s="133"/>
    </row>
    <row r="36" spans="1:9" x14ac:dyDescent="0.2">
      <c r="A36" s="89" t="s">
        <v>346</v>
      </c>
      <c r="B36" s="90">
        <f>'силос сп кукур'!O51+'силос сп кукур'!P51</f>
        <v>1056.8277363184079</v>
      </c>
      <c r="C36" s="90"/>
      <c r="D36" s="90"/>
    </row>
    <row r="37" spans="1:9" x14ac:dyDescent="0.2">
      <c r="A37" s="102" t="s">
        <v>334</v>
      </c>
      <c r="B37" s="90">
        <f>B36/B6</f>
        <v>10.568277363184079</v>
      </c>
      <c r="C37" s="90"/>
      <c r="D37" s="90"/>
    </row>
    <row r="38" spans="1:9" x14ac:dyDescent="0.2">
      <c r="A38" s="102" t="s">
        <v>335</v>
      </c>
      <c r="B38" s="106">
        <f>B36/B8</f>
        <v>7.0455182421227197E-2</v>
      </c>
      <c r="C38" s="90"/>
      <c r="D38" s="90"/>
    </row>
    <row r="39" spans="1:9" x14ac:dyDescent="0.2">
      <c r="A39" s="89" t="s">
        <v>353</v>
      </c>
      <c r="B39" s="90">
        <f ca="1">('силос сп кукур'!AH51+'силос сп кукур'!AI51)/B36</f>
        <v>582.61217382525365</v>
      </c>
      <c r="C39" s="90"/>
      <c r="D39" s="90"/>
    </row>
    <row r="40" spans="1:9" x14ac:dyDescent="0.2">
      <c r="A40" s="103" t="s">
        <v>336</v>
      </c>
      <c r="B40" s="90">
        <f ca="1">'силос сп кукур'!AH51/'силос сп кукур'!O51</f>
        <v>702.33832793031797</v>
      </c>
      <c r="C40" s="90"/>
      <c r="D40" s="90"/>
    </row>
    <row r="41" spans="1:9" x14ac:dyDescent="0.2">
      <c r="A41" s="104" t="s">
        <v>337</v>
      </c>
      <c r="B41" s="90">
        <f ca="1">'силос сп кукур'!AI51/'силос сп кукур'!P51</f>
        <v>429.97307538161687</v>
      </c>
      <c r="C41" s="90"/>
      <c r="D41" s="90"/>
    </row>
    <row r="42" spans="1:9" x14ac:dyDescent="0.2">
      <c r="A42" s="89" t="s">
        <v>347</v>
      </c>
      <c r="B42" s="90">
        <f ca="1">B39*164.5</f>
        <v>95839.702594254224</v>
      </c>
      <c r="C42" s="90"/>
      <c r="D42" s="90"/>
    </row>
    <row r="43" spans="1:9" x14ac:dyDescent="0.2">
      <c r="A43" s="103" t="s">
        <v>336</v>
      </c>
      <c r="B43" s="107">
        <f ca="1">B40*164.5</f>
        <v>115534.65494453731</v>
      </c>
      <c r="C43" s="89"/>
      <c r="D43" s="89"/>
    </row>
    <row r="44" spans="1:9" ht="12.75" customHeight="1" x14ac:dyDescent="0.2">
      <c r="A44" s="104" t="s">
        <v>337</v>
      </c>
      <c r="B44" s="107">
        <f ca="1">B41*164.5</f>
        <v>70730.570900275969</v>
      </c>
      <c r="C44" s="89"/>
      <c r="D44" s="89"/>
    </row>
    <row r="46" spans="1:9" x14ac:dyDescent="0.2">
      <c r="A46" t="s">
        <v>496</v>
      </c>
      <c r="B46"/>
      <c r="C46"/>
      <c r="D46"/>
      <c r="E46"/>
      <c r="F46"/>
      <c r="G46"/>
      <c r="I46" t="s">
        <v>497</v>
      </c>
    </row>
    <row r="47" spans="1:9" x14ac:dyDescent="0.2">
      <c r="A47"/>
      <c r="B47"/>
      <c r="C47"/>
      <c r="D47"/>
      <c r="E47"/>
      <c r="F47"/>
      <c r="G47"/>
      <c r="I47"/>
    </row>
    <row r="48" spans="1:9" x14ac:dyDescent="0.2">
      <c r="A48" t="s">
        <v>498</v>
      </c>
      <c r="B48"/>
      <c r="C48"/>
      <c r="D48"/>
      <c r="E48"/>
      <c r="F48"/>
      <c r="G48"/>
      <c r="I48" t="s">
        <v>499</v>
      </c>
    </row>
    <row r="49" spans="1:9" x14ac:dyDescent="0.2">
      <c r="A49"/>
      <c r="B49"/>
      <c r="C49"/>
      <c r="D49"/>
      <c r="E49"/>
      <c r="F49"/>
      <c r="G49"/>
      <c r="I49"/>
    </row>
    <row r="50" spans="1:9" x14ac:dyDescent="0.2">
      <c r="A50" t="s">
        <v>501</v>
      </c>
      <c r="B50"/>
      <c r="C50"/>
      <c r="D50"/>
      <c r="E50"/>
      <c r="F50"/>
      <c r="G50"/>
      <c r="I50" t="s">
        <v>500</v>
      </c>
    </row>
  </sheetData>
  <pageMargins left="0.75" right="0.75" top="1" bottom="1" header="0.5" footer="0.5"/>
  <pageSetup paperSize="9" scale="62"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pageSetUpPr fitToPage="1"/>
  </sheetPr>
  <dimension ref="A1:BM66"/>
  <sheetViews>
    <sheetView topLeftCell="AA1" zoomScale="90" zoomScaleNormal="90" workbookViewId="0">
      <selection activeCell="AR23" sqref="AR23"/>
    </sheetView>
  </sheetViews>
  <sheetFormatPr defaultRowHeight="11.25" x14ac:dyDescent="0.2"/>
  <cols>
    <col min="1" max="1" width="3.85546875" style="15" customWidth="1"/>
    <col min="2" max="2" width="29.7109375" style="13" customWidth="1"/>
    <col min="3" max="3" width="5.42578125" style="13" customWidth="1"/>
    <col min="4" max="4" width="7.28515625" style="13" customWidth="1"/>
    <col min="5" max="5" width="7.42578125" style="13" customWidth="1"/>
    <col min="6" max="6" width="4.7109375" style="15" customWidth="1"/>
    <col min="7" max="7" width="9" style="13" customWidth="1"/>
    <col min="8" max="9" width="8.140625" style="13" customWidth="1"/>
    <col min="10" max="10" width="5.42578125" style="13" customWidth="1"/>
    <col min="11" max="12" width="6.140625" style="13" customWidth="1"/>
    <col min="13" max="13" width="7" style="13" customWidth="1"/>
    <col min="14" max="16" width="6.140625" style="13" customWidth="1"/>
    <col min="17" max="17" width="6.140625" style="18" customWidth="1"/>
    <col min="18" max="20" width="6.140625" style="13" customWidth="1"/>
    <col min="21" max="21" width="7.28515625" style="13" customWidth="1"/>
    <col min="22" max="22" width="7.85546875" style="13" customWidth="1"/>
    <col min="23" max="23" width="7.140625" style="13" customWidth="1"/>
    <col min="24" max="24" width="7.28515625" style="13" customWidth="1"/>
    <col min="25" max="27" width="6.140625" style="13" customWidth="1"/>
    <col min="28" max="29" width="7.28515625" style="13" customWidth="1"/>
    <col min="30" max="30" width="8" style="13" customWidth="1"/>
    <col min="31" max="31" width="8.7109375" style="13" customWidth="1"/>
    <col min="32" max="32" width="6.140625" style="13" customWidth="1"/>
    <col min="33" max="33" width="7.5703125" style="13" customWidth="1"/>
    <col min="34" max="34" width="7" style="13" customWidth="1"/>
    <col min="35" max="35" width="8.42578125" style="13" customWidth="1"/>
    <col min="36" max="36" width="7.140625" style="13" customWidth="1"/>
    <col min="37" max="37" width="8.42578125" style="13" customWidth="1"/>
    <col min="38" max="38" width="7.140625" style="13" customWidth="1"/>
    <col min="39" max="39" width="8.42578125" style="13" customWidth="1"/>
    <col min="40" max="41" width="6.140625" style="13" customWidth="1"/>
    <col min="42" max="42" width="7.28515625" style="16" customWidth="1"/>
    <col min="43" max="44" width="8.7109375" style="43" customWidth="1"/>
    <col min="45" max="49" width="9.5703125" style="16" customWidth="1"/>
    <col min="50" max="60" width="7.42578125" style="16" customWidth="1"/>
    <col min="61" max="61" width="9.28515625" style="16" customWidth="1"/>
    <col min="62" max="63" width="7.42578125" style="16" customWidth="1"/>
    <col min="64" max="64" width="9" style="17" customWidth="1"/>
    <col min="65" max="16384" width="9.140625" style="13"/>
  </cols>
  <sheetData>
    <row r="1" spans="1:65" s="7" customFormat="1" ht="15.75" x14ac:dyDescent="0.2">
      <c r="B1" s="47" t="s">
        <v>54</v>
      </c>
      <c r="E1" s="8"/>
      <c r="G1" s="6"/>
      <c r="H1" s="110" t="s">
        <v>481</v>
      </c>
      <c r="Q1" s="44"/>
      <c r="AP1" s="9"/>
      <c r="AQ1" s="10"/>
      <c r="AR1" s="10"/>
      <c r="AS1" s="9"/>
      <c r="AT1" s="9"/>
      <c r="AU1" s="9"/>
      <c r="AV1" s="9"/>
      <c r="AW1" s="9"/>
      <c r="AX1" s="9"/>
      <c r="AY1" s="9"/>
      <c r="AZ1" s="9"/>
      <c r="BA1" s="9"/>
      <c r="BB1" s="9"/>
      <c r="BC1" s="9"/>
      <c r="BD1" s="9"/>
      <c r="BE1" s="9"/>
      <c r="BF1" s="9"/>
      <c r="BG1" s="9"/>
      <c r="BH1" s="9"/>
      <c r="BI1" s="9"/>
      <c r="BJ1" s="9"/>
      <c r="BK1" s="9"/>
      <c r="BL1" s="11"/>
    </row>
    <row r="2" spans="1:65" s="7" customFormat="1" ht="15.75" x14ac:dyDescent="0.2">
      <c r="B2" s="47" t="s">
        <v>57</v>
      </c>
      <c r="E2" s="8"/>
      <c r="G2" s="6"/>
      <c r="Q2" s="44"/>
      <c r="AP2" s="9"/>
      <c r="AQ2" s="9"/>
      <c r="AR2" s="9"/>
      <c r="AS2" s="9"/>
      <c r="AT2" s="9"/>
      <c r="AU2" s="9"/>
      <c r="AV2" s="9"/>
      <c r="AW2" s="9"/>
      <c r="AX2" s="9"/>
      <c r="AY2" s="9"/>
      <c r="AZ2" s="9"/>
      <c r="BA2" s="9"/>
      <c r="BB2" s="9"/>
      <c r="BC2" s="9"/>
      <c r="BD2" s="9"/>
      <c r="BE2" s="9"/>
      <c r="BF2" s="9"/>
      <c r="BG2" s="9"/>
      <c r="BH2" s="9"/>
      <c r="BI2" s="9"/>
      <c r="BJ2" s="9"/>
      <c r="BK2" s="9"/>
      <c r="BL2" s="11"/>
    </row>
    <row r="3" spans="1:65" s="7" customFormat="1" ht="15.75" x14ac:dyDescent="0.2">
      <c r="B3" s="6"/>
      <c r="E3" s="8"/>
      <c r="G3" s="6"/>
      <c r="Q3" s="44"/>
      <c r="AP3" s="9"/>
      <c r="AQ3" s="9"/>
      <c r="AR3" s="9"/>
      <c r="AS3" s="9"/>
      <c r="AT3" s="9"/>
      <c r="AU3" s="9"/>
      <c r="AV3" s="9"/>
      <c r="AW3" s="9"/>
      <c r="AX3" s="9"/>
      <c r="AY3" s="9"/>
      <c r="AZ3" s="9"/>
      <c r="BA3" s="9"/>
      <c r="BB3" s="9"/>
      <c r="BC3" s="9"/>
      <c r="BD3" s="9"/>
      <c r="BE3" s="9"/>
      <c r="BF3" s="9"/>
      <c r="BG3" s="9"/>
      <c r="BH3" s="9"/>
      <c r="BI3" s="9"/>
      <c r="BJ3" s="9"/>
      <c r="BK3" s="9"/>
      <c r="BL3" s="11"/>
    </row>
    <row r="4" spans="1:65" s="1" customFormat="1" ht="12.75" customHeight="1" x14ac:dyDescent="0.2">
      <c r="B4" s="46" t="s">
        <v>83</v>
      </c>
      <c r="E4" s="2"/>
      <c r="G4" s="46"/>
      <c r="L4" s="46"/>
      <c r="Q4" s="3"/>
      <c r="AP4" s="4"/>
      <c r="AQ4" s="4"/>
      <c r="AR4" s="4"/>
      <c r="AS4" s="4"/>
      <c r="AT4" s="4"/>
      <c r="AU4" s="4"/>
      <c r="AV4" s="4"/>
      <c r="AW4" s="4"/>
      <c r="AX4" s="4"/>
      <c r="AY4" s="4"/>
      <c r="AZ4" s="4"/>
      <c r="BA4" s="4"/>
      <c r="BB4" s="4"/>
      <c r="BC4" s="4"/>
      <c r="BD4" s="4"/>
      <c r="BE4" s="4"/>
      <c r="BF4" s="4"/>
      <c r="BG4" s="4"/>
      <c r="BH4" s="4"/>
      <c r="BI4" s="4"/>
      <c r="BJ4" s="4"/>
      <c r="BK4" s="4"/>
      <c r="BL4" s="5"/>
    </row>
    <row r="5" spans="1:65" s="1" customFormat="1" ht="12.75" customHeight="1" x14ac:dyDescent="0.2">
      <c r="B5" s="46" t="s">
        <v>375</v>
      </c>
      <c r="D5" s="1">
        <v>100</v>
      </c>
      <c r="E5" s="2"/>
      <c r="J5" s="118"/>
      <c r="L5" s="46"/>
      <c r="Q5" s="3"/>
      <c r="AP5" s="4"/>
      <c r="AQ5" s="4"/>
      <c r="AR5" s="4"/>
      <c r="AS5" s="4"/>
      <c r="AT5" s="4"/>
      <c r="AU5" s="4"/>
      <c r="AV5" s="4"/>
      <c r="AW5" s="4"/>
      <c r="AX5" s="4"/>
      <c r="AY5" s="4"/>
      <c r="AZ5" s="4"/>
      <c r="BA5" s="4"/>
      <c r="BB5" s="4"/>
      <c r="BC5" s="4"/>
      <c r="BD5" s="4"/>
      <c r="BE5" s="4"/>
      <c r="BF5" s="4"/>
      <c r="BG5" s="4"/>
      <c r="BH5" s="4"/>
      <c r="BI5" s="4"/>
      <c r="BJ5" s="4"/>
      <c r="BK5" s="4"/>
      <c r="BL5" s="5"/>
    </row>
    <row r="6" spans="1:65" s="1" customFormat="1" ht="12.75" customHeight="1" x14ac:dyDescent="0.2">
      <c r="B6" s="1" t="s">
        <v>357</v>
      </c>
      <c r="E6" s="2"/>
      <c r="F6" s="45" t="s">
        <v>356</v>
      </c>
      <c r="G6" s="13"/>
      <c r="H6" s="13"/>
      <c r="J6" s="118"/>
      <c r="L6" s="46"/>
      <c r="Q6" s="3"/>
      <c r="AP6" s="4"/>
      <c r="AQ6" s="4"/>
      <c r="AR6" s="4"/>
      <c r="AS6" s="4"/>
      <c r="AT6" s="4"/>
      <c r="AU6" s="4"/>
      <c r="AV6" s="4"/>
      <c r="AW6" s="4"/>
      <c r="AX6" s="4"/>
      <c r="AY6" s="4"/>
      <c r="AZ6" s="4"/>
      <c r="BA6" s="4"/>
      <c r="BB6" s="4"/>
      <c r="BC6" s="4"/>
      <c r="BD6" s="4"/>
      <c r="BE6" s="4"/>
      <c r="BF6" s="4"/>
      <c r="BG6" s="4"/>
      <c r="BH6" s="4"/>
      <c r="BI6" s="4"/>
      <c r="BJ6" s="4"/>
      <c r="BK6" s="4"/>
      <c r="BL6" s="5"/>
    </row>
    <row r="7" spans="1:65" ht="12.75" customHeight="1" x14ac:dyDescent="0.2">
      <c r="B7" s="45" t="s">
        <v>217</v>
      </c>
      <c r="D7" s="119">
        <v>10.182352941176473</v>
      </c>
      <c r="E7" s="14"/>
      <c r="F7" s="45"/>
      <c r="G7" s="45" t="s">
        <v>217</v>
      </c>
      <c r="H7" s="13">
        <f>$D$5*D7</f>
        <v>1018.2352941176473</v>
      </c>
      <c r="J7" s="119"/>
      <c r="L7" s="45"/>
      <c r="Q7" s="15"/>
      <c r="AQ7" s="16"/>
      <c r="AR7" s="16"/>
    </row>
    <row r="8" spans="1:65" ht="12.75" customHeight="1" x14ac:dyDescent="0.2">
      <c r="B8" s="45" t="s">
        <v>218</v>
      </c>
      <c r="D8" s="119">
        <v>10.182352941176473</v>
      </c>
      <c r="E8" s="14"/>
      <c r="F8" s="45"/>
      <c r="G8" s="45" t="s">
        <v>218</v>
      </c>
      <c r="H8" s="13">
        <f>$D$5*D8</f>
        <v>1018.2352941176473</v>
      </c>
      <c r="J8" s="119"/>
      <c r="L8" s="45"/>
      <c r="Q8" s="15"/>
      <c r="AQ8" s="16"/>
      <c r="AR8" s="16"/>
    </row>
    <row r="9" spans="1:65" ht="12.75" customHeight="1" x14ac:dyDescent="0.2">
      <c r="B9" s="45" t="s">
        <v>219</v>
      </c>
      <c r="D9" s="119">
        <v>10.182352941176473</v>
      </c>
      <c r="E9" s="14"/>
      <c r="F9" s="45"/>
      <c r="G9" s="45" t="s">
        <v>219</v>
      </c>
      <c r="H9" s="13">
        <f>$D$5*D9</f>
        <v>1018.2352941176473</v>
      </c>
      <c r="J9" s="119"/>
      <c r="L9" s="45"/>
      <c r="Q9" s="15"/>
      <c r="AQ9" s="16"/>
      <c r="AR9" s="16"/>
    </row>
    <row r="10" spans="1:65" ht="12.75" customHeight="1" x14ac:dyDescent="0.2">
      <c r="B10" s="45" t="s">
        <v>220</v>
      </c>
      <c r="D10" s="119">
        <v>10.182352941176473</v>
      </c>
      <c r="E10" s="14"/>
      <c r="F10" s="45"/>
      <c r="G10" s="45" t="s">
        <v>220</v>
      </c>
      <c r="H10" s="13">
        <f>$D$5*D10</f>
        <v>1018.2352941176473</v>
      </c>
      <c r="J10" s="119"/>
      <c r="L10" s="45"/>
      <c r="Q10" s="15"/>
      <c r="AQ10" s="16"/>
      <c r="AR10" s="16"/>
    </row>
    <row r="11" spans="1:65" ht="12.75" customHeight="1" x14ac:dyDescent="0.2">
      <c r="B11" s="45" t="s">
        <v>221</v>
      </c>
      <c r="D11" s="119">
        <v>12.218823529411768</v>
      </c>
      <c r="E11" s="14"/>
      <c r="F11" s="45"/>
      <c r="G11" s="45" t="s">
        <v>221</v>
      </c>
      <c r="H11" s="13">
        <f>$D$5*D11</f>
        <v>1221.8823529411768</v>
      </c>
      <c r="J11" s="119"/>
      <c r="L11" s="45"/>
      <c r="Q11" s="15"/>
      <c r="AQ11" s="16"/>
      <c r="AR11" s="16"/>
    </row>
    <row r="12" spans="1:65" ht="12.75" customHeight="1" x14ac:dyDescent="0.2">
      <c r="D12" s="14"/>
      <c r="E12" s="7"/>
      <c r="F12" s="12"/>
      <c r="K12" s="7"/>
      <c r="L12" s="7"/>
      <c r="N12" s="7"/>
      <c r="Q12" s="15"/>
      <c r="AQ12" s="16"/>
      <c r="AR12" s="16"/>
    </row>
    <row r="13" spans="1:65" s="6" customFormat="1" ht="39.75" customHeight="1" x14ac:dyDescent="0.2">
      <c r="A13" s="534" t="s">
        <v>55</v>
      </c>
      <c r="B13" s="535" t="s">
        <v>51</v>
      </c>
      <c r="C13" s="535"/>
      <c r="D13" s="535"/>
      <c r="E13" s="535"/>
      <c r="F13" s="534" t="s">
        <v>15</v>
      </c>
      <c r="G13" s="534" t="s">
        <v>34</v>
      </c>
      <c r="H13" s="535" t="s">
        <v>30</v>
      </c>
      <c r="I13" s="535"/>
      <c r="J13" s="534" t="s">
        <v>33</v>
      </c>
      <c r="K13" s="534" t="s">
        <v>39</v>
      </c>
      <c r="L13" s="534" t="s">
        <v>38</v>
      </c>
      <c r="M13" s="535" t="s">
        <v>35</v>
      </c>
      <c r="N13" s="535"/>
      <c r="O13" s="535" t="s">
        <v>315</v>
      </c>
      <c r="P13" s="535"/>
      <c r="Q13" s="535" t="s">
        <v>314</v>
      </c>
      <c r="R13" s="535"/>
      <c r="S13" s="535"/>
      <c r="T13" s="535"/>
      <c r="U13" s="535" t="s">
        <v>316</v>
      </c>
      <c r="V13" s="535"/>
      <c r="W13" s="535" t="s">
        <v>317</v>
      </c>
      <c r="X13" s="535"/>
      <c r="Y13" s="535" t="s">
        <v>318</v>
      </c>
      <c r="Z13" s="535"/>
      <c r="AA13" s="535" t="s">
        <v>319</v>
      </c>
      <c r="AB13" s="535"/>
      <c r="AC13" s="543" t="s">
        <v>425</v>
      </c>
      <c r="AD13" s="544"/>
      <c r="AE13" s="545"/>
      <c r="AF13" s="535" t="s">
        <v>163</v>
      </c>
      <c r="AG13" s="535"/>
      <c r="AH13" s="535" t="s">
        <v>320</v>
      </c>
      <c r="AI13" s="535"/>
      <c r="AJ13" s="535" t="s">
        <v>321</v>
      </c>
      <c r="AK13" s="535"/>
      <c r="AL13" s="535" t="s">
        <v>322</v>
      </c>
      <c r="AM13" s="535"/>
      <c r="AN13" s="535" t="s">
        <v>13</v>
      </c>
      <c r="AO13" s="535"/>
      <c r="AP13" s="535"/>
      <c r="AQ13" s="535"/>
      <c r="AR13" s="535"/>
      <c r="AS13" s="535"/>
      <c r="AT13" s="543" t="s">
        <v>394</v>
      </c>
      <c r="AU13" s="544"/>
      <c r="AV13" s="544"/>
      <c r="AW13" s="545"/>
      <c r="AX13" s="535" t="s">
        <v>44</v>
      </c>
      <c r="AY13" s="535"/>
      <c r="AZ13" s="535"/>
      <c r="BA13" s="535"/>
      <c r="BB13" s="535" t="s">
        <v>312</v>
      </c>
      <c r="BC13" s="535"/>
      <c r="BD13" s="535"/>
      <c r="BE13" s="535"/>
      <c r="BF13" s="535"/>
      <c r="BG13" s="535"/>
      <c r="BH13" s="535"/>
      <c r="BI13" s="535" t="s">
        <v>48</v>
      </c>
      <c r="BJ13" s="535"/>
      <c r="BK13" s="535" t="s">
        <v>326</v>
      </c>
      <c r="BL13" s="549" t="s">
        <v>58</v>
      </c>
      <c r="BM13" s="549"/>
    </row>
    <row r="14" spans="1:65" s="6" customFormat="1" ht="40.5" customHeight="1" x14ac:dyDescent="0.2">
      <c r="A14" s="534"/>
      <c r="B14" s="535"/>
      <c r="C14" s="535"/>
      <c r="D14" s="535"/>
      <c r="E14" s="535"/>
      <c r="F14" s="534"/>
      <c r="G14" s="534"/>
      <c r="H14" s="535"/>
      <c r="I14" s="535"/>
      <c r="J14" s="534"/>
      <c r="K14" s="534"/>
      <c r="L14" s="534"/>
      <c r="M14" s="535"/>
      <c r="N14" s="535"/>
      <c r="O14" s="535"/>
      <c r="P14" s="535"/>
      <c r="Q14" s="535"/>
      <c r="R14" s="535"/>
      <c r="S14" s="535"/>
      <c r="T14" s="535"/>
      <c r="U14" s="535"/>
      <c r="V14" s="535"/>
      <c r="W14" s="535"/>
      <c r="X14" s="535"/>
      <c r="Y14" s="535"/>
      <c r="Z14" s="535"/>
      <c r="AA14" s="535"/>
      <c r="AB14" s="535"/>
      <c r="AC14" s="546"/>
      <c r="AD14" s="547"/>
      <c r="AE14" s="548"/>
      <c r="AF14" s="535"/>
      <c r="AG14" s="535"/>
      <c r="AH14" s="535"/>
      <c r="AI14" s="535"/>
      <c r="AJ14" s="535"/>
      <c r="AK14" s="535"/>
      <c r="AL14" s="535"/>
      <c r="AM14" s="535"/>
      <c r="AN14" s="535"/>
      <c r="AO14" s="535"/>
      <c r="AP14" s="535"/>
      <c r="AQ14" s="535"/>
      <c r="AR14" s="535"/>
      <c r="AS14" s="535"/>
      <c r="AT14" s="546"/>
      <c r="AU14" s="547"/>
      <c r="AV14" s="547"/>
      <c r="AW14" s="548"/>
      <c r="AX14" s="535"/>
      <c r="AY14" s="535"/>
      <c r="AZ14" s="535"/>
      <c r="BA14" s="535"/>
      <c r="BB14" s="535"/>
      <c r="BC14" s="535"/>
      <c r="BD14" s="535"/>
      <c r="BE14" s="535"/>
      <c r="BF14" s="535"/>
      <c r="BG14" s="535"/>
      <c r="BH14" s="535"/>
      <c r="BI14" s="535"/>
      <c r="BJ14" s="535"/>
      <c r="BK14" s="535"/>
      <c r="BL14" s="549"/>
      <c r="BM14" s="549"/>
    </row>
    <row r="15" spans="1:65" s="6" customFormat="1" ht="38.25" customHeight="1" x14ac:dyDescent="0.2">
      <c r="A15" s="534"/>
      <c r="B15" s="535" t="s">
        <v>12</v>
      </c>
      <c r="C15" s="535" t="s">
        <v>40</v>
      </c>
      <c r="D15" s="535"/>
      <c r="E15" s="535"/>
      <c r="F15" s="534"/>
      <c r="G15" s="534"/>
      <c r="H15" s="534" t="s">
        <v>31</v>
      </c>
      <c r="I15" s="534" t="s">
        <v>32</v>
      </c>
      <c r="J15" s="534"/>
      <c r="K15" s="534"/>
      <c r="L15" s="534"/>
      <c r="M15" s="534" t="s">
        <v>36</v>
      </c>
      <c r="N15" s="534" t="s">
        <v>37</v>
      </c>
      <c r="O15" s="477">
        <v>7</v>
      </c>
      <c r="P15" s="477"/>
      <c r="Q15" s="535" t="s">
        <v>36</v>
      </c>
      <c r="R15" s="535"/>
      <c r="S15" s="535" t="s">
        <v>37</v>
      </c>
      <c r="T15" s="535"/>
      <c r="U15" s="534" t="s">
        <v>16</v>
      </c>
      <c r="V15" s="534" t="s">
        <v>17</v>
      </c>
      <c r="W15" s="550">
        <v>0.4</v>
      </c>
      <c r="X15" s="550"/>
      <c r="Y15" s="71">
        <v>0.1</v>
      </c>
      <c r="Z15" s="71">
        <v>0.05</v>
      </c>
      <c r="AA15" s="556">
        <v>0.1</v>
      </c>
      <c r="AB15" s="556"/>
      <c r="AC15" s="552" t="s">
        <v>18</v>
      </c>
      <c r="AD15" s="552" t="s">
        <v>16</v>
      </c>
      <c r="AE15" s="552" t="s">
        <v>17</v>
      </c>
      <c r="AF15" s="556">
        <f ca="1">(((((AD66/O66)*164.5)/29*(52/12)))/((AD66/O66)*164.5))</f>
        <v>0.14942528735632182</v>
      </c>
      <c r="AG15" s="556"/>
      <c r="AH15" s="534" t="s">
        <v>16</v>
      </c>
      <c r="AI15" s="534" t="s">
        <v>17</v>
      </c>
      <c r="AJ15" s="556">
        <v>0.3</v>
      </c>
      <c r="AK15" s="556"/>
      <c r="AL15" s="534" t="s">
        <v>16</v>
      </c>
      <c r="AM15" s="534" t="s">
        <v>17</v>
      </c>
      <c r="AN15" s="534" t="s">
        <v>328</v>
      </c>
      <c r="AO15" s="534" t="s">
        <v>42</v>
      </c>
      <c r="AP15" s="509" t="s">
        <v>49</v>
      </c>
      <c r="AQ15" s="509" t="s">
        <v>43</v>
      </c>
      <c r="AR15" s="509" t="s">
        <v>323</v>
      </c>
      <c r="AS15" s="509" t="s">
        <v>324</v>
      </c>
      <c r="AT15" s="534" t="s">
        <v>407</v>
      </c>
      <c r="AU15" s="509" t="s">
        <v>408</v>
      </c>
      <c r="AV15" s="509" t="s">
        <v>409</v>
      </c>
      <c r="AW15" s="509" t="s">
        <v>324</v>
      </c>
      <c r="AX15" s="549" t="s">
        <v>45</v>
      </c>
      <c r="AY15" s="549"/>
      <c r="AZ15" s="549" t="s">
        <v>46</v>
      </c>
      <c r="BA15" s="549"/>
      <c r="BB15" s="549" t="s">
        <v>307</v>
      </c>
      <c r="BC15" s="549"/>
      <c r="BD15" s="549" t="s">
        <v>308</v>
      </c>
      <c r="BE15" s="549"/>
      <c r="BF15" s="549" t="s">
        <v>309</v>
      </c>
      <c r="BG15" s="549"/>
      <c r="BH15" s="534" t="s">
        <v>310</v>
      </c>
      <c r="BI15" s="509" t="s">
        <v>311</v>
      </c>
      <c r="BJ15" s="509" t="s">
        <v>327</v>
      </c>
      <c r="BK15" s="535"/>
      <c r="BL15" s="509" t="s">
        <v>50</v>
      </c>
      <c r="BM15" s="509" t="s">
        <v>14</v>
      </c>
    </row>
    <row r="16" spans="1:65" s="6" customFormat="1" ht="48" customHeight="1" x14ac:dyDescent="0.2">
      <c r="A16" s="534"/>
      <c r="B16" s="535"/>
      <c r="C16" s="534" t="s">
        <v>41</v>
      </c>
      <c r="D16" s="534" t="s">
        <v>53</v>
      </c>
      <c r="E16" s="534" t="s">
        <v>52</v>
      </c>
      <c r="F16" s="534"/>
      <c r="G16" s="534"/>
      <c r="H16" s="534"/>
      <c r="I16" s="534"/>
      <c r="J16" s="534"/>
      <c r="K16" s="534"/>
      <c r="L16" s="534"/>
      <c r="M16" s="534"/>
      <c r="N16" s="534"/>
      <c r="O16" s="534" t="s">
        <v>36</v>
      </c>
      <c r="P16" s="534" t="s">
        <v>37</v>
      </c>
      <c r="Q16" s="536" t="s">
        <v>19</v>
      </c>
      <c r="R16" s="534" t="s">
        <v>20</v>
      </c>
      <c r="S16" s="536" t="s">
        <v>19</v>
      </c>
      <c r="T16" s="534" t="s">
        <v>20</v>
      </c>
      <c r="U16" s="534"/>
      <c r="V16" s="534"/>
      <c r="W16" s="534" t="s">
        <v>16</v>
      </c>
      <c r="X16" s="534" t="s">
        <v>17</v>
      </c>
      <c r="Y16" s="534" t="s">
        <v>172</v>
      </c>
      <c r="Z16" s="534" t="s">
        <v>173</v>
      </c>
      <c r="AA16" s="534" t="s">
        <v>16</v>
      </c>
      <c r="AB16" s="534" t="s">
        <v>17</v>
      </c>
      <c r="AC16" s="553"/>
      <c r="AD16" s="553"/>
      <c r="AE16" s="553"/>
      <c r="AF16" s="534" t="s">
        <v>16</v>
      </c>
      <c r="AG16" s="534" t="s">
        <v>17</v>
      </c>
      <c r="AH16" s="534"/>
      <c r="AI16" s="534"/>
      <c r="AJ16" s="534" t="s">
        <v>16</v>
      </c>
      <c r="AK16" s="534" t="s">
        <v>17</v>
      </c>
      <c r="AL16" s="534"/>
      <c r="AM16" s="534"/>
      <c r="AN16" s="534"/>
      <c r="AO16" s="534"/>
      <c r="AP16" s="509"/>
      <c r="AQ16" s="509"/>
      <c r="AR16" s="509"/>
      <c r="AS16" s="509"/>
      <c r="AT16" s="534"/>
      <c r="AU16" s="509"/>
      <c r="AV16" s="509"/>
      <c r="AW16" s="509"/>
      <c r="AX16" s="509" t="s">
        <v>47</v>
      </c>
      <c r="AY16" s="509" t="s">
        <v>313</v>
      </c>
      <c r="AZ16" s="509" t="s">
        <v>47</v>
      </c>
      <c r="BA16" s="509" t="s">
        <v>313</v>
      </c>
      <c r="BB16" s="509" t="s">
        <v>306</v>
      </c>
      <c r="BC16" s="509" t="s">
        <v>313</v>
      </c>
      <c r="BD16" s="509" t="s">
        <v>306</v>
      </c>
      <c r="BE16" s="509" t="s">
        <v>313</v>
      </c>
      <c r="BF16" s="509" t="s">
        <v>306</v>
      </c>
      <c r="BG16" s="509" t="s">
        <v>313</v>
      </c>
      <c r="BH16" s="534"/>
      <c r="BI16" s="509"/>
      <c r="BJ16" s="509"/>
      <c r="BK16" s="535"/>
      <c r="BL16" s="509"/>
      <c r="BM16" s="509"/>
    </row>
    <row r="17" spans="1:65" s="6" customFormat="1" ht="76.5" customHeight="1" x14ac:dyDescent="0.2">
      <c r="A17" s="534"/>
      <c r="B17" s="535"/>
      <c r="C17" s="534"/>
      <c r="D17" s="534"/>
      <c r="E17" s="534"/>
      <c r="F17" s="534"/>
      <c r="G17" s="534"/>
      <c r="H17" s="534"/>
      <c r="I17" s="534"/>
      <c r="J17" s="534"/>
      <c r="K17" s="534"/>
      <c r="L17" s="534"/>
      <c r="M17" s="534"/>
      <c r="N17" s="534"/>
      <c r="O17" s="534"/>
      <c r="P17" s="534"/>
      <c r="Q17" s="536"/>
      <c r="R17" s="534"/>
      <c r="S17" s="536"/>
      <c r="T17" s="534"/>
      <c r="U17" s="534"/>
      <c r="V17" s="534"/>
      <c r="W17" s="534"/>
      <c r="X17" s="534"/>
      <c r="Y17" s="534"/>
      <c r="Z17" s="534"/>
      <c r="AA17" s="534"/>
      <c r="AB17" s="534"/>
      <c r="AC17" s="554"/>
      <c r="AD17" s="554"/>
      <c r="AE17" s="554"/>
      <c r="AF17" s="534"/>
      <c r="AG17" s="534"/>
      <c r="AH17" s="534"/>
      <c r="AI17" s="534"/>
      <c r="AJ17" s="534"/>
      <c r="AK17" s="534"/>
      <c r="AL17" s="534"/>
      <c r="AM17" s="534"/>
      <c r="AN17" s="534"/>
      <c r="AO17" s="534"/>
      <c r="AP17" s="509"/>
      <c r="AQ17" s="509"/>
      <c r="AR17" s="509"/>
      <c r="AS17" s="509"/>
      <c r="AT17" s="534"/>
      <c r="AU17" s="509"/>
      <c r="AV17" s="509"/>
      <c r="AW17" s="509"/>
      <c r="AX17" s="509"/>
      <c r="AY17" s="509"/>
      <c r="AZ17" s="509"/>
      <c r="BA17" s="509"/>
      <c r="BB17" s="509"/>
      <c r="BC17" s="509"/>
      <c r="BD17" s="509"/>
      <c r="BE17" s="509"/>
      <c r="BF17" s="509"/>
      <c r="BG17" s="509"/>
      <c r="BH17" s="534"/>
      <c r="BI17" s="509"/>
      <c r="BJ17" s="509"/>
      <c r="BK17" s="535"/>
      <c r="BL17" s="509"/>
      <c r="BM17" s="509"/>
    </row>
    <row r="18" spans="1:65" x14ac:dyDescent="0.2">
      <c r="A18" s="20">
        <f>COLUMN(A18)</f>
        <v>1</v>
      </c>
      <c r="B18" s="555">
        <f>COLUMN(B18)</f>
        <v>2</v>
      </c>
      <c r="C18" s="555"/>
      <c r="D18" s="555"/>
      <c r="E18" s="555"/>
      <c r="F18" s="20">
        <v>3</v>
      </c>
      <c r="G18" s="20">
        <f t="shared" ref="G18:BI18" si="0">F18+1</f>
        <v>4</v>
      </c>
      <c r="H18" s="20">
        <f t="shared" si="0"/>
        <v>5</v>
      </c>
      <c r="I18" s="20">
        <f t="shared" si="0"/>
        <v>6</v>
      </c>
      <c r="J18" s="20">
        <f t="shared" si="0"/>
        <v>7</v>
      </c>
      <c r="K18" s="20">
        <f t="shared" si="0"/>
        <v>8</v>
      </c>
      <c r="L18" s="20">
        <f t="shared" si="0"/>
        <v>9</v>
      </c>
      <c r="M18" s="20">
        <f t="shared" si="0"/>
        <v>10</v>
      </c>
      <c r="N18" s="20">
        <f t="shared" si="0"/>
        <v>11</v>
      </c>
      <c r="O18" s="20">
        <f t="shared" si="0"/>
        <v>12</v>
      </c>
      <c r="P18" s="20">
        <f t="shared" si="0"/>
        <v>13</v>
      </c>
      <c r="Q18" s="20">
        <f t="shared" si="0"/>
        <v>14</v>
      </c>
      <c r="R18" s="20">
        <f t="shared" si="0"/>
        <v>15</v>
      </c>
      <c r="S18" s="20">
        <f t="shared" si="0"/>
        <v>16</v>
      </c>
      <c r="T18" s="20">
        <f t="shared" si="0"/>
        <v>17</v>
      </c>
      <c r="U18" s="20">
        <f t="shared" si="0"/>
        <v>18</v>
      </c>
      <c r="V18" s="20">
        <f t="shared" si="0"/>
        <v>19</v>
      </c>
      <c r="W18" s="20">
        <f t="shared" si="0"/>
        <v>20</v>
      </c>
      <c r="X18" s="20">
        <f t="shared" si="0"/>
        <v>21</v>
      </c>
      <c r="Y18" s="20">
        <f t="shared" si="0"/>
        <v>22</v>
      </c>
      <c r="Z18" s="20">
        <f t="shared" si="0"/>
        <v>23</v>
      </c>
      <c r="AA18" s="20">
        <f t="shared" si="0"/>
        <v>24</v>
      </c>
      <c r="AB18" s="20">
        <f t="shared" si="0"/>
        <v>25</v>
      </c>
      <c r="AC18" s="20">
        <f t="shared" si="0"/>
        <v>26</v>
      </c>
      <c r="AD18" s="20">
        <f t="shared" si="0"/>
        <v>27</v>
      </c>
      <c r="AE18" s="20">
        <f t="shared" si="0"/>
        <v>28</v>
      </c>
      <c r="AF18" s="20">
        <f t="shared" si="0"/>
        <v>29</v>
      </c>
      <c r="AG18" s="20">
        <f t="shared" si="0"/>
        <v>30</v>
      </c>
      <c r="AH18" s="20">
        <f t="shared" si="0"/>
        <v>31</v>
      </c>
      <c r="AI18" s="20">
        <f t="shared" si="0"/>
        <v>32</v>
      </c>
      <c r="AJ18" s="20">
        <f t="shared" si="0"/>
        <v>33</v>
      </c>
      <c r="AK18" s="20">
        <f t="shared" si="0"/>
        <v>34</v>
      </c>
      <c r="AL18" s="20">
        <f t="shared" si="0"/>
        <v>35</v>
      </c>
      <c r="AM18" s="20">
        <f t="shared" si="0"/>
        <v>36</v>
      </c>
      <c r="AN18" s="20">
        <f t="shared" si="0"/>
        <v>37</v>
      </c>
      <c r="AO18" s="20">
        <f t="shared" si="0"/>
        <v>38</v>
      </c>
      <c r="AP18" s="20">
        <f t="shared" si="0"/>
        <v>39</v>
      </c>
      <c r="AQ18" s="20">
        <f t="shared" si="0"/>
        <v>40</v>
      </c>
      <c r="AR18" s="20">
        <f t="shared" si="0"/>
        <v>41</v>
      </c>
      <c r="AS18" s="20">
        <f t="shared" si="0"/>
        <v>42</v>
      </c>
      <c r="AT18" s="20">
        <f t="shared" si="0"/>
        <v>43</v>
      </c>
      <c r="AU18" s="20">
        <f t="shared" si="0"/>
        <v>44</v>
      </c>
      <c r="AV18" s="20">
        <f t="shared" si="0"/>
        <v>45</v>
      </c>
      <c r="AW18" s="20">
        <f t="shared" si="0"/>
        <v>46</v>
      </c>
      <c r="AX18" s="20">
        <f t="shared" si="0"/>
        <v>47</v>
      </c>
      <c r="AY18" s="20">
        <f t="shared" si="0"/>
        <v>48</v>
      </c>
      <c r="AZ18" s="20">
        <f t="shared" si="0"/>
        <v>49</v>
      </c>
      <c r="BA18" s="20">
        <f t="shared" si="0"/>
        <v>50</v>
      </c>
      <c r="BB18" s="20">
        <f t="shared" si="0"/>
        <v>51</v>
      </c>
      <c r="BC18" s="20">
        <f t="shared" si="0"/>
        <v>52</v>
      </c>
      <c r="BD18" s="20">
        <f t="shared" si="0"/>
        <v>53</v>
      </c>
      <c r="BE18" s="20">
        <f t="shared" si="0"/>
        <v>54</v>
      </c>
      <c r="BF18" s="20">
        <f t="shared" si="0"/>
        <v>55</v>
      </c>
      <c r="BG18" s="20">
        <f t="shared" si="0"/>
        <v>56</v>
      </c>
      <c r="BH18" s="20">
        <f t="shared" si="0"/>
        <v>57</v>
      </c>
      <c r="BI18" s="20">
        <f t="shared" si="0"/>
        <v>58</v>
      </c>
      <c r="BJ18" s="20">
        <f>BI18+1</f>
        <v>59</v>
      </c>
      <c r="BK18" s="20">
        <f>BJ18+1</f>
        <v>60</v>
      </c>
      <c r="BL18" s="20">
        <f>BK18+1</f>
        <v>61</v>
      </c>
      <c r="BM18" s="20">
        <f>BL18+1</f>
        <v>62</v>
      </c>
    </row>
    <row r="19" spans="1:65" s="7" customFormat="1" ht="24" customHeight="1" x14ac:dyDescent="0.2">
      <c r="A19" s="21"/>
      <c r="B19" s="535" t="s">
        <v>99</v>
      </c>
      <c r="C19" s="535"/>
      <c r="D19" s="535"/>
      <c r="E19" s="535"/>
      <c r="F19" s="22"/>
      <c r="G19" s="23"/>
      <c r="H19" s="23"/>
      <c r="I19" s="23"/>
      <c r="J19" s="23"/>
      <c r="K19" s="23"/>
      <c r="L19" s="23"/>
      <c r="M19" s="23"/>
      <c r="N19" s="23"/>
      <c r="O19" s="23"/>
      <c r="P19" s="23"/>
      <c r="Q19" s="24"/>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5"/>
      <c r="AQ19" s="26"/>
      <c r="AR19" s="26"/>
      <c r="AS19" s="25"/>
      <c r="AT19" s="25"/>
      <c r="AU19" s="25"/>
      <c r="AV19" s="25"/>
      <c r="AW19" s="25"/>
      <c r="AX19" s="25"/>
      <c r="AY19" s="25"/>
      <c r="AZ19" s="25"/>
      <c r="BA19" s="25"/>
      <c r="BB19" s="25"/>
      <c r="BC19" s="25"/>
      <c r="BD19" s="25"/>
      <c r="BE19" s="25"/>
      <c r="BF19" s="25"/>
      <c r="BG19" s="25"/>
      <c r="BH19" s="25"/>
      <c r="BI19" s="25"/>
      <c r="BJ19" s="25"/>
      <c r="BK19" s="25"/>
      <c r="BL19" s="25"/>
      <c r="BM19" s="23"/>
    </row>
    <row r="20" spans="1:65" x14ac:dyDescent="0.2">
      <c r="A20" s="19">
        <v>1</v>
      </c>
      <c r="B20" s="27" t="s">
        <v>76</v>
      </c>
      <c r="C20" s="29">
        <v>4.166666666666667</v>
      </c>
      <c r="D20" s="30" t="s">
        <v>105</v>
      </c>
      <c r="E20" s="31" t="s">
        <v>198</v>
      </c>
      <c r="F20" s="28" t="s">
        <v>106</v>
      </c>
      <c r="G20" s="138">
        <v>100</v>
      </c>
      <c r="H20" s="76">
        <v>40374</v>
      </c>
      <c r="I20" s="76">
        <v>40377</v>
      </c>
      <c r="J20" s="78">
        <f>L20/M20</f>
        <v>3.3333333333333335</v>
      </c>
      <c r="K20" s="32">
        <v>6</v>
      </c>
      <c r="L20" s="33">
        <f t="shared" ref="L20:L25" si="1">G20/K20</f>
        <v>16.666666666666668</v>
      </c>
      <c r="M20" s="34">
        <v>5</v>
      </c>
      <c r="N20" s="34"/>
      <c r="O20" s="35">
        <f t="shared" ref="O20:O25" si="2">IF(M20=0,0,L20*$O$15)</f>
        <v>116.66666666666667</v>
      </c>
      <c r="P20" s="35">
        <f t="shared" ref="P20:P25" si="3">IF(N20=0,0,L20*$O$15)</f>
        <v>0</v>
      </c>
      <c r="Q20" s="34">
        <v>4</v>
      </c>
      <c r="R20" s="78">
        <f>IF(AND(O20&gt;0,Q20&gt;0),SUMIF('Исходные данные'!$C$14:H14,Q20,'Исходные данные'!$C$18:$H$18),IF(O20=0,0,IF(Q20=0,"РОТ")))</f>
        <v>156.08125696908263</v>
      </c>
      <c r="S20" s="34"/>
      <c r="T20" s="33"/>
      <c r="U20" s="125">
        <f>O20*R20*'Исходные данные'!$C$39%</f>
        <v>0</v>
      </c>
      <c r="V20" s="125">
        <f>P20*T20*'Исходные данные'!$C$40%</f>
        <v>0</v>
      </c>
      <c r="W20" s="125">
        <f t="shared" ref="W20:W25" si="4">O20*R20*$W$15</f>
        <v>7283.7919918905236</v>
      </c>
      <c r="X20" s="126">
        <f t="shared" ref="X20:X25" si="5">P20*T20*$W$15</f>
        <v>0</v>
      </c>
      <c r="Y20" s="125">
        <f t="shared" ref="Y20:Y25" si="6">(O20*R20+U20+W20)*$Y$15</f>
        <v>2549.3271971616832</v>
      </c>
      <c r="Z20" s="126">
        <f t="shared" ref="Z20:Z25" si="7">(P20*T20+V20+X20)*$Z$15</f>
        <v>0</v>
      </c>
      <c r="AA20" s="125">
        <f t="shared" ref="AA20:AA25" si="8">(O20*R20+U20)*$AA$15</f>
        <v>1820.9479979726309</v>
      </c>
      <c r="AB20" s="126">
        <f t="shared" ref="AB20:AB25" si="9">(P20*T20+V20)*$AA$15</f>
        <v>0</v>
      </c>
      <c r="AC20" s="124">
        <v>2.8</v>
      </c>
      <c r="AD20" s="125">
        <f t="shared" ref="AD20:AD25" si="10">(O20*R20+U20+W20+Y20+AA20)*AC20</f>
        <v>83617.932066903202</v>
      </c>
      <c r="AE20" s="125">
        <f t="shared" ref="AE20:AE25" si="11">(P20*T20+V20+X20+Z20+AB20)*AC20</f>
        <v>0</v>
      </c>
      <c r="AF20" s="35">
        <f t="shared" ref="AF20:AG25" ca="1" si="12">AD20*$AF$15</f>
        <v>12494.633527238408</v>
      </c>
      <c r="AG20" s="70"/>
      <c r="AH20" s="35">
        <f t="shared" ref="AH20:AI25" ca="1" si="13">AD20+AF20</f>
        <v>96112.565594141604</v>
      </c>
      <c r="AI20" s="35"/>
      <c r="AJ20" s="35">
        <f t="shared" ref="AJ20:AK25" ca="1" si="14">AH20*$AJ$15</f>
        <v>28833.769678242479</v>
      </c>
      <c r="AK20" s="70"/>
      <c r="AL20" s="35">
        <f t="shared" ref="AL20:AL25" ca="1" si="15">AH20+AJ20</f>
        <v>124946.33527238408</v>
      </c>
      <c r="AM20" s="70"/>
      <c r="AN20" s="32">
        <v>6.5</v>
      </c>
      <c r="AO20" s="33" t="e">
        <f>Нормы!#REF!</f>
        <v>#REF!</v>
      </c>
      <c r="AP20" s="74" t="e">
        <f>(G20*AN20)*AO20/100</f>
        <v>#REF!</v>
      </c>
      <c r="AQ20" s="33" t="s">
        <v>152</v>
      </c>
      <c r="AR20" s="78" t="e">
        <f>'Исходные данные'!#REF!</f>
        <v>#REF!</v>
      </c>
      <c r="AS20" s="36" t="e">
        <f>AP20*AR20</f>
        <v>#REF!</v>
      </c>
      <c r="AT20" s="36"/>
      <c r="AU20" s="36"/>
      <c r="AV20" s="36"/>
      <c r="AW20" s="36"/>
      <c r="AX20" s="36">
        <f>аморт!$G$11</f>
        <v>181.91312849162011</v>
      </c>
      <c r="AY20" s="36">
        <f t="shared" ref="AY20:AY25" si="16">AX20*L20</f>
        <v>3031.8854748603353</v>
      </c>
      <c r="AZ20" s="36">
        <f>аморт!$G$54</f>
        <v>43.453374999999994</v>
      </c>
      <c r="BA20" s="36">
        <f t="shared" ref="BA20:BA25" si="17">AZ20*L20</f>
        <v>724.22291666666661</v>
      </c>
      <c r="BB20" s="38">
        <v>82.4</v>
      </c>
      <c r="BC20" s="36">
        <f t="shared" ref="BC20:BC25" si="18">BB20*BM20</f>
        <v>7004.0000000000009</v>
      </c>
      <c r="BD20" s="38">
        <v>13.9</v>
      </c>
      <c r="BE20" s="36">
        <f t="shared" ref="BE20:BE25" si="19">BD20*BM20</f>
        <v>1181.5</v>
      </c>
      <c r="BF20" s="38">
        <f>4.8*1.045*1.054</f>
        <v>5.2868639999999996</v>
      </c>
      <c r="BG20" s="36">
        <f t="shared" ref="BG20:BG25" si="20">BF20*BM20</f>
        <v>449.38343999999995</v>
      </c>
      <c r="BH20" s="36">
        <f>аморт!$C$54*10%/аморт!$E$54*L20*7</f>
        <v>64890.373333333344</v>
      </c>
      <c r="BI20" s="36" t="e">
        <f t="shared" ref="BI20:BI25" ca="1" si="21">AL20+AM20+AS20+AY20+BA20+BC20+BE20+BG20+BH20+AW20</f>
        <v>#REF!</v>
      </c>
      <c r="BJ20" s="36" t="e">
        <f t="shared" ref="BJ20:BJ25" ca="1" si="22">BI20/$D$5</f>
        <v>#REF!</v>
      </c>
      <c r="BK20" s="38">
        <f t="shared" ref="BK20:BK25" si="23">(O20+P20)/$D$5</f>
        <v>1.1666666666666667</v>
      </c>
      <c r="BL20" s="38">
        <v>5.0999999999999996</v>
      </c>
      <c r="BM20" s="39">
        <f t="shared" ref="BM20:BM25" si="24">BL20*L20</f>
        <v>85</v>
      </c>
    </row>
    <row r="21" spans="1:65" x14ac:dyDescent="0.2">
      <c r="A21" s="20">
        <f>A20+1</f>
        <v>2</v>
      </c>
      <c r="B21" s="27" t="s">
        <v>84</v>
      </c>
      <c r="C21" s="29">
        <v>0.25</v>
      </c>
      <c r="D21" s="30" t="s">
        <v>105</v>
      </c>
      <c r="E21" s="31" t="s">
        <v>199</v>
      </c>
      <c r="F21" s="28" t="s">
        <v>106</v>
      </c>
      <c r="G21" s="138">
        <v>20</v>
      </c>
      <c r="H21" s="76">
        <v>40376</v>
      </c>
      <c r="I21" s="76">
        <v>40378</v>
      </c>
      <c r="J21" s="78">
        <f>L21/M21</f>
        <v>1.25</v>
      </c>
      <c r="K21" s="32">
        <v>16</v>
      </c>
      <c r="L21" s="33">
        <f t="shared" si="1"/>
        <v>1.25</v>
      </c>
      <c r="M21" s="34">
        <v>1</v>
      </c>
      <c r="N21" s="34"/>
      <c r="O21" s="35">
        <f t="shared" si="2"/>
        <v>8.75</v>
      </c>
      <c r="P21" s="35">
        <f t="shared" si="3"/>
        <v>0</v>
      </c>
      <c r="Q21" s="34">
        <v>2</v>
      </c>
      <c r="R21" s="78">
        <f ca="1">IF(AND(O21&gt;0,Q21&gt;0),SUMIF('Исходные данные'!$C$14:H15,Q21,'Исходные данные'!$C$18:$H$18),IF(O21=0,0,IF(Q21=0,"РОТ")))</f>
        <v>126.44557526609226</v>
      </c>
      <c r="S21" s="34"/>
      <c r="T21" s="33"/>
      <c r="U21" s="125">
        <f ca="1">O21*R21*'Исходные данные'!$C$39%</f>
        <v>0</v>
      </c>
      <c r="V21" s="125">
        <f>P21*T21*'Исходные данные'!$C$40%</f>
        <v>0</v>
      </c>
      <c r="W21" s="125">
        <f t="shared" ca="1" si="4"/>
        <v>442.55951343132296</v>
      </c>
      <c r="X21" s="126">
        <f t="shared" si="5"/>
        <v>0</v>
      </c>
      <c r="Y21" s="125">
        <f t="shared" ca="1" si="6"/>
        <v>154.89582970096305</v>
      </c>
      <c r="Z21" s="126">
        <f t="shared" si="7"/>
        <v>0</v>
      </c>
      <c r="AA21" s="125">
        <f t="shared" ca="1" si="8"/>
        <v>110.63987835783074</v>
      </c>
      <c r="AB21" s="126">
        <f t="shared" si="9"/>
        <v>0</v>
      </c>
      <c r="AC21" s="124">
        <v>2.8</v>
      </c>
      <c r="AD21" s="125">
        <f t="shared" ca="1" si="10"/>
        <v>5080.5832141915871</v>
      </c>
      <c r="AE21" s="125">
        <f t="shared" si="11"/>
        <v>0</v>
      </c>
      <c r="AF21" s="35">
        <f t="shared" ca="1" si="12"/>
        <v>759.16760671828308</v>
      </c>
      <c r="AG21" s="70"/>
      <c r="AH21" s="35">
        <f t="shared" ca="1" si="13"/>
        <v>5839.7508209098705</v>
      </c>
      <c r="AI21" s="35"/>
      <c r="AJ21" s="35">
        <f t="shared" ca="1" si="14"/>
        <v>1751.9252462729612</v>
      </c>
      <c r="AK21" s="70"/>
      <c r="AL21" s="35">
        <f t="shared" ca="1" si="15"/>
        <v>7591.6760671828315</v>
      </c>
      <c r="AM21" s="70"/>
      <c r="AN21" s="33">
        <v>1.8</v>
      </c>
      <c r="AO21" s="33" t="e">
        <f>Нормы!#REF!</f>
        <v>#REF!</v>
      </c>
      <c r="AP21" s="74" t="e">
        <f>(G21*AN21)*AO21/100</f>
        <v>#REF!</v>
      </c>
      <c r="AQ21" s="33" t="s">
        <v>152</v>
      </c>
      <c r="AR21" s="78" t="e">
        <f>'Исходные данные'!#REF!</f>
        <v>#REF!</v>
      </c>
      <c r="AS21" s="36" t="e">
        <f>AP21*AR21</f>
        <v>#REF!</v>
      </c>
      <c r="AT21" s="36"/>
      <c r="AU21" s="36"/>
      <c r="AV21" s="36"/>
      <c r="AW21" s="36"/>
      <c r="AX21" s="36">
        <f>аморт!$G$11</f>
        <v>181.91312849162011</v>
      </c>
      <c r="AY21" s="36">
        <f t="shared" si="16"/>
        <v>227.39141061452514</v>
      </c>
      <c r="AZ21" s="36">
        <f>аморт!$G$38</f>
        <v>144.06779999999998</v>
      </c>
      <c r="BA21" s="36">
        <f t="shared" si="17"/>
        <v>180.08474999999999</v>
      </c>
      <c r="BB21" s="38">
        <v>82.4</v>
      </c>
      <c r="BC21" s="36">
        <f t="shared" si="18"/>
        <v>525.30000000000007</v>
      </c>
      <c r="BD21" s="38">
        <v>13.9</v>
      </c>
      <c r="BE21" s="36">
        <f t="shared" si="19"/>
        <v>88.612499999999997</v>
      </c>
      <c r="BF21" s="38">
        <f>4.8*1.045*1.054</f>
        <v>5.2868639999999996</v>
      </c>
      <c r="BG21" s="36">
        <f t="shared" si="20"/>
        <v>33.703758000000001</v>
      </c>
      <c r="BH21" s="36">
        <f>аморт!$C$38*10%/аморт!$E$38*L21*7</f>
        <v>3025.4237999999996</v>
      </c>
      <c r="BI21" s="36" t="e">
        <f t="shared" ca="1" si="21"/>
        <v>#REF!</v>
      </c>
      <c r="BJ21" s="36" t="e">
        <f t="shared" ca="1" si="22"/>
        <v>#REF!</v>
      </c>
      <c r="BK21" s="38">
        <f t="shared" si="23"/>
        <v>8.7499999999999994E-2</v>
      </c>
      <c r="BL21" s="38">
        <v>5.0999999999999996</v>
      </c>
      <c r="BM21" s="39">
        <f t="shared" si="24"/>
        <v>6.375</v>
      </c>
    </row>
    <row r="22" spans="1:65" x14ac:dyDescent="0.2">
      <c r="A22" s="20">
        <f>A21+1</f>
        <v>3</v>
      </c>
      <c r="B22" s="27" t="s">
        <v>85</v>
      </c>
      <c r="C22" s="29">
        <v>2.3809523809523809</v>
      </c>
      <c r="D22" s="30" t="s">
        <v>105</v>
      </c>
      <c r="E22" s="31" t="s">
        <v>199</v>
      </c>
      <c r="F22" s="28" t="s">
        <v>106</v>
      </c>
      <c r="G22" s="138">
        <v>100</v>
      </c>
      <c r="H22" s="76">
        <v>40377</v>
      </c>
      <c r="I22" s="76">
        <v>40379</v>
      </c>
      <c r="J22" s="78">
        <f>L22/M22</f>
        <v>2.3809523809523809</v>
      </c>
      <c r="K22" s="32">
        <v>14</v>
      </c>
      <c r="L22" s="33">
        <f t="shared" si="1"/>
        <v>7.1428571428571432</v>
      </c>
      <c r="M22" s="34">
        <v>3</v>
      </c>
      <c r="N22" s="34"/>
      <c r="O22" s="35">
        <f t="shared" si="2"/>
        <v>50</v>
      </c>
      <c r="P22" s="35">
        <f t="shared" si="3"/>
        <v>0</v>
      </c>
      <c r="Q22" s="34">
        <v>2</v>
      </c>
      <c r="R22" s="78">
        <f ca="1">IF(AND(O22&gt;0,Q22&gt;0),SUMIF('Исходные данные'!$C$14:H16,Q22,'Исходные данные'!$C$18:$H$18),IF(O22=0,0,IF(Q22=0,"РОТ")))</f>
        <v>126.44557526609226</v>
      </c>
      <c r="S22" s="34"/>
      <c r="T22" s="33"/>
      <c r="U22" s="125">
        <f ca="1">O22*R22*'Исходные данные'!$C$39%</f>
        <v>0</v>
      </c>
      <c r="V22" s="125">
        <f>P22*T22*'Исходные данные'!$C$40%</f>
        <v>0</v>
      </c>
      <c r="W22" s="125">
        <f t="shared" ca="1" si="4"/>
        <v>2528.9115053218452</v>
      </c>
      <c r="X22" s="126">
        <f t="shared" si="5"/>
        <v>0</v>
      </c>
      <c r="Y22" s="125">
        <f t="shared" ca="1" si="6"/>
        <v>885.11902686264591</v>
      </c>
      <c r="Z22" s="126">
        <f t="shared" si="7"/>
        <v>0</v>
      </c>
      <c r="AA22" s="125">
        <f t="shared" ca="1" si="8"/>
        <v>632.2278763304613</v>
      </c>
      <c r="AB22" s="126">
        <f t="shared" si="9"/>
        <v>0</v>
      </c>
      <c r="AC22" s="124">
        <v>2.8</v>
      </c>
      <c r="AD22" s="125">
        <f t="shared" ca="1" si="10"/>
        <v>29031.904081094781</v>
      </c>
      <c r="AE22" s="125">
        <f t="shared" si="11"/>
        <v>0</v>
      </c>
      <c r="AF22" s="35">
        <f t="shared" ca="1" si="12"/>
        <v>4338.1006098187599</v>
      </c>
      <c r="AG22" s="70"/>
      <c r="AH22" s="35">
        <f t="shared" ca="1" si="13"/>
        <v>33370.004690913542</v>
      </c>
      <c r="AI22" s="35"/>
      <c r="AJ22" s="35">
        <f t="shared" ca="1" si="14"/>
        <v>10011.001407274061</v>
      </c>
      <c r="AK22" s="70"/>
      <c r="AL22" s="35">
        <f t="shared" ca="1" si="15"/>
        <v>43381.006098187601</v>
      </c>
      <c r="AM22" s="70"/>
      <c r="AN22" s="32">
        <v>2.8</v>
      </c>
      <c r="AO22" s="33" t="e">
        <f>Нормы!#REF!</f>
        <v>#REF!</v>
      </c>
      <c r="AP22" s="74" t="e">
        <f>(G22*AN22)*AO22/100</f>
        <v>#REF!</v>
      </c>
      <c r="AQ22" s="33" t="s">
        <v>152</v>
      </c>
      <c r="AR22" s="78" t="e">
        <f>'Исходные данные'!#REF!</f>
        <v>#REF!</v>
      </c>
      <c r="AS22" s="36" t="e">
        <f>AP22*AR22</f>
        <v>#REF!</v>
      </c>
      <c r="AT22" s="36"/>
      <c r="AU22" s="36"/>
      <c r="AV22" s="36"/>
      <c r="AW22" s="36"/>
      <c r="AX22" s="36">
        <f>аморт!$G$11</f>
        <v>181.91312849162011</v>
      </c>
      <c r="AY22" s="36">
        <f t="shared" si="16"/>
        <v>1299.3794892258579</v>
      </c>
      <c r="AZ22" s="36">
        <f>аморт!$G$38</f>
        <v>144.06779999999998</v>
      </c>
      <c r="BA22" s="36">
        <f t="shared" si="17"/>
        <v>1029.0557142857142</v>
      </c>
      <c r="BB22" s="38">
        <v>82.4</v>
      </c>
      <c r="BC22" s="36">
        <f t="shared" si="18"/>
        <v>3001.7142857142862</v>
      </c>
      <c r="BD22" s="38">
        <v>13.9</v>
      </c>
      <c r="BE22" s="36">
        <f t="shared" si="19"/>
        <v>506.35714285714289</v>
      </c>
      <c r="BF22" s="38">
        <f>4.8*1.045*1.054</f>
        <v>5.2868639999999996</v>
      </c>
      <c r="BG22" s="36">
        <f t="shared" si="20"/>
        <v>192.59290285714286</v>
      </c>
      <c r="BH22" s="36">
        <f>аморт!$C$38*10%/аморт!$E$38*L22*7</f>
        <v>17288.135999999999</v>
      </c>
      <c r="BI22" s="36" t="e">
        <f t="shared" ca="1" si="21"/>
        <v>#REF!</v>
      </c>
      <c r="BJ22" s="36" t="e">
        <f t="shared" ca="1" si="22"/>
        <v>#REF!</v>
      </c>
      <c r="BK22" s="38">
        <f t="shared" si="23"/>
        <v>0.5</v>
      </c>
      <c r="BL22" s="38">
        <v>5.0999999999999996</v>
      </c>
      <c r="BM22" s="39">
        <f t="shared" si="24"/>
        <v>36.428571428571431</v>
      </c>
    </row>
    <row r="23" spans="1:65" ht="22.5" x14ac:dyDescent="0.2">
      <c r="A23" s="20">
        <f>A22+1</f>
        <v>4</v>
      </c>
      <c r="B23" s="27" t="s">
        <v>200</v>
      </c>
      <c r="C23" s="29">
        <v>4.6296296296296298</v>
      </c>
      <c r="D23" s="30" t="s">
        <v>105</v>
      </c>
      <c r="E23" s="31" t="s">
        <v>201</v>
      </c>
      <c r="F23" s="28" t="s">
        <v>106</v>
      </c>
      <c r="G23" s="138">
        <v>100</v>
      </c>
      <c r="H23" s="76">
        <v>40378</v>
      </c>
      <c r="I23" s="76">
        <v>40380</v>
      </c>
      <c r="J23" s="78">
        <f>L23/N23</f>
        <v>13.888888888888889</v>
      </c>
      <c r="K23" s="32">
        <v>7.2</v>
      </c>
      <c r="L23" s="33">
        <f t="shared" si="1"/>
        <v>13.888888888888889</v>
      </c>
      <c r="M23" s="34">
        <v>5</v>
      </c>
      <c r="N23" s="34">
        <v>1</v>
      </c>
      <c r="O23" s="35">
        <f t="shared" si="2"/>
        <v>97.222222222222229</v>
      </c>
      <c r="P23" s="35">
        <f t="shared" si="3"/>
        <v>97.222222222222229</v>
      </c>
      <c r="Q23" s="34">
        <v>5</v>
      </c>
      <c r="R23" s="78">
        <f>'Исходные данные'!$G$26</f>
        <v>219.30404460212878</v>
      </c>
      <c r="S23" s="34">
        <v>4</v>
      </c>
      <c r="T23" s="78">
        <f ca="1">IF(AND(N23&gt;0,P23&gt;0),SUMIF('Исходные данные'!$C$14:$J$30,S23,'Исходные данные'!$C$34:$J$41),IF(N23=0,0,IF(S23=0,"РОТ")))</f>
        <v>123.48200709579322</v>
      </c>
      <c r="U23" s="125">
        <f>O23*R23*'Исходные данные'!$C$39%</f>
        <v>0</v>
      </c>
      <c r="V23" s="125">
        <f ca="1">P23*T23*'Исходные данные'!$C$40%</f>
        <v>0</v>
      </c>
      <c r="W23" s="125">
        <f t="shared" si="4"/>
        <v>8528.4906234161208</v>
      </c>
      <c r="X23" s="126">
        <f t="shared" ca="1" si="5"/>
        <v>4802.0780537252931</v>
      </c>
      <c r="Y23" s="125">
        <f t="shared" si="6"/>
        <v>2984.9717181956421</v>
      </c>
      <c r="Z23" s="126">
        <f t="shared" ca="1" si="7"/>
        <v>840.36365940192627</v>
      </c>
      <c r="AA23" s="125">
        <f t="shared" si="8"/>
        <v>2132.1226558540302</v>
      </c>
      <c r="AB23" s="126">
        <f t="shared" ca="1" si="9"/>
        <v>1200.5195134313233</v>
      </c>
      <c r="AC23" s="124">
        <v>2.8</v>
      </c>
      <c r="AD23" s="125">
        <f t="shared" si="10"/>
        <v>97907.072356817051</v>
      </c>
      <c r="AE23" s="125">
        <f t="shared" ca="1" si="11"/>
        <v>52774.837810440964</v>
      </c>
      <c r="AF23" s="35">
        <f t="shared" ca="1" si="12"/>
        <v>14629.792421133581</v>
      </c>
      <c r="AG23" s="70">
        <f t="shared" ca="1" si="12"/>
        <v>7885.8953050084192</v>
      </c>
      <c r="AH23" s="35">
        <f t="shared" ca="1" si="13"/>
        <v>112536.86477795063</v>
      </c>
      <c r="AI23" s="35">
        <f t="shared" ca="1" si="13"/>
        <v>60660.73311544938</v>
      </c>
      <c r="AJ23" s="35">
        <f t="shared" ca="1" si="14"/>
        <v>33761.059433385184</v>
      </c>
      <c r="AK23" s="70">
        <f t="shared" ca="1" si="14"/>
        <v>18198.219934634813</v>
      </c>
      <c r="AL23" s="35">
        <f t="shared" ca="1" si="15"/>
        <v>146297.92421133581</v>
      </c>
      <c r="AM23" s="70">
        <f ca="1">AK23+AI23</f>
        <v>78858.953050084194</v>
      </c>
      <c r="AN23" s="32">
        <v>7.5</v>
      </c>
      <c r="AO23" s="33" t="e">
        <f>Нормы!#REF!</f>
        <v>#REF!</v>
      </c>
      <c r="AP23" s="74" t="e">
        <f>(G23*AN23)*AO23/100</f>
        <v>#REF!</v>
      </c>
      <c r="AQ23" s="33" t="s">
        <v>152</v>
      </c>
      <c r="AR23" s="78" t="e">
        <f>'Исходные данные'!#REF!</f>
        <v>#REF!</v>
      </c>
      <c r="AS23" s="36" t="e">
        <f>AP23*AR23</f>
        <v>#REF!</v>
      </c>
      <c r="AT23" s="36"/>
      <c r="AU23" s="36"/>
      <c r="AV23" s="36"/>
      <c r="AW23" s="36"/>
      <c r="AX23" s="36">
        <f>аморт!$G$11</f>
        <v>181.91312849162011</v>
      </c>
      <c r="AY23" s="36">
        <f t="shared" si="16"/>
        <v>2526.5712290502793</v>
      </c>
      <c r="AZ23" s="36">
        <f>аморт!G92</f>
        <v>62.879082666666662</v>
      </c>
      <c r="BA23" s="36">
        <f t="shared" si="17"/>
        <v>873.32059259259256</v>
      </c>
      <c r="BB23" s="38">
        <v>82.4</v>
      </c>
      <c r="BC23" s="36">
        <f t="shared" si="18"/>
        <v>5836.666666666667</v>
      </c>
      <c r="BD23" s="38">
        <v>13.9</v>
      </c>
      <c r="BE23" s="36">
        <f t="shared" si="19"/>
        <v>984.58333333333326</v>
      </c>
      <c r="BF23" s="38">
        <f>4.8*1.045*1.054</f>
        <v>5.2868639999999996</v>
      </c>
      <c r="BG23" s="36">
        <f t="shared" si="20"/>
        <v>374.48619999999994</v>
      </c>
      <c r="BH23" s="36">
        <f>аморт!C92*10%/аморт!E92*L23*7</f>
        <v>334911.11111111112</v>
      </c>
      <c r="BI23" s="36" t="e">
        <f t="shared" ca="1" si="21"/>
        <v>#REF!</v>
      </c>
      <c r="BJ23" s="36" t="e">
        <f t="shared" ca="1" si="22"/>
        <v>#REF!</v>
      </c>
      <c r="BK23" s="38">
        <f t="shared" si="23"/>
        <v>1.9444444444444446</v>
      </c>
      <c r="BL23" s="38">
        <v>5.0999999999999996</v>
      </c>
      <c r="BM23" s="39">
        <f t="shared" si="24"/>
        <v>70.833333333333329</v>
      </c>
    </row>
    <row r="24" spans="1:65" ht="22.5" x14ac:dyDescent="0.2">
      <c r="A24" s="20">
        <f>A23+1</f>
        <v>5</v>
      </c>
      <c r="B24" s="27" t="s">
        <v>86</v>
      </c>
      <c r="C24" s="29">
        <v>2.9803921568627452</v>
      </c>
      <c r="D24" s="127" t="s">
        <v>118</v>
      </c>
      <c r="E24" s="31" t="s">
        <v>202</v>
      </c>
      <c r="F24" s="28" t="s">
        <v>109</v>
      </c>
      <c r="G24" s="138">
        <v>116.23529411764707</v>
      </c>
      <c r="H24" s="76">
        <v>40378</v>
      </c>
      <c r="I24" s="76">
        <v>40380</v>
      </c>
      <c r="J24" s="78">
        <f>L24/N24</f>
        <v>8.9411764705882355</v>
      </c>
      <c r="K24" s="32">
        <v>13</v>
      </c>
      <c r="L24" s="33">
        <f t="shared" si="1"/>
        <v>8.9411764705882355</v>
      </c>
      <c r="M24" s="34">
        <v>3</v>
      </c>
      <c r="N24" s="34">
        <v>1</v>
      </c>
      <c r="O24" s="35">
        <f t="shared" si="2"/>
        <v>62.588235294117652</v>
      </c>
      <c r="P24" s="35">
        <f t="shared" si="3"/>
        <v>62.588235294117652</v>
      </c>
      <c r="Q24" s="34">
        <v>5</v>
      </c>
      <c r="R24" s="78">
        <f>'Исходные данные'!$G$26</f>
        <v>219.30404460212878</v>
      </c>
      <c r="S24" s="34">
        <v>4</v>
      </c>
      <c r="T24" s="78">
        <f ca="1">IF(AND(N24&gt;0,P24&gt;0),SUMIF('Исходные данные'!$C$14:$J$30,S24,'Исходные данные'!$C$34:$J$41),IF(N24=0,0,IF(S24=0,"РОТ")))</f>
        <v>123.48200709579322</v>
      </c>
      <c r="U24" s="125">
        <f>O24*R24*'Исходные данные'!$C$39%</f>
        <v>0</v>
      </c>
      <c r="V24" s="125">
        <f ca="1">P24*T24*'Исходные данные'!$C$40%</f>
        <v>0</v>
      </c>
      <c r="W24" s="125">
        <f t="shared" si="4"/>
        <v>5490.3412578038842</v>
      </c>
      <c r="X24" s="126">
        <f t="shared" ca="1" si="5"/>
        <v>3091.4083658805648</v>
      </c>
      <c r="Y24" s="125">
        <f t="shared" si="6"/>
        <v>1921.6194402313595</v>
      </c>
      <c r="Z24" s="126">
        <f t="shared" ca="1" si="7"/>
        <v>540.99646402909889</v>
      </c>
      <c r="AA24" s="125">
        <f t="shared" si="8"/>
        <v>1372.5853144509711</v>
      </c>
      <c r="AB24" s="126">
        <f t="shared" ca="1" si="9"/>
        <v>772.8520914701412</v>
      </c>
      <c r="AC24" s="124">
        <v>2.8</v>
      </c>
      <c r="AD24" s="125">
        <f t="shared" si="10"/>
        <v>63029.117639588585</v>
      </c>
      <c r="AE24" s="125">
        <f t="shared" ca="1" si="11"/>
        <v>33974.577941027404</v>
      </c>
      <c r="AF24" s="35">
        <f t="shared" ca="1" si="12"/>
        <v>9418.1440151109364</v>
      </c>
      <c r="AG24" s="70">
        <f t="shared" ca="1" si="12"/>
        <v>5076.6610716477726</v>
      </c>
      <c r="AH24" s="35">
        <f t="shared" ca="1" si="13"/>
        <v>72447.261654699527</v>
      </c>
      <c r="AI24" s="35">
        <f t="shared" ca="1" si="13"/>
        <v>39051.239012675178</v>
      </c>
      <c r="AJ24" s="35">
        <f t="shared" ca="1" si="14"/>
        <v>21734.178496409859</v>
      </c>
      <c r="AK24" s="70">
        <f t="shared" ca="1" si="14"/>
        <v>11715.371703802553</v>
      </c>
      <c r="AL24" s="35">
        <f t="shared" ca="1" si="15"/>
        <v>94181.440151109389</v>
      </c>
      <c r="AM24" s="70">
        <f ca="1">AK24+AI24</f>
        <v>50766.610716477735</v>
      </c>
      <c r="AN24" s="32"/>
      <c r="AO24" s="33" t="e">
        <f>Нормы!#REF!</f>
        <v>#REF!</v>
      </c>
      <c r="AP24" s="74"/>
      <c r="AQ24" s="33"/>
      <c r="AR24" s="78"/>
      <c r="AS24" s="36"/>
      <c r="AT24" s="36"/>
      <c r="AU24" s="36"/>
      <c r="AV24" s="36"/>
      <c r="AW24" s="36"/>
      <c r="AX24" s="36"/>
      <c r="AY24" s="36">
        <f t="shared" si="16"/>
        <v>0</v>
      </c>
      <c r="AZ24" s="36"/>
      <c r="BA24" s="36">
        <f t="shared" si="17"/>
        <v>0</v>
      </c>
      <c r="BB24" s="36"/>
      <c r="BC24" s="36">
        <f t="shared" si="18"/>
        <v>0</v>
      </c>
      <c r="BD24" s="36"/>
      <c r="BE24" s="36">
        <f t="shared" si="19"/>
        <v>0</v>
      </c>
      <c r="BF24" s="36"/>
      <c r="BG24" s="36">
        <f t="shared" si="20"/>
        <v>0</v>
      </c>
      <c r="BH24" s="36"/>
      <c r="BI24" s="36">
        <f t="shared" ca="1" si="21"/>
        <v>144948.05086758712</v>
      </c>
      <c r="BJ24" s="36">
        <f t="shared" ca="1" si="22"/>
        <v>1449.4805086758713</v>
      </c>
      <c r="BK24" s="38">
        <f t="shared" si="23"/>
        <v>1.2517647058823531</v>
      </c>
      <c r="BL24" s="38"/>
      <c r="BM24" s="39">
        <f t="shared" si="24"/>
        <v>0</v>
      </c>
    </row>
    <row r="25" spans="1:65" ht="22.5" x14ac:dyDescent="0.2">
      <c r="A25" s="20">
        <f>A24+1</f>
        <v>6</v>
      </c>
      <c r="B25" s="27" t="s">
        <v>87</v>
      </c>
      <c r="C25" s="29">
        <v>4.6849379245724992E-2</v>
      </c>
      <c r="D25" s="30" t="s">
        <v>105</v>
      </c>
      <c r="E25" s="31" t="s">
        <v>203</v>
      </c>
      <c r="F25" s="28" t="s">
        <v>106</v>
      </c>
      <c r="G25" s="138">
        <v>20</v>
      </c>
      <c r="H25" s="76">
        <v>40380</v>
      </c>
      <c r="I25" s="76">
        <v>40381</v>
      </c>
      <c r="J25" s="78">
        <f>L25/M25</f>
        <v>0.14054813773717498</v>
      </c>
      <c r="K25" s="32">
        <v>142.30000000000001</v>
      </c>
      <c r="L25" s="33">
        <f t="shared" si="1"/>
        <v>0.14054813773717498</v>
      </c>
      <c r="M25" s="34">
        <v>1</v>
      </c>
      <c r="N25" s="34"/>
      <c r="O25" s="35">
        <f t="shared" si="2"/>
        <v>0.98383696416022481</v>
      </c>
      <c r="P25" s="35">
        <f t="shared" si="3"/>
        <v>0</v>
      </c>
      <c r="Q25" s="34">
        <v>2</v>
      </c>
      <c r="R25" s="78">
        <f ca="1">IF(AND(O25&gt;0,Q25&gt;0),SUMIF('Исходные данные'!$C$14:H27,Q25,'Исходные данные'!$C$18:$H$18),IF(O25=0,0,IF(Q25=0,"РОТ")))</f>
        <v>128.66557526609228</v>
      </c>
      <c r="S25" s="34"/>
      <c r="T25" s="33"/>
      <c r="U25" s="125">
        <f ca="1">O25*R25*'Исходные данные'!$C$39%</f>
        <v>0</v>
      </c>
      <c r="V25" s="125">
        <f>P25*T25*'Исходные данные'!$C$40%</f>
        <v>0</v>
      </c>
      <c r="W25" s="125">
        <f t="shared" ca="1" si="4"/>
        <v>50.634379584688453</v>
      </c>
      <c r="X25" s="126">
        <f t="shared" si="5"/>
        <v>0</v>
      </c>
      <c r="Y25" s="125">
        <f t="shared" ca="1" si="6"/>
        <v>17.722032854640958</v>
      </c>
      <c r="Z25" s="126">
        <f t="shared" si="7"/>
        <v>0</v>
      </c>
      <c r="AA25" s="125">
        <f t="shared" ca="1" si="8"/>
        <v>12.658594896172113</v>
      </c>
      <c r="AB25" s="126">
        <f t="shared" si="9"/>
        <v>0</v>
      </c>
      <c r="AC25" s="124">
        <v>2.8</v>
      </c>
      <c r="AD25" s="125">
        <f t="shared" ca="1" si="10"/>
        <v>581.28267763222334</v>
      </c>
      <c r="AE25" s="125">
        <f t="shared" si="11"/>
        <v>0</v>
      </c>
      <c r="AF25" s="35">
        <f t="shared" ca="1" si="12"/>
        <v>86.858331140447163</v>
      </c>
      <c r="AG25" s="70"/>
      <c r="AH25" s="35">
        <f t="shared" ca="1" si="13"/>
        <v>668.14100877267049</v>
      </c>
      <c r="AI25" s="35">
        <f t="shared" si="13"/>
        <v>0</v>
      </c>
      <c r="AJ25" s="35">
        <f t="shared" ca="1" si="14"/>
        <v>200.44230263180114</v>
      </c>
      <c r="AK25" s="70"/>
      <c r="AL25" s="35">
        <f t="shared" ca="1" si="15"/>
        <v>868.5833114044716</v>
      </c>
      <c r="AM25" s="70">
        <f>AK25+AI25</f>
        <v>0</v>
      </c>
      <c r="AN25" s="32">
        <v>0.3</v>
      </c>
      <c r="AO25" s="33" t="e">
        <f>Нормы!#REF!</f>
        <v>#REF!</v>
      </c>
      <c r="AP25" s="74" t="e">
        <f>(G25*AN25)*AO25/100</f>
        <v>#REF!</v>
      </c>
      <c r="AQ25" s="33" t="s">
        <v>152</v>
      </c>
      <c r="AR25" s="78" t="e">
        <f>'Исходные данные'!#REF!</f>
        <v>#REF!</v>
      </c>
      <c r="AS25" s="36" t="e">
        <f>AP25*AR25</f>
        <v>#REF!</v>
      </c>
      <c r="AT25" s="36"/>
      <c r="AU25" s="36"/>
      <c r="AV25" s="36"/>
      <c r="AW25" s="36"/>
      <c r="AX25" s="36">
        <f>аморт!$G$11</f>
        <v>181.91312849162011</v>
      </c>
      <c r="AY25" s="36">
        <f t="shared" si="16"/>
        <v>25.567551439440635</v>
      </c>
      <c r="AZ25" s="36">
        <f>аморт!$G$40</f>
        <v>39.779508196721316</v>
      </c>
      <c r="BA25" s="36">
        <f t="shared" si="17"/>
        <v>5.5909357971498688</v>
      </c>
      <c r="BB25" s="38">
        <v>82.4</v>
      </c>
      <c r="BC25" s="36">
        <f t="shared" si="18"/>
        <v>59.06394940267041</v>
      </c>
      <c r="BD25" s="38">
        <v>13.9</v>
      </c>
      <c r="BE25" s="36">
        <f t="shared" si="19"/>
        <v>9.9634574841883339</v>
      </c>
      <c r="BF25" s="38">
        <f>4.8*1.045*1.054</f>
        <v>5.2868639999999996</v>
      </c>
      <c r="BG25" s="36">
        <f t="shared" si="20"/>
        <v>3.7896003373155298</v>
      </c>
      <c r="BH25" s="36">
        <f>аморт!$C$40*10%/аморт!$E$40*L25*7</f>
        <v>171.88773014757555</v>
      </c>
      <c r="BI25" s="36" t="e">
        <f t="shared" ca="1" si="21"/>
        <v>#REF!</v>
      </c>
      <c r="BJ25" s="36" t="e">
        <f t="shared" ca="1" si="22"/>
        <v>#REF!</v>
      </c>
      <c r="BK25" s="38">
        <f t="shared" si="23"/>
        <v>9.8383696416022483E-3</v>
      </c>
      <c r="BL25" s="38">
        <v>5.0999999999999996</v>
      </c>
      <c r="BM25" s="39">
        <f t="shared" si="24"/>
        <v>0.71679550245959234</v>
      </c>
    </row>
    <row r="26" spans="1:65" s="54" customFormat="1" x14ac:dyDescent="0.2">
      <c r="A26" s="63"/>
      <c r="B26" s="53" t="s">
        <v>21</v>
      </c>
      <c r="C26" s="53"/>
      <c r="D26" s="53"/>
      <c r="E26" s="53"/>
      <c r="F26" s="55"/>
      <c r="G26" s="139"/>
      <c r="H26" s="64"/>
      <c r="I26" s="64"/>
      <c r="J26" s="57">
        <f>SUM(J20:J25)</f>
        <v>29.934899211500014</v>
      </c>
      <c r="K26" s="57"/>
      <c r="L26" s="57">
        <f>SUM(L20:L25)</f>
        <v>48.030137306738105</v>
      </c>
      <c r="M26" s="57">
        <f t="shared" ref="M26:BM26" si="25">SUM(M20:M25)</f>
        <v>18</v>
      </c>
      <c r="N26" s="57">
        <f t="shared" si="25"/>
        <v>2</v>
      </c>
      <c r="O26" s="57">
        <f t="shared" si="25"/>
        <v>336.21096114716681</v>
      </c>
      <c r="P26" s="57">
        <f t="shared" si="25"/>
        <v>159.81045751633988</v>
      </c>
      <c r="Q26" s="57"/>
      <c r="R26" s="57"/>
      <c r="S26" s="57"/>
      <c r="T26" s="57"/>
      <c r="U26" s="57">
        <f t="shared" ca="1" si="25"/>
        <v>0</v>
      </c>
      <c r="V26" s="57">
        <f t="shared" ca="1" si="25"/>
        <v>0</v>
      </c>
      <c r="W26" s="57">
        <f t="shared" ca="1" si="25"/>
        <v>24324.729271448385</v>
      </c>
      <c r="X26" s="57">
        <f t="shared" ca="1" si="25"/>
        <v>7893.4864196058579</v>
      </c>
      <c r="Y26" s="57">
        <f t="shared" ca="1" si="25"/>
        <v>8513.6552450069339</v>
      </c>
      <c r="Z26" s="57">
        <f t="shared" ca="1" si="25"/>
        <v>1381.3601234310252</v>
      </c>
      <c r="AA26" s="57">
        <f t="shared" ca="1" si="25"/>
        <v>6081.1823178620962</v>
      </c>
      <c r="AB26" s="57">
        <f t="shared" ca="1" si="25"/>
        <v>1973.3716049014645</v>
      </c>
      <c r="AC26" s="57"/>
      <c r="AD26" s="57">
        <f t="shared" ca="1" si="25"/>
        <v>279247.89203622745</v>
      </c>
      <c r="AE26" s="57">
        <f t="shared" ca="1" si="25"/>
        <v>86749.415751468361</v>
      </c>
      <c r="AF26" s="57">
        <f t="shared" ca="1" si="25"/>
        <v>41726.696511160415</v>
      </c>
      <c r="AG26" s="57">
        <f t="shared" ca="1" si="25"/>
        <v>12962.556376656192</v>
      </c>
      <c r="AH26" s="57">
        <f t="shared" ca="1" si="25"/>
        <v>320974.5885473878</v>
      </c>
      <c r="AI26" s="57">
        <f t="shared" ca="1" si="25"/>
        <v>99711.972128124558</v>
      </c>
      <c r="AJ26" s="57">
        <f t="shared" ca="1" si="25"/>
        <v>96292.376564216349</v>
      </c>
      <c r="AK26" s="57">
        <f t="shared" ca="1" si="25"/>
        <v>29913.591638437367</v>
      </c>
      <c r="AL26" s="57">
        <f t="shared" ca="1" si="25"/>
        <v>417266.96511160408</v>
      </c>
      <c r="AM26" s="57">
        <f t="shared" ca="1" si="25"/>
        <v>129625.56376656193</v>
      </c>
      <c r="AN26" s="57"/>
      <c r="AO26" s="57"/>
      <c r="AP26" s="57" t="e">
        <f t="shared" si="25"/>
        <v>#REF!</v>
      </c>
      <c r="AQ26" s="57"/>
      <c r="AR26" s="57"/>
      <c r="AS26" s="57" t="e">
        <f t="shared" si="25"/>
        <v>#REF!</v>
      </c>
      <c r="AT26" s="57"/>
      <c r="AU26" s="57"/>
      <c r="AV26" s="57"/>
      <c r="AW26" s="57"/>
      <c r="AX26" s="57"/>
      <c r="AY26" s="57">
        <f t="shared" si="25"/>
        <v>7110.7951551904389</v>
      </c>
      <c r="AZ26" s="57"/>
      <c r="BA26" s="57">
        <f t="shared" si="25"/>
        <v>2812.2749093421235</v>
      </c>
      <c r="BB26" s="57"/>
      <c r="BC26" s="57">
        <f t="shared" si="25"/>
        <v>16426.744901783622</v>
      </c>
      <c r="BD26" s="57"/>
      <c r="BE26" s="57">
        <f t="shared" si="25"/>
        <v>2771.0164336746648</v>
      </c>
      <c r="BF26" s="57"/>
      <c r="BG26" s="57">
        <f t="shared" si="25"/>
        <v>1053.9559011944582</v>
      </c>
      <c r="BH26" s="57">
        <f t="shared" si="25"/>
        <v>420286.93197459204</v>
      </c>
      <c r="BI26" s="57" t="e">
        <f t="shared" ca="1" si="25"/>
        <v>#REF!</v>
      </c>
      <c r="BJ26" s="57"/>
      <c r="BK26" s="57"/>
      <c r="BL26" s="57"/>
      <c r="BM26" s="57">
        <f t="shared" si="25"/>
        <v>199.35370026436436</v>
      </c>
    </row>
    <row r="27" spans="1:65" ht="22.5" customHeight="1" x14ac:dyDescent="0.2">
      <c r="A27" s="20"/>
      <c r="B27" s="535" t="s">
        <v>98</v>
      </c>
      <c r="C27" s="535"/>
      <c r="D27" s="535"/>
      <c r="E27" s="535"/>
      <c r="F27" s="28"/>
      <c r="G27" s="138"/>
      <c r="H27" s="29"/>
      <c r="I27" s="29"/>
      <c r="J27" s="29"/>
      <c r="K27" s="32"/>
      <c r="L27" s="33"/>
      <c r="M27" s="34"/>
      <c r="N27" s="34"/>
      <c r="O27" s="35"/>
      <c r="P27" s="35"/>
      <c r="Q27" s="34"/>
      <c r="R27" s="33"/>
      <c r="S27" s="34"/>
      <c r="T27" s="33"/>
      <c r="U27" s="33"/>
      <c r="V27" s="33"/>
      <c r="W27" s="33"/>
      <c r="X27" s="33"/>
      <c r="Y27" s="33"/>
      <c r="Z27" s="33"/>
      <c r="AA27" s="33"/>
      <c r="AB27" s="33"/>
      <c r="AC27" s="33"/>
      <c r="AD27" s="33"/>
      <c r="AE27" s="33"/>
      <c r="AF27" s="33"/>
      <c r="AG27" s="33"/>
      <c r="AH27" s="33"/>
      <c r="AI27" s="33"/>
      <c r="AJ27" s="33"/>
      <c r="AK27" s="33"/>
      <c r="AL27" s="33"/>
      <c r="AM27" s="32"/>
      <c r="AN27" s="32"/>
      <c r="AO27" s="32"/>
      <c r="AP27" s="74"/>
      <c r="AQ27" s="37"/>
      <c r="AR27" s="37"/>
      <c r="AS27" s="36"/>
      <c r="AT27" s="36"/>
      <c r="AU27" s="36"/>
      <c r="AV27" s="36"/>
      <c r="AW27" s="36"/>
      <c r="AX27" s="36"/>
      <c r="AY27" s="36"/>
      <c r="AZ27" s="36"/>
      <c r="BA27" s="36"/>
      <c r="BB27" s="36"/>
      <c r="BC27" s="36"/>
      <c r="BD27" s="36"/>
      <c r="BE27" s="36"/>
      <c r="BF27" s="36"/>
      <c r="BG27" s="36"/>
      <c r="BH27" s="36"/>
      <c r="BI27" s="36"/>
      <c r="BJ27" s="36"/>
      <c r="BK27" s="36"/>
      <c r="BL27" s="38"/>
      <c r="BM27" s="39"/>
    </row>
    <row r="28" spans="1:65" x14ac:dyDescent="0.2">
      <c r="A28" s="20">
        <f>A27+1</f>
        <v>1</v>
      </c>
      <c r="B28" s="27" t="s">
        <v>76</v>
      </c>
      <c r="C28" s="29">
        <v>2.7777777777777781</v>
      </c>
      <c r="D28" s="30" t="s">
        <v>105</v>
      </c>
      <c r="E28" s="31" t="s">
        <v>198</v>
      </c>
      <c r="F28" s="28" t="s">
        <v>106</v>
      </c>
      <c r="G28" s="138">
        <v>100</v>
      </c>
      <c r="H28" s="76">
        <v>40374</v>
      </c>
      <c r="I28" s="76">
        <v>40379</v>
      </c>
      <c r="J28" s="78">
        <f t="shared" ref="J28:J33" si="26">L28/M28</f>
        <v>5.5555555555555562</v>
      </c>
      <c r="K28" s="32">
        <v>6</v>
      </c>
      <c r="L28" s="33">
        <f t="shared" ref="L28:L35" si="27">G28/K28</f>
        <v>16.666666666666668</v>
      </c>
      <c r="M28" s="34">
        <v>3</v>
      </c>
      <c r="N28" s="34"/>
      <c r="O28" s="35">
        <f t="shared" ref="O28:O35" si="28">IF(M28=0,0,L28*$O$15)</f>
        <v>116.66666666666667</v>
      </c>
      <c r="P28" s="35">
        <f t="shared" ref="P28:P35" si="29">IF(N28=0,0,L28*$O$15)</f>
        <v>0</v>
      </c>
      <c r="Q28" s="34">
        <v>4</v>
      </c>
      <c r="R28" s="78">
        <f ca="1">IF(AND(O28&gt;0,Q28&gt;0),SUMIF('Исходные данные'!$C$14:H30,Q28,'Исходные данные'!$C$18:$H$18),IF(O28=0,0,IF(Q28=0,"РОТ")))</f>
        <v>156.08125696908263</v>
      </c>
      <c r="S28" s="34"/>
      <c r="T28" s="33"/>
      <c r="U28" s="125">
        <f ca="1">O28*R28*'Исходные данные'!$C$39%</f>
        <v>0</v>
      </c>
      <c r="V28" s="125">
        <f>P28*T28*'Исходные данные'!$C$40%</f>
        <v>0</v>
      </c>
      <c r="W28" s="125">
        <f t="shared" ref="W28:W35" ca="1" si="30">O28*R28*$W$15</f>
        <v>7283.7919918905236</v>
      </c>
      <c r="X28" s="126">
        <f t="shared" ref="X28:X35" si="31">P28*T28*$W$15</f>
        <v>0</v>
      </c>
      <c r="Y28" s="125">
        <f t="shared" ref="Y28:Y35" ca="1" si="32">(O28*R28+U28+W28)*$Y$15</f>
        <v>2549.3271971616832</v>
      </c>
      <c r="Z28" s="126">
        <f t="shared" ref="Z28:Z35" si="33">(P28*T28+V28+X28)*$Z$15</f>
        <v>0</v>
      </c>
      <c r="AA28" s="125">
        <f t="shared" ref="AA28:AA35" ca="1" si="34">(O28*R28+U28)*$AA$15</f>
        <v>1820.9479979726309</v>
      </c>
      <c r="AB28" s="126">
        <f t="shared" ref="AB28:AB35" si="35">(P28*T28+V28)*$AA$15</f>
        <v>0</v>
      </c>
      <c r="AC28" s="124">
        <v>2.8</v>
      </c>
      <c r="AD28" s="125">
        <f t="shared" ref="AD28:AD35" ca="1" si="36">(O28*R28+U28+W28+Y28+AA28)*AC28</f>
        <v>83617.932066903202</v>
      </c>
      <c r="AE28" s="125">
        <f t="shared" ref="AE28:AE35" si="37">(P28*T28+V28+X28+Z28+AB28)*AC28</f>
        <v>0</v>
      </c>
      <c r="AF28" s="35">
        <f t="shared" ref="AF28:AF35" ca="1" si="38">AD28*$AF$15</f>
        <v>12494.633527238408</v>
      </c>
      <c r="AG28" s="70"/>
      <c r="AH28" s="35">
        <f t="shared" ref="AH28:AH35" ca="1" si="39">AD28+AF28</f>
        <v>96112.565594141604</v>
      </c>
      <c r="AI28" s="35"/>
      <c r="AJ28" s="35">
        <f t="shared" ref="AJ28:AJ35" ca="1" si="40">AH28*$AJ$15</f>
        <v>28833.769678242479</v>
      </c>
      <c r="AK28" s="70"/>
      <c r="AL28" s="35">
        <f t="shared" ref="AL28:AL35" ca="1" si="41">AH28+AJ28</f>
        <v>124946.33527238408</v>
      </c>
      <c r="AM28" s="70"/>
      <c r="AN28" s="32">
        <v>6.5</v>
      </c>
      <c r="AO28" s="33" t="e">
        <f>Нормы!#REF!</f>
        <v>#REF!</v>
      </c>
      <c r="AP28" s="74" t="e">
        <f t="shared" ref="AP28:AP35" si="42">(G28*AN28)*AO28/100</f>
        <v>#REF!</v>
      </c>
      <c r="AQ28" s="33" t="s">
        <v>152</v>
      </c>
      <c r="AR28" s="78" t="e">
        <f>'Исходные данные'!#REF!</f>
        <v>#REF!</v>
      </c>
      <c r="AS28" s="36" t="e">
        <f t="shared" ref="AS28:AS35" si="43">AP28*AR28</f>
        <v>#REF!</v>
      </c>
      <c r="AT28" s="36"/>
      <c r="AU28" s="36"/>
      <c r="AV28" s="36"/>
      <c r="AW28" s="36"/>
      <c r="AX28" s="36">
        <f>аморт!$G$11</f>
        <v>181.91312849162011</v>
      </c>
      <c r="AY28" s="36">
        <f t="shared" ref="AY28:AY35" si="44">AX28*L28</f>
        <v>3031.8854748603353</v>
      </c>
      <c r="AZ28" s="36">
        <f>аморт!$G$54</f>
        <v>43.453374999999994</v>
      </c>
      <c r="BA28" s="36">
        <f t="shared" ref="BA28:BA35" si="45">AZ28*L28</f>
        <v>724.22291666666661</v>
      </c>
      <c r="BB28" s="38">
        <v>82.4</v>
      </c>
      <c r="BC28" s="36">
        <f t="shared" ref="BC28:BC35" si="46">BB28*BM28</f>
        <v>7004.0000000000009</v>
      </c>
      <c r="BD28" s="38">
        <v>13.9</v>
      </c>
      <c r="BE28" s="36">
        <f t="shared" ref="BE28:BE35" si="47">BD28*BM28</f>
        <v>1181.5</v>
      </c>
      <c r="BF28" s="38">
        <f t="shared" ref="BF28:BF35" si="48">4.8*1.045*1.054</f>
        <v>5.2868639999999996</v>
      </c>
      <c r="BG28" s="36">
        <f t="shared" ref="BG28:BG35" si="49">BF28*BM28</f>
        <v>449.38343999999995</v>
      </c>
      <c r="BH28" s="36">
        <f>аморт!$C$54*10%/аморт!$E$54*L28*7</f>
        <v>64890.373333333344</v>
      </c>
      <c r="BI28" s="36" t="e">
        <f t="shared" ref="BI28:BI35" ca="1" si="50">AL28+AM28+AS28+AY28+BA28+BC28+BE28+BG28+BH28+AW28</f>
        <v>#REF!</v>
      </c>
      <c r="BJ28" s="36" t="e">
        <f t="shared" ref="BJ28:BJ35" ca="1" si="51">BI28/$D$5</f>
        <v>#REF!</v>
      </c>
      <c r="BK28" s="38">
        <f t="shared" ref="BK28:BK35" si="52">(O28+P28)/$D$5</f>
        <v>1.1666666666666667</v>
      </c>
      <c r="BL28" s="38">
        <v>5.0999999999999996</v>
      </c>
      <c r="BM28" s="39">
        <f t="shared" ref="BM28:BM35" si="53">BL28*L28</f>
        <v>85</v>
      </c>
    </row>
    <row r="29" spans="1:65" x14ac:dyDescent="0.2">
      <c r="A29" s="20">
        <f>A28+1</f>
        <v>2</v>
      </c>
      <c r="B29" s="27" t="s">
        <v>84</v>
      </c>
      <c r="C29" s="29">
        <v>0.20833333333333334</v>
      </c>
      <c r="D29" s="30" t="s">
        <v>105</v>
      </c>
      <c r="E29" s="31" t="s">
        <v>199</v>
      </c>
      <c r="F29" s="28" t="s">
        <v>106</v>
      </c>
      <c r="G29" s="138">
        <v>20</v>
      </c>
      <c r="H29" s="76">
        <v>40376</v>
      </c>
      <c r="I29" s="76">
        <v>40381</v>
      </c>
      <c r="J29" s="78">
        <f t="shared" si="26"/>
        <v>1.25</v>
      </c>
      <c r="K29" s="32">
        <v>16</v>
      </c>
      <c r="L29" s="33">
        <f t="shared" si="27"/>
        <v>1.25</v>
      </c>
      <c r="M29" s="34">
        <v>1</v>
      </c>
      <c r="N29" s="34"/>
      <c r="O29" s="35">
        <f t="shared" si="28"/>
        <v>8.75</v>
      </c>
      <c r="P29" s="35">
        <f t="shared" si="29"/>
        <v>0</v>
      </c>
      <c r="Q29" s="34">
        <v>2</v>
      </c>
      <c r="R29" s="78">
        <f ca="1">IF(AND(O29&gt;0,Q29&gt;0),SUMIF('Исходные данные'!$C$14:H30,Q29,'Исходные данные'!$C$18:$H$18),IF(O29=0,0,IF(Q29=0,"РОТ")))</f>
        <v>128.66557526609228</v>
      </c>
      <c r="S29" s="34"/>
      <c r="T29" s="33"/>
      <c r="U29" s="125">
        <f ca="1">O29*R29*'Исходные данные'!$C$39%</f>
        <v>0</v>
      </c>
      <c r="V29" s="125">
        <f>P29*T29*'Исходные данные'!$C$40%</f>
        <v>0</v>
      </c>
      <c r="W29" s="125">
        <f t="shared" ca="1" si="30"/>
        <v>450.32951343132299</v>
      </c>
      <c r="X29" s="126">
        <f t="shared" si="31"/>
        <v>0</v>
      </c>
      <c r="Y29" s="125">
        <f t="shared" ca="1" si="32"/>
        <v>157.61532970096306</v>
      </c>
      <c r="Z29" s="126">
        <f t="shared" si="33"/>
        <v>0</v>
      </c>
      <c r="AA29" s="125">
        <f t="shared" ca="1" si="34"/>
        <v>112.58237835783075</v>
      </c>
      <c r="AB29" s="126">
        <f t="shared" si="35"/>
        <v>0</v>
      </c>
      <c r="AC29" s="124">
        <v>2.8</v>
      </c>
      <c r="AD29" s="125">
        <f t="shared" ca="1" si="36"/>
        <v>5169.7828141915879</v>
      </c>
      <c r="AE29" s="125">
        <f t="shared" si="37"/>
        <v>0</v>
      </c>
      <c r="AF29" s="35">
        <f t="shared" ca="1" si="38"/>
        <v>772.49628258035216</v>
      </c>
      <c r="AG29" s="70"/>
      <c r="AH29" s="35">
        <f t="shared" ca="1" si="39"/>
        <v>5942.2790967719402</v>
      </c>
      <c r="AI29" s="35"/>
      <c r="AJ29" s="35">
        <f t="shared" ca="1" si="40"/>
        <v>1782.6837290315821</v>
      </c>
      <c r="AK29" s="70"/>
      <c r="AL29" s="35">
        <f t="shared" ca="1" si="41"/>
        <v>7724.9628258035227</v>
      </c>
      <c r="AM29" s="70"/>
      <c r="AN29" s="33">
        <v>1.8</v>
      </c>
      <c r="AO29" s="33" t="e">
        <f>Нормы!#REF!</f>
        <v>#REF!</v>
      </c>
      <c r="AP29" s="74" t="e">
        <f t="shared" si="42"/>
        <v>#REF!</v>
      </c>
      <c r="AQ29" s="33" t="s">
        <v>152</v>
      </c>
      <c r="AR29" s="78" t="e">
        <f>'Исходные данные'!#REF!</f>
        <v>#REF!</v>
      </c>
      <c r="AS29" s="36" t="e">
        <f t="shared" si="43"/>
        <v>#REF!</v>
      </c>
      <c r="AT29" s="36"/>
      <c r="AU29" s="36"/>
      <c r="AV29" s="36"/>
      <c r="AW29" s="36"/>
      <c r="AX29" s="36">
        <f>аморт!$G$11</f>
        <v>181.91312849162011</v>
      </c>
      <c r="AY29" s="36">
        <f t="shared" si="44"/>
        <v>227.39141061452514</v>
      </c>
      <c r="AZ29" s="36">
        <f>аморт!$G$38</f>
        <v>144.06779999999998</v>
      </c>
      <c r="BA29" s="36">
        <f t="shared" si="45"/>
        <v>180.08474999999999</v>
      </c>
      <c r="BB29" s="38">
        <v>82.4</v>
      </c>
      <c r="BC29" s="36">
        <f t="shared" si="46"/>
        <v>525.30000000000007</v>
      </c>
      <c r="BD29" s="38">
        <v>13.9</v>
      </c>
      <c r="BE29" s="36">
        <f t="shared" si="47"/>
        <v>88.612499999999997</v>
      </c>
      <c r="BF29" s="38">
        <f t="shared" si="48"/>
        <v>5.2868639999999996</v>
      </c>
      <c r="BG29" s="36">
        <f t="shared" si="49"/>
        <v>33.703758000000001</v>
      </c>
      <c r="BH29" s="36">
        <f>аморт!$C$38*10%/аморт!$E$38*L29*7</f>
        <v>3025.4237999999996</v>
      </c>
      <c r="BI29" s="36" t="e">
        <f t="shared" ca="1" si="50"/>
        <v>#REF!</v>
      </c>
      <c r="BJ29" s="36" t="e">
        <f t="shared" ca="1" si="51"/>
        <v>#REF!</v>
      </c>
      <c r="BK29" s="38">
        <f t="shared" si="52"/>
        <v>8.7499999999999994E-2</v>
      </c>
      <c r="BL29" s="38">
        <v>5.0999999999999996</v>
      </c>
      <c r="BM29" s="39">
        <f t="shared" si="53"/>
        <v>6.375</v>
      </c>
    </row>
    <row r="30" spans="1:65" x14ac:dyDescent="0.2">
      <c r="A30" s="20">
        <f>A29+1</f>
        <v>3</v>
      </c>
      <c r="B30" s="27" t="s">
        <v>85</v>
      </c>
      <c r="C30" s="29">
        <v>1.0204081632653061</v>
      </c>
      <c r="D30" s="30" t="s">
        <v>105</v>
      </c>
      <c r="E30" s="31" t="s">
        <v>199</v>
      </c>
      <c r="F30" s="28" t="s">
        <v>106</v>
      </c>
      <c r="G30" s="138">
        <v>100</v>
      </c>
      <c r="H30" s="76">
        <v>40377</v>
      </c>
      <c r="I30" s="76">
        <v>40382</v>
      </c>
      <c r="J30" s="78">
        <f t="shared" si="26"/>
        <v>7.1428571428571432</v>
      </c>
      <c r="K30" s="32">
        <v>14</v>
      </c>
      <c r="L30" s="33">
        <f t="shared" si="27"/>
        <v>7.1428571428571432</v>
      </c>
      <c r="M30" s="34">
        <v>1</v>
      </c>
      <c r="N30" s="34"/>
      <c r="O30" s="35">
        <f t="shared" si="28"/>
        <v>50</v>
      </c>
      <c r="P30" s="35">
        <f t="shared" si="29"/>
        <v>0</v>
      </c>
      <c r="Q30" s="34">
        <v>2</v>
      </c>
      <c r="R30" s="78">
        <f ca="1">IF(AND(O30&gt;0,Q30&gt;0),SUMIF('Исходные данные'!$C$14:H30,Q30,'Исходные данные'!$C$18:$H$18),IF(O30=0,0,IF(Q30=0,"РОТ")))</f>
        <v>128.66557526609228</v>
      </c>
      <c r="S30" s="34"/>
      <c r="T30" s="33"/>
      <c r="U30" s="125">
        <f ca="1">O30*R30*'Исходные данные'!$C$39%</f>
        <v>0</v>
      </c>
      <c r="V30" s="125">
        <f>P30*T30*'Исходные данные'!$C$40%</f>
        <v>0</v>
      </c>
      <c r="W30" s="125">
        <f t="shared" ca="1" si="30"/>
        <v>2573.3115053218457</v>
      </c>
      <c r="X30" s="126">
        <f t="shared" si="31"/>
        <v>0</v>
      </c>
      <c r="Y30" s="125">
        <f t="shared" ca="1" si="32"/>
        <v>900.65902686264599</v>
      </c>
      <c r="Z30" s="126">
        <f t="shared" si="33"/>
        <v>0</v>
      </c>
      <c r="AA30" s="125">
        <f t="shared" ca="1" si="34"/>
        <v>643.32787633046144</v>
      </c>
      <c r="AB30" s="126">
        <f t="shared" si="35"/>
        <v>0</v>
      </c>
      <c r="AC30" s="124">
        <v>2.8</v>
      </c>
      <c r="AD30" s="125">
        <f t="shared" ca="1" si="36"/>
        <v>29541.616081094784</v>
      </c>
      <c r="AE30" s="125">
        <f t="shared" si="37"/>
        <v>0</v>
      </c>
      <c r="AF30" s="35">
        <f t="shared" ca="1" si="38"/>
        <v>4414.2644718877254</v>
      </c>
      <c r="AG30" s="70"/>
      <c r="AH30" s="35">
        <f t="shared" ca="1" si="39"/>
        <v>33955.880552982511</v>
      </c>
      <c r="AI30" s="35"/>
      <c r="AJ30" s="35">
        <f t="shared" ca="1" si="40"/>
        <v>10186.764165894752</v>
      </c>
      <c r="AK30" s="70"/>
      <c r="AL30" s="35">
        <f t="shared" ca="1" si="41"/>
        <v>44142.644718877265</v>
      </c>
      <c r="AM30" s="70"/>
      <c r="AN30" s="32">
        <v>2.8</v>
      </c>
      <c r="AO30" s="33" t="e">
        <f>Нормы!#REF!</f>
        <v>#REF!</v>
      </c>
      <c r="AP30" s="74" t="e">
        <f t="shared" si="42"/>
        <v>#REF!</v>
      </c>
      <c r="AQ30" s="33" t="s">
        <v>152</v>
      </c>
      <c r="AR30" s="78" t="e">
        <f>'Исходные данные'!#REF!</f>
        <v>#REF!</v>
      </c>
      <c r="AS30" s="36" t="e">
        <f t="shared" si="43"/>
        <v>#REF!</v>
      </c>
      <c r="AT30" s="36"/>
      <c r="AU30" s="36"/>
      <c r="AV30" s="36"/>
      <c r="AW30" s="36"/>
      <c r="AX30" s="36">
        <f>аморт!$G$11</f>
        <v>181.91312849162011</v>
      </c>
      <c r="AY30" s="36">
        <f t="shared" si="44"/>
        <v>1299.3794892258579</v>
      </c>
      <c r="AZ30" s="36">
        <f>аморт!$G$38</f>
        <v>144.06779999999998</v>
      </c>
      <c r="BA30" s="36">
        <f t="shared" si="45"/>
        <v>1029.0557142857142</v>
      </c>
      <c r="BB30" s="38">
        <v>82.4</v>
      </c>
      <c r="BC30" s="36">
        <f t="shared" si="46"/>
        <v>3001.7142857142862</v>
      </c>
      <c r="BD30" s="38">
        <v>13.9</v>
      </c>
      <c r="BE30" s="36">
        <f t="shared" si="47"/>
        <v>506.35714285714289</v>
      </c>
      <c r="BF30" s="38">
        <f t="shared" si="48"/>
        <v>5.2868639999999996</v>
      </c>
      <c r="BG30" s="36">
        <f t="shared" si="49"/>
        <v>192.59290285714286</v>
      </c>
      <c r="BH30" s="36">
        <f>аморт!$C$38*10%/аморт!$E$38*L30*7</f>
        <v>17288.135999999999</v>
      </c>
      <c r="BI30" s="36" t="e">
        <f t="shared" ca="1" si="50"/>
        <v>#REF!</v>
      </c>
      <c r="BJ30" s="36" t="e">
        <f t="shared" ca="1" si="51"/>
        <v>#REF!</v>
      </c>
      <c r="BK30" s="38">
        <f t="shared" si="52"/>
        <v>0.5</v>
      </c>
      <c r="BL30" s="38">
        <v>5.0999999999999996</v>
      </c>
      <c r="BM30" s="39">
        <f t="shared" si="53"/>
        <v>36.428571428571431</v>
      </c>
    </row>
    <row r="31" spans="1:65" x14ac:dyDescent="0.2">
      <c r="A31" s="20">
        <f>A30+1</f>
        <v>4</v>
      </c>
      <c r="B31" s="27" t="s">
        <v>88</v>
      </c>
      <c r="C31" s="29">
        <v>1.25</v>
      </c>
      <c r="D31" s="30" t="s">
        <v>105</v>
      </c>
      <c r="E31" s="31" t="s">
        <v>204</v>
      </c>
      <c r="F31" s="28" t="s">
        <v>106</v>
      </c>
      <c r="G31" s="138">
        <v>100</v>
      </c>
      <c r="H31" s="76">
        <v>40380</v>
      </c>
      <c r="I31" s="76">
        <v>40384</v>
      </c>
      <c r="J31" s="78">
        <f t="shared" si="26"/>
        <v>6.25</v>
      </c>
      <c r="K31" s="32">
        <v>16</v>
      </c>
      <c r="L31" s="33">
        <f t="shared" si="27"/>
        <v>6.25</v>
      </c>
      <c r="M31" s="34">
        <v>1</v>
      </c>
      <c r="N31" s="34"/>
      <c r="O31" s="35">
        <f t="shared" si="28"/>
        <v>43.75</v>
      </c>
      <c r="P31" s="35">
        <f t="shared" si="29"/>
        <v>0</v>
      </c>
      <c r="Q31" s="34">
        <v>5</v>
      </c>
      <c r="R31" s="78">
        <f ca="1">IF(AND(O31&gt;0,Q31&gt;0),SUMIF('Исходные данные'!$C$14:H31,Q31,'Исходные данные'!$C$18:$H$18),IF(O31=0,0,IF(Q31=0,"РОТ")))</f>
        <v>179.78980233147493</v>
      </c>
      <c r="S31" s="34"/>
      <c r="T31" s="33"/>
      <c r="U31" s="125">
        <f ca="1">O31*R31*'Исходные данные'!$C$39%</f>
        <v>0</v>
      </c>
      <c r="V31" s="125">
        <f>P31*T31*'Исходные данные'!$C$40%</f>
        <v>0</v>
      </c>
      <c r="W31" s="125">
        <f t="shared" ca="1" si="30"/>
        <v>3146.3215408008114</v>
      </c>
      <c r="X31" s="126">
        <f t="shared" si="31"/>
        <v>0</v>
      </c>
      <c r="Y31" s="125">
        <f t="shared" ca="1" si="32"/>
        <v>1101.2125392802841</v>
      </c>
      <c r="Z31" s="126">
        <f t="shared" si="33"/>
        <v>0</v>
      </c>
      <c r="AA31" s="125">
        <f t="shared" ca="1" si="34"/>
        <v>786.58038520020284</v>
      </c>
      <c r="AB31" s="126">
        <f t="shared" si="35"/>
        <v>0</v>
      </c>
      <c r="AC31" s="124">
        <v>2.8</v>
      </c>
      <c r="AD31" s="125">
        <f t="shared" ca="1" si="36"/>
        <v>36119.771288393313</v>
      </c>
      <c r="AE31" s="125">
        <f t="shared" si="37"/>
        <v>0</v>
      </c>
      <c r="AF31" s="35">
        <f t="shared" ca="1" si="38"/>
        <v>5397.2072040127932</v>
      </c>
      <c r="AG31" s="70"/>
      <c r="AH31" s="35">
        <f t="shared" ca="1" si="39"/>
        <v>41516.97849240611</v>
      </c>
      <c r="AI31" s="35"/>
      <c r="AJ31" s="35">
        <f t="shared" ca="1" si="40"/>
        <v>12455.093547721832</v>
      </c>
      <c r="AK31" s="70"/>
      <c r="AL31" s="35">
        <f t="shared" ca="1" si="41"/>
        <v>53972.07204012794</v>
      </c>
      <c r="AM31" s="70"/>
      <c r="AN31" s="32">
        <v>3.6</v>
      </c>
      <c r="AO31" s="33" t="e">
        <f>Нормы!#REF!</f>
        <v>#REF!</v>
      </c>
      <c r="AP31" s="74" t="e">
        <f t="shared" si="42"/>
        <v>#REF!</v>
      </c>
      <c r="AQ31" s="33" t="s">
        <v>152</v>
      </c>
      <c r="AR31" s="78" t="e">
        <f>'Исходные данные'!#REF!</f>
        <v>#REF!</v>
      </c>
      <c r="AS31" s="36" t="e">
        <f t="shared" si="43"/>
        <v>#REF!</v>
      </c>
      <c r="AT31" s="145">
        <f>(1000/215*120)/2000</f>
        <v>0.27906976744186052</v>
      </c>
      <c r="AU31" s="74">
        <f>AT31*G31*D8</f>
        <v>284.1586867305063</v>
      </c>
      <c r="AV31" s="36">
        <f>5*200</f>
        <v>1000</v>
      </c>
      <c r="AW31" s="36">
        <f>AU31*AV31</f>
        <v>284158.68673050631</v>
      </c>
      <c r="AX31" s="36">
        <f>аморт!$G$11</f>
        <v>181.91312849162011</v>
      </c>
      <c r="AY31" s="36">
        <f t="shared" si="44"/>
        <v>1136.9570530726257</v>
      </c>
      <c r="AZ31" s="36">
        <f>аморт!G75</f>
        <v>91.807777777777801</v>
      </c>
      <c r="BA31" s="36">
        <f t="shared" si="45"/>
        <v>573.79861111111131</v>
      </c>
      <c r="BB31" s="38">
        <v>82.4</v>
      </c>
      <c r="BC31" s="36">
        <f t="shared" si="46"/>
        <v>2626.5</v>
      </c>
      <c r="BD31" s="38">
        <v>13.9</v>
      </c>
      <c r="BE31" s="36">
        <f t="shared" si="47"/>
        <v>443.06249999999994</v>
      </c>
      <c r="BF31" s="38">
        <f t="shared" si="48"/>
        <v>5.2868639999999996</v>
      </c>
      <c r="BG31" s="36">
        <f t="shared" si="49"/>
        <v>168.51878999999997</v>
      </c>
      <c r="BH31" s="36">
        <f>аморт!C75*10%/аморт!E75*L31*7</f>
        <v>17351.669999999998</v>
      </c>
      <c r="BI31" s="36" t="e">
        <f t="shared" ca="1" si="50"/>
        <v>#REF!</v>
      </c>
      <c r="BJ31" s="36" t="e">
        <f t="shared" ca="1" si="51"/>
        <v>#REF!</v>
      </c>
      <c r="BK31" s="38">
        <f t="shared" si="52"/>
        <v>0.4375</v>
      </c>
      <c r="BL31" s="38">
        <v>5.0999999999999996</v>
      </c>
      <c r="BM31" s="39">
        <f t="shared" si="53"/>
        <v>31.874999999999996</v>
      </c>
    </row>
    <row r="32" spans="1:65" ht="22.5" x14ac:dyDescent="0.2">
      <c r="A32" s="20">
        <f>A31+1</f>
        <v>5</v>
      </c>
      <c r="B32" s="27" t="s">
        <v>89</v>
      </c>
      <c r="C32" s="29">
        <v>4.6849379245724992E-2</v>
      </c>
      <c r="D32" s="30" t="s">
        <v>105</v>
      </c>
      <c r="E32" s="31" t="s">
        <v>203</v>
      </c>
      <c r="F32" s="28" t="s">
        <v>106</v>
      </c>
      <c r="G32" s="138">
        <v>20</v>
      </c>
      <c r="H32" s="76">
        <v>40385</v>
      </c>
      <c r="I32" s="76">
        <v>40386</v>
      </c>
      <c r="J32" s="78">
        <f t="shared" si="26"/>
        <v>0.14054813773717498</v>
      </c>
      <c r="K32" s="32">
        <v>142.30000000000001</v>
      </c>
      <c r="L32" s="33">
        <f t="shared" si="27"/>
        <v>0.14054813773717498</v>
      </c>
      <c r="M32" s="34">
        <v>1</v>
      </c>
      <c r="N32" s="34"/>
      <c r="O32" s="35">
        <f t="shared" si="28"/>
        <v>0.98383696416022481</v>
      </c>
      <c r="P32" s="35">
        <f t="shared" si="29"/>
        <v>0</v>
      </c>
      <c r="Q32" s="34">
        <v>2</v>
      </c>
      <c r="R32" s="78">
        <f ca="1">IF(AND(O32&gt;0,Q32&gt;0),SUMIF('Исходные данные'!$C$14:H32,Q32,'Исходные данные'!$C$18:$H$18),IF(O32=0,0,IF(Q32=0,"РОТ")))</f>
        <v>128.66557526609228</v>
      </c>
      <c r="S32" s="34"/>
      <c r="T32" s="33"/>
      <c r="U32" s="125">
        <f ca="1">O32*R32*'Исходные данные'!$C$39%</f>
        <v>0</v>
      </c>
      <c r="V32" s="125">
        <f>P32*T32*'Исходные данные'!$C$40%</f>
        <v>0</v>
      </c>
      <c r="W32" s="125">
        <f t="shared" ca="1" si="30"/>
        <v>50.634379584688453</v>
      </c>
      <c r="X32" s="126">
        <f t="shared" si="31"/>
        <v>0</v>
      </c>
      <c r="Y32" s="125">
        <f t="shared" ca="1" si="32"/>
        <v>17.722032854640958</v>
      </c>
      <c r="Z32" s="126">
        <f t="shared" si="33"/>
        <v>0</v>
      </c>
      <c r="AA32" s="125">
        <f t="shared" ca="1" si="34"/>
        <v>12.658594896172113</v>
      </c>
      <c r="AB32" s="126">
        <f t="shared" si="35"/>
        <v>0</v>
      </c>
      <c r="AC32" s="124">
        <v>2.8</v>
      </c>
      <c r="AD32" s="125">
        <f t="shared" ca="1" si="36"/>
        <v>581.28267763222334</v>
      </c>
      <c r="AE32" s="125">
        <f t="shared" si="37"/>
        <v>0</v>
      </c>
      <c r="AF32" s="35">
        <f t="shared" ca="1" si="38"/>
        <v>86.858331140447163</v>
      </c>
      <c r="AG32" s="70"/>
      <c r="AH32" s="35">
        <f t="shared" ca="1" si="39"/>
        <v>668.14100877267049</v>
      </c>
      <c r="AI32" s="35"/>
      <c r="AJ32" s="35">
        <f t="shared" ca="1" si="40"/>
        <v>200.44230263180114</v>
      </c>
      <c r="AK32" s="70"/>
      <c r="AL32" s="35">
        <f t="shared" ca="1" si="41"/>
        <v>868.5833114044716</v>
      </c>
      <c r="AM32" s="70"/>
      <c r="AN32" s="32">
        <v>0.3</v>
      </c>
      <c r="AO32" s="33" t="e">
        <f>Нормы!#REF!</f>
        <v>#REF!</v>
      </c>
      <c r="AP32" s="74" t="e">
        <f t="shared" si="42"/>
        <v>#REF!</v>
      </c>
      <c r="AQ32" s="33" t="s">
        <v>152</v>
      </c>
      <c r="AR32" s="78" t="e">
        <f>'Исходные данные'!#REF!</f>
        <v>#REF!</v>
      </c>
      <c r="AS32" s="36" t="e">
        <f t="shared" si="43"/>
        <v>#REF!</v>
      </c>
      <c r="AT32" s="36"/>
      <c r="AU32" s="36"/>
      <c r="AV32" s="36"/>
      <c r="AW32" s="36"/>
      <c r="AX32" s="36">
        <f>аморт!$G$11</f>
        <v>181.91312849162011</v>
      </c>
      <c r="AY32" s="36">
        <f t="shared" si="44"/>
        <v>25.567551439440635</v>
      </c>
      <c r="AZ32" s="36">
        <f>аморт!$G$40</f>
        <v>39.779508196721316</v>
      </c>
      <c r="BA32" s="36">
        <f t="shared" si="45"/>
        <v>5.5909357971498688</v>
      </c>
      <c r="BB32" s="38">
        <v>82.4</v>
      </c>
      <c r="BC32" s="36">
        <f t="shared" si="46"/>
        <v>59.06394940267041</v>
      </c>
      <c r="BD32" s="38">
        <v>13.9</v>
      </c>
      <c r="BE32" s="36">
        <f t="shared" si="47"/>
        <v>9.9634574841883339</v>
      </c>
      <c r="BF32" s="38">
        <f t="shared" si="48"/>
        <v>5.2868639999999996</v>
      </c>
      <c r="BG32" s="36">
        <f t="shared" si="49"/>
        <v>3.7896003373155298</v>
      </c>
      <c r="BH32" s="36">
        <f>аморт!$C$40*10%/аморт!$E$40*L32*7</f>
        <v>171.88773014757555</v>
      </c>
      <c r="BI32" s="36" t="e">
        <f t="shared" ca="1" si="50"/>
        <v>#REF!</v>
      </c>
      <c r="BJ32" s="36" t="e">
        <f t="shared" ca="1" si="51"/>
        <v>#REF!</v>
      </c>
      <c r="BK32" s="38">
        <f t="shared" si="52"/>
        <v>9.8383696416022483E-3</v>
      </c>
      <c r="BL32" s="38">
        <v>5.0999999999999996</v>
      </c>
      <c r="BM32" s="39">
        <f t="shared" si="53"/>
        <v>0.71679550245959234</v>
      </c>
    </row>
    <row r="33" spans="1:65" ht="22.5" x14ac:dyDescent="0.2">
      <c r="A33" s="20">
        <v>6</v>
      </c>
      <c r="B33" s="27" t="s">
        <v>90</v>
      </c>
      <c r="C33" s="29">
        <v>1.6508350251050572</v>
      </c>
      <c r="D33" s="30" t="s">
        <v>105</v>
      </c>
      <c r="E33" s="31" t="s">
        <v>205</v>
      </c>
      <c r="F33" s="28" t="s">
        <v>109</v>
      </c>
      <c r="G33" s="138">
        <v>116.23529411764707</v>
      </c>
      <c r="H33" s="76">
        <v>40387</v>
      </c>
      <c r="I33" s="76">
        <v>40389</v>
      </c>
      <c r="J33" s="78">
        <f t="shared" si="26"/>
        <v>2.4762525376575857</v>
      </c>
      <c r="K33" s="32">
        <v>23.47</v>
      </c>
      <c r="L33" s="33">
        <f t="shared" si="27"/>
        <v>4.9525050753151714</v>
      </c>
      <c r="M33" s="34">
        <v>2</v>
      </c>
      <c r="N33" s="34"/>
      <c r="O33" s="35">
        <f t="shared" si="28"/>
        <v>34.667535527206198</v>
      </c>
      <c r="P33" s="35">
        <f t="shared" si="29"/>
        <v>0</v>
      </c>
      <c r="Q33" s="132">
        <v>3</v>
      </c>
      <c r="R33" s="78">
        <f ca="1">IF(AND(O33&gt;0,Q33&gt;0),SUMIF('Исходные данные'!$C$14:H33,Q33,'Исходные данные'!$C$18:$H$18),IF(O33=0,0,IF(Q33=0,"РОТ")))</f>
        <v>138.29984794728838</v>
      </c>
      <c r="S33" s="34"/>
      <c r="T33" s="33"/>
      <c r="U33" s="125">
        <f ca="1">O33*R33*'Исходные данные'!$C$39%</f>
        <v>0</v>
      </c>
      <c r="V33" s="125">
        <f>P33*T33*'Исходные данные'!$C$40%</f>
        <v>0</v>
      </c>
      <c r="W33" s="125">
        <f t="shared" ca="1" si="30"/>
        <v>1917.8059568479341</v>
      </c>
      <c r="X33" s="126">
        <f t="shared" si="31"/>
        <v>0</v>
      </c>
      <c r="Y33" s="125">
        <f t="shared" ca="1" si="32"/>
        <v>671.232084896777</v>
      </c>
      <c r="Z33" s="126">
        <f t="shared" si="33"/>
        <v>0</v>
      </c>
      <c r="AA33" s="125">
        <f t="shared" ca="1" si="34"/>
        <v>479.45148921198353</v>
      </c>
      <c r="AB33" s="126">
        <f t="shared" si="35"/>
        <v>0</v>
      </c>
      <c r="AC33" s="124">
        <v>2.8</v>
      </c>
      <c r="AD33" s="125">
        <f t="shared" ca="1" si="36"/>
        <v>22016.412384614283</v>
      </c>
      <c r="AE33" s="125">
        <f t="shared" si="37"/>
        <v>0</v>
      </c>
      <c r="AF33" s="35">
        <f t="shared" ca="1" si="38"/>
        <v>3289.808747126272</v>
      </c>
      <c r="AG33" s="70"/>
      <c r="AH33" s="35">
        <f t="shared" ca="1" si="39"/>
        <v>25306.221131740556</v>
      </c>
      <c r="AI33" s="35"/>
      <c r="AJ33" s="35">
        <f t="shared" ca="1" si="40"/>
        <v>7591.8663395221665</v>
      </c>
      <c r="AK33" s="70"/>
      <c r="AL33" s="35">
        <f t="shared" ca="1" si="41"/>
        <v>32898.087471262726</v>
      </c>
      <c r="AM33" s="70"/>
      <c r="AN33" s="32">
        <v>1.4</v>
      </c>
      <c r="AO33" s="33" t="e">
        <f>Нормы!#REF!</f>
        <v>#REF!</v>
      </c>
      <c r="AP33" s="74" t="e">
        <f t="shared" si="42"/>
        <v>#REF!</v>
      </c>
      <c r="AQ33" s="33" t="s">
        <v>152</v>
      </c>
      <c r="AR33" s="78" t="e">
        <f>'Исходные данные'!#REF!</f>
        <v>#REF!</v>
      </c>
      <c r="AS33" s="36" t="e">
        <f t="shared" si="43"/>
        <v>#REF!</v>
      </c>
      <c r="AT33" s="36"/>
      <c r="AU33" s="36"/>
      <c r="AV33" s="36"/>
      <c r="AW33" s="36"/>
      <c r="AX33" s="36">
        <f>аморт!$G$11</f>
        <v>181.91312849162011</v>
      </c>
      <c r="AY33" s="36">
        <f t="shared" si="44"/>
        <v>900.92569212120952</v>
      </c>
      <c r="AZ33" s="36">
        <f>аморт!G69</f>
        <v>19.673123809523812</v>
      </c>
      <c r="BA33" s="36">
        <f t="shared" si="45"/>
        <v>97.431245513970424</v>
      </c>
      <c r="BB33" s="38">
        <v>82.4</v>
      </c>
      <c r="BC33" s="36">
        <f t="shared" si="46"/>
        <v>2081.2407328504473</v>
      </c>
      <c r="BD33" s="38">
        <v>13.9</v>
      </c>
      <c r="BE33" s="36">
        <f t="shared" si="47"/>
        <v>351.08308478909248</v>
      </c>
      <c r="BF33" s="38">
        <f t="shared" si="48"/>
        <v>5.2868639999999996</v>
      </c>
      <c r="BG33" s="36">
        <f t="shared" si="49"/>
        <v>133.53442604175541</v>
      </c>
      <c r="BH33" s="36">
        <f>аморт!C69*10%/аморт!E69*L33*7</f>
        <v>20051.350326775108</v>
      </c>
      <c r="BI33" s="36" t="e">
        <f t="shared" ca="1" si="50"/>
        <v>#REF!</v>
      </c>
      <c r="BJ33" s="36" t="e">
        <f t="shared" ca="1" si="51"/>
        <v>#REF!</v>
      </c>
      <c r="BK33" s="38">
        <f t="shared" si="52"/>
        <v>0.346675355272062</v>
      </c>
      <c r="BL33" s="38">
        <v>5.0999999999999996</v>
      </c>
      <c r="BM33" s="39">
        <f t="shared" si="53"/>
        <v>25.257775884107371</v>
      </c>
    </row>
    <row r="34" spans="1:65" ht="22.5" x14ac:dyDescent="0.2">
      <c r="A34" s="20">
        <v>7</v>
      </c>
      <c r="B34" s="27" t="s">
        <v>91</v>
      </c>
      <c r="C34" s="29">
        <v>0.96862745098039227</v>
      </c>
      <c r="D34" s="30" t="s">
        <v>105</v>
      </c>
      <c r="E34" s="31" t="s">
        <v>115</v>
      </c>
      <c r="F34" s="28" t="s">
        <v>109</v>
      </c>
      <c r="G34" s="138">
        <v>116.23529411764707</v>
      </c>
      <c r="H34" s="76">
        <v>40389</v>
      </c>
      <c r="I34" s="76">
        <v>40395</v>
      </c>
      <c r="J34" s="78">
        <f>L34/N34</f>
        <v>5.8117647058823536</v>
      </c>
      <c r="K34" s="32">
        <v>20</v>
      </c>
      <c r="L34" s="33">
        <f t="shared" si="27"/>
        <v>5.8117647058823536</v>
      </c>
      <c r="M34" s="34">
        <v>1</v>
      </c>
      <c r="N34" s="34">
        <v>1</v>
      </c>
      <c r="O34" s="35">
        <f t="shared" si="28"/>
        <v>40.682352941176475</v>
      </c>
      <c r="P34" s="35">
        <f t="shared" si="29"/>
        <v>40.682352941176475</v>
      </c>
      <c r="Q34" s="34">
        <v>4</v>
      </c>
      <c r="R34" s="78">
        <f ca="1">IF(AND(O34&gt;0,Q34&gt;0),SUMIF('Исходные данные'!$C$14:H34,Q34,'Исходные данные'!$C$18:$H$18),IF(O34=0,0,IF(Q34=0,"РОТ")))</f>
        <v>156.08125696908263</v>
      </c>
      <c r="S34" s="34">
        <v>4</v>
      </c>
      <c r="T34" s="78">
        <f ca="1">IF(AND(N34&gt;0,P34&gt;0),SUMIF('Исходные данные'!$C$14:$J$30,S34,'Исходные данные'!$C$34:$J$41),IF(N34=0,0,IF(S34=0,"РОТ")))</f>
        <v>123.48200709579322</v>
      </c>
      <c r="U34" s="125">
        <f ca="1">O34*R34*'Исходные данные'!$C$39%</f>
        <v>0</v>
      </c>
      <c r="V34" s="125">
        <f ca="1">P34*T34*'Исходные данные'!$C$40%</f>
        <v>0</v>
      </c>
      <c r="W34" s="125">
        <f t="shared" ca="1" si="30"/>
        <v>2539.9011134074722</v>
      </c>
      <c r="X34" s="126">
        <f t="shared" ca="1" si="31"/>
        <v>2009.415437822367</v>
      </c>
      <c r="Y34" s="125">
        <f t="shared" ca="1" si="32"/>
        <v>888.9653896926153</v>
      </c>
      <c r="Z34" s="126">
        <f t="shared" ca="1" si="33"/>
        <v>351.6477016189142</v>
      </c>
      <c r="AA34" s="125">
        <f t="shared" ca="1" si="34"/>
        <v>634.97527835186804</v>
      </c>
      <c r="AB34" s="126">
        <f t="shared" ca="1" si="35"/>
        <v>502.35385945559176</v>
      </c>
      <c r="AC34" s="124">
        <v>2.8</v>
      </c>
      <c r="AD34" s="125">
        <f t="shared" ca="1" si="36"/>
        <v>29158.064781917783</v>
      </c>
      <c r="AE34" s="125">
        <f t="shared" ca="1" si="37"/>
        <v>22083.475661667813</v>
      </c>
      <c r="AF34" s="35">
        <f t="shared" ca="1" si="38"/>
        <v>4356.9522087923124</v>
      </c>
      <c r="AG34" s="70">
        <f ca="1">AE34*$AF$15</f>
        <v>3299.8296965710524</v>
      </c>
      <c r="AH34" s="35">
        <f t="shared" ca="1" si="39"/>
        <v>33515.016990710094</v>
      </c>
      <c r="AI34" s="35">
        <f ca="1">AE34+AG34</f>
        <v>25383.305358238867</v>
      </c>
      <c r="AJ34" s="35">
        <f t="shared" ca="1" si="40"/>
        <v>10054.505097213028</v>
      </c>
      <c r="AK34" s="70">
        <f ca="1">AI34*$AJ$15</f>
        <v>7614.9916074716602</v>
      </c>
      <c r="AL34" s="35">
        <f t="shared" ca="1" si="41"/>
        <v>43569.52208792312</v>
      </c>
      <c r="AM34" s="70">
        <f ca="1">AK34+AI34</f>
        <v>32998.296965710528</v>
      </c>
      <c r="AN34" s="32">
        <v>0.8</v>
      </c>
      <c r="AO34" s="33" t="e">
        <f>Нормы!#REF!</f>
        <v>#REF!</v>
      </c>
      <c r="AP34" s="74" t="e">
        <f t="shared" si="42"/>
        <v>#REF!</v>
      </c>
      <c r="AQ34" s="33" t="s">
        <v>152</v>
      </c>
      <c r="AR34" s="78" t="e">
        <f>'Исходные данные'!#REF!</f>
        <v>#REF!</v>
      </c>
      <c r="AS34" s="36" t="e">
        <f t="shared" si="43"/>
        <v>#REF!</v>
      </c>
      <c r="AT34" s="36"/>
      <c r="AU34" s="36"/>
      <c r="AV34" s="36"/>
      <c r="AW34" s="36"/>
      <c r="AX34" s="36">
        <f>аморт!$G$11</f>
        <v>181.91312849162011</v>
      </c>
      <c r="AY34" s="36">
        <f t="shared" si="44"/>
        <v>1057.2362997042394</v>
      </c>
      <c r="AZ34" s="36">
        <f>аморт!G23</f>
        <v>48.426111111111105</v>
      </c>
      <c r="BA34" s="36">
        <f t="shared" si="45"/>
        <v>281.44116339869282</v>
      </c>
      <c r="BB34" s="38">
        <v>82.4</v>
      </c>
      <c r="BC34" s="36">
        <f t="shared" si="46"/>
        <v>2442.3360000000002</v>
      </c>
      <c r="BD34" s="38">
        <v>13.9</v>
      </c>
      <c r="BE34" s="36">
        <f t="shared" si="47"/>
        <v>411.99600000000004</v>
      </c>
      <c r="BF34" s="38">
        <f t="shared" si="48"/>
        <v>5.2868639999999996</v>
      </c>
      <c r="BG34" s="36">
        <f t="shared" si="49"/>
        <v>156.70264895999998</v>
      </c>
      <c r="BH34" s="36">
        <f>аморт!C23*10%/аморт!E23*L34*7</f>
        <v>44681.599101176478</v>
      </c>
      <c r="BI34" s="36" t="e">
        <f t="shared" ca="1" si="50"/>
        <v>#REF!</v>
      </c>
      <c r="BJ34" s="36" t="e">
        <f t="shared" ca="1" si="51"/>
        <v>#REF!</v>
      </c>
      <c r="BK34" s="38">
        <f t="shared" si="52"/>
        <v>0.8136470588235295</v>
      </c>
      <c r="BL34" s="38">
        <v>5.0999999999999996</v>
      </c>
      <c r="BM34" s="39">
        <f t="shared" si="53"/>
        <v>29.64</v>
      </c>
    </row>
    <row r="35" spans="1:65" x14ac:dyDescent="0.2">
      <c r="A35" s="20">
        <v>8</v>
      </c>
      <c r="B35" s="27" t="s">
        <v>92</v>
      </c>
      <c r="C35" s="29">
        <v>0.98839535814325741</v>
      </c>
      <c r="D35" s="30" t="s">
        <v>105</v>
      </c>
      <c r="E35" s="31" t="s">
        <v>206</v>
      </c>
      <c r="F35" s="28" t="s">
        <v>109</v>
      </c>
      <c r="G35" s="138">
        <v>116.23529411764707</v>
      </c>
      <c r="H35" s="76">
        <v>40395</v>
      </c>
      <c r="I35" s="76">
        <v>40400</v>
      </c>
      <c r="J35" s="78">
        <f>L35/N35</f>
        <v>5.9303721488595444</v>
      </c>
      <c r="K35" s="32">
        <v>19.600000000000001</v>
      </c>
      <c r="L35" s="33">
        <f t="shared" si="27"/>
        <v>5.9303721488595444</v>
      </c>
      <c r="M35" s="34">
        <v>1</v>
      </c>
      <c r="N35" s="34">
        <v>1</v>
      </c>
      <c r="O35" s="35">
        <f t="shared" si="28"/>
        <v>41.512605042016808</v>
      </c>
      <c r="P35" s="35">
        <f t="shared" si="29"/>
        <v>41.512605042016808</v>
      </c>
      <c r="Q35" s="34">
        <v>4</v>
      </c>
      <c r="R35" s="78">
        <f ca="1">IF(AND(O35&gt;0,Q35&gt;0),SUMIF('Исходные данные'!$C$14:H34,Q35,'Исходные данные'!$C$18:$H$18),IF(O35=0,0,IF(Q35=0,"РОТ")))</f>
        <v>156.08125696908263</v>
      </c>
      <c r="S35" s="34">
        <v>4</v>
      </c>
      <c r="T35" s="78">
        <f ca="1">IF(AND(N35&gt;0,P35&gt;0),SUMIF('Исходные данные'!$C$14:$J$30,S35,'Исходные данные'!$C$34:$J$41),IF(N35=0,0,IF(S35=0,"РОТ")))</f>
        <v>123.48200709579322</v>
      </c>
      <c r="U35" s="125">
        <f ca="1">O35*R35*'Исходные данные'!$C$39%</f>
        <v>0</v>
      </c>
      <c r="V35" s="125">
        <f ca="1">P35*T35*'Исходные данные'!$C$40%</f>
        <v>0</v>
      </c>
      <c r="W35" s="125">
        <f t="shared" ca="1" si="30"/>
        <v>2591.7358300076248</v>
      </c>
      <c r="X35" s="126">
        <f t="shared" ca="1" si="31"/>
        <v>2050.4239161452724</v>
      </c>
      <c r="Y35" s="125">
        <f t="shared" ca="1" si="32"/>
        <v>907.1075405026686</v>
      </c>
      <c r="Z35" s="126">
        <f t="shared" ca="1" si="33"/>
        <v>358.82418532542266</v>
      </c>
      <c r="AA35" s="125">
        <f t="shared" ca="1" si="34"/>
        <v>647.93395750190621</v>
      </c>
      <c r="AB35" s="126">
        <f t="shared" ca="1" si="35"/>
        <v>512.6059790363181</v>
      </c>
      <c r="AC35" s="124">
        <v>2.8</v>
      </c>
      <c r="AD35" s="125">
        <f t="shared" ca="1" si="36"/>
        <v>29753.127328487528</v>
      </c>
      <c r="AE35" s="125">
        <f t="shared" ca="1" si="37"/>
        <v>22534.158838436542</v>
      </c>
      <c r="AF35" s="35">
        <f t="shared" ca="1" si="38"/>
        <v>4445.8696008084808</v>
      </c>
      <c r="AG35" s="70">
        <f ca="1">AE35*$AF$15</f>
        <v>3367.1731597663797</v>
      </c>
      <c r="AH35" s="35">
        <f t="shared" ca="1" si="39"/>
        <v>34198.996929296009</v>
      </c>
      <c r="AI35" s="35">
        <f ca="1">AE35+AG35</f>
        <v>25901.331998202921</v>
      </c>
      <c r="AJ35" s="35">
        <f t="shared" ca="1" si="40"/>
        <v>10259.699078788803</v>
      </c>
      <c r="AK35" s="70">
        <f ca="1">AI35*$AJ$15</f>
        <v>7770.3995994608758</v>
      </c>
      <c r="AL35" s="35">
        <f t="shared" ca="1" si="41"/>
        <v>44458.696008084808</v>
      </c>
      <c r="AM35" s="70">
        <f ca="1">AK35+AI35</f>
        <v>33671.731597663798</v>
      </c>
      <c r="AN35" s="32">
        <v>2.5</v>
      </c>
      <c r="AO35" s="33" t="e">
        <f>Нормы!#REF!</f>
        <v>#REF!</v>
      </c>
      <c r="AP35" s="74" t="e">
        <f t="shared" si="42"/>
        <v>#REF!</v>
      </c>
      <c r="AQ35" s="33" t="s">
        <v>152</v>
      </c>
      <c r="AR35" s="78" t="e">
        <f>'Исходные данные'!#REF!</f>
        <v>#REF!</v>
      </c>
      <c r="AS35" s="36" t="e">
        <f t="shared" si="43"/>
        <v>#REF!</v>
      </c>
      <c r="AT35" s="36"/>
      <c r="AU35" s="36"/>
      <c r="AV35" s="36"/>
      <c r="AW35" s="36"/>
      <c r="AX35" s="36">
        <f>аморт!$G$11</f>
        <v>181.91312849162011</v>
      </c>
      <c r="AY35" s="36">
        <f t="shared" si="44"/>
        <v>1078.8125507186116</v>
      </c>
      <c r="AZ35" s="36">
        <f>аморт!G73</f>
        <v>16.941761627906978</v>
      </c>
      <c r="BA35" s="36">
        <f t="shared" si="45"/>
        <v>100.47095131075687</v>
      </c>
      <c r="BB35" s="38">
        <v>82.4</v>
      </c>
      <c r="BC35" s="36">
        <f t="shared" si="46"/>
        <v>2492.1795918367347</v>
      </c>
      <c r="BD35" s="38">
        <v>13.9</v>
      </c>
      <c r="BE35" s="36">
        <f t="shared" si="47"/>
        <v>420.40408163265306</v>
      </c>
      <c r="BF35" s="38">
        <f t="shared" si="48"/>
        <v>5.2868639999999996</v>
      </c>
      <c r="BG35" s="36">
        <f t="shared" si="49"/>
        <v>159.90066220408161</v>
      </c>
      <c r="BH35" s="36">
        <f>аморт!C73*10%/аморт!E73*L35*7</f>
        <v>9677.3620302521031</v>
      </c>
      <c r="BI35" s="36" t="e">
        <f t="shared" ca="1" si="50"/>
        <v>#REF!</v>
      </c>
      <c r="BJ35" s="36" t="e">
        <f t="shared" ca="1" si="51"/>
        <v>#REF!</v>
      </c>
      <c r="BK35" s="38">
        <f t="shared" si="52"/>
        <v>0.83025210084033618</v>
      </c>
      <c r="BL35" s="38">
        <v>5.0999999999999996</v>
      </c>
      <c r="BM35" s="39">
        <f t="shared" si="53"/>
        <v>30.244897959183675</v>
      </c>
    </row>
    <row r="36" spans="1:65" s="54" customFormat="1" x14ac:dyDescent="0.2">
      <c r="A36" s="52"/>
      <c r="B36" s="53" t="s">
        <v>21</v>
      </c>
      <c r="C36" s="53"/>
      <c r="D36" s="53"/>
      <c r="E36" s="53"/>
      <c r="F36" s="55"/>
      <c r="G36" s="140"/>
      <c r="H36" s="56"/>
      <c r="I36" s="56"/>
      <c r="J36" s="65">
        <f>SUM(J28:J35)</f>
        <v>34.55735022854936</v>
      </c>
      <c r="K36" s="65"/>
      <c r="L36" s="65">
        <f>SUM(L28:L35)</f>
        <v>48.144713877318054</v>
      </c>
      <c r="M36" s="65">
        <f t="shared" ref="M36:BM36" si="54">SUM(M28:M35)</f>
        <v>11</v>
      </c>
      <c r="N36" s="65">
        <f t="shared" si="54"/>
        <v>2</v>
      </c>
      <c r="O36" s="65">
        <f t="shared" si="54"/>
        <v>337.01299714122638</v>
      </c>
      <c r="P36" s="65">
        <f t="shared" si="54"/>
        <v>82.194957983193291</v>
      </c>
      <c r="Q36" s="65"/>
      <c r="R36" s="65"/>
      <c r="S36" s="65"/>
      <c r="T36" s="65"/>
      <c r="U36" s="65">
        <f t="shared" ca="1" si="54"/>
        <v>0</v>
      </c>
      <c r="V36" s="65">
        <f t="shared" ca="1" si="54"/>
        <v>0</v>
      </c>
      <c r="W36" s="65">
        <f t="shared" ca="1" si="54"/>
        <v>20553.83183129222</v>
      </c>
      <c r="X36" s="65">
        <f t="shared" ca="1" si="54"/>
        <v>4059.8393539676395</v>
      </c>
      <c r="Y36" s="65">
        <f t="shared" ca="1" si="54"/>
        <v>7193.8411409522787</v>
      </c>
      <c r="Z36" s="65">
        <f t="shared" ca="1" si="54"/>
        <v>710.4718869443368</v>
      </c>
      <c r="AA36" s="65">
        <f t="shared" ca="1" si="54"/>
        <v>5138.457957823055</v>
      </c>
      <c r="AB36" s="65">
        <f t="shared" ca="1" si="54"/>
        <v>1014.9598384919099</v>
      </c>
      <c r="AC36" s="65"/>
      <c r="AD36" s="65">
        <f t="shared" ca="1" si="54"/>
        <v>235957.98942323471</v>
      </c>
      <c r="AE36" s="65">
        <f t="shared" ca="1" si="54"/>
        <v>44617.634500104352</v>
      </c>
      <c r="AF36" s="65">
        <f t="shared" ca="1" si="54"/>
        <v>35258.090373586791</v>
      </c>
      <c r="AG36" s="65">
        <f t="shared" ca="1" si="54"/>
        <v>6667.0028563374326</v>
      </c>
      <c r="AH36" s="65">
        <f t="shared" ca="1" si="54"/>
        <v>271216.07979682146</v>
      </c>
      <c r="AI36" s="65">
        <f t="shared" ca="1" si="54"/>
        <v>51284.637356441788</v>
      </c>
      <c r="AJ36" s="65">
        <f t="shared" ca="1" si="54"/>
        <v>81364.823939046444</v>
      </c>
      <c r="AK36" s="65">
        <f t="shared" ca="1" si="54"/>
        <v>15385.391206932536</v>
      </c>
      <c r="AL36" s="65">
        <f t="shared" ca="1" si="54"/>
        <v>352580.90373586793</v>
      </c>
      <c r="AM36" s="65">
        <f t="shared" ca="1" si="54"/>
        <v>66670.028563374333</v>
      </c>
      <c r="AN36" s="65"/>
      <c r="AO36" s="65"/>
      <c r="AP36" s="65" t="e">
        <f t="shared" si="54"/>
        <v>#REF!</v>
      </c>
      <c r="AQ36" s="65"/>
      <c r="AR36" s="65"/>
      <c r="AS36" s="65" t="e">
        <f t="shared" si="54"/>
        <v>#REF!</v>
      </c>
      <c r="AT36" s="65"/>
      <c r="AU36" s="65">
        <f>SUM(AU28:AU35)</f>
        <v>284.1586867305063</v>
      </c>
      <c r="AV36" s="65"/>
      <c r="AW36" s="65">
        <f>SUM(AW28:AW35)</f>
        <v>284158.68673050631</v>
      </c>
      <c r="AX36" s="65"/>
      <c r="AY36" s="65">
        <f t="shared" si="54"/>
        <v>8758.1555217568457</v>
      </c>
      <c r="AZ36" s="65"/>
      <c r="BA36" s="65">
        <f t="shared" si="54"/>
        <v>2992.0962880840621</v>
      </c>
      <c r="BB36" s="65"/>
      <c r="BC36" s="65">
        <f t="shared" si="54"/>
        <v>20232.334559804141</v>
      </c>
      <c r="BD36" s="65"/>
      <c r="BE36" s="65">
        <f t="shared" si="54"/>
        <v>3412.9787667630771</v>
      </c>
      <c r="BF36" s="65"/>
      <c r="BG36" s="65">
        <f t="shared" si="54"/>
        <v>1298.1262284002953</v>
      </c>
      <c r="BH36" s="65">
        <f t="shared" si="54"/>
        <v>177137.8023216846</v>
      </c>
      <c r="BI36" s="65" t="e">
        <f t="shared" ca="1" si="54"/>
        <v>#REF!</v>
      </c>
      <c r="BJ36" s="65"/>
      <c r="BK36" s="65"/>
      <c r="BL36" s="65"/>
      <c r="BM36" s="65">
        <f t="shared" si="54"/>
        <v>245.53804077432204</v>
      </c>
    </row>
    <row r="37" spans="1:65" s="7" customFormat="1" x14ac:dyDescent="0.2">
      <c r="A37" s="21"/>
      <c r="B37" s="535" t="s">
        <v>97</v>
      </c>
      <c r="C37" s="535"/>
      <c r="D37" s="535"/>
      <c r="E37" s="535"/>
      <c r="F37" s="22"/>
      <c r="G37" s="141"/>
      <c r="H37" s="23"/>
      <c r="I37" s="23"/>
      <c r="J37" s="23"/>
      <c r="K37" s="23"/>
      <c r="L37" s="33"/>
      <c r="M37" s="23"/>
      <c r="N37" s="23"/>
      <c r="O37" s="35"/>
      <c r="P37" s="41"/>
      <c r="Q37" s="25"/>
      <c r="R37" s="23"/>
      <c r="S37" s="25"/>
      <c r="T37" s="23"/>
      <c r="U37" s="23"/>
      <c r="V37" s="23"/>
      <c r="W37" s="23"/>
      <c r="X37" s="23"/>
      <c r="Y37" s="23"/>
      <c r="Z37" s="23"/>
      <c r="AA37" s="23"/>
      <c r="AB37" s="23"/>
      <c r="AC37" s="23"/>
      <c r="AD37" s="23"/>
      <c r="AE37" s="23"/>
      <c r="AF37" s="23"/>
      <c r="AG37" s="23"/>
      <c r="AH37" s="23"/>
      <c r="AI37" s="23"/>
      <c r="AJ37" s="23"/>
      <c r="AK37" s="23"/>
      <c r="AL37" s="23"/>
      <c r="AM37" s="23"/>
      <c r="AN37" s="23"/>
      <c r="AO37" s="23"/>
      <c r="AP37" s="74"/>
      <c r="AQ37" s="26"/>
      <c r="AR37" s="26"/>
      <c r="AS37" s="42"/>
      <c r="AT37" s="42"/>
      <c r="AU37" s="42"/>
      <c r="AV37" s="42"/>
      <c r="AW37" s="42"/>
      <c r="AX37" s="42"/>
      <c r="AY37" s="42"/>
      <c r="AZ37" s="42"/>
      <c r="BA37" s="42"/>
      <c r="BB37" s="42"/>
      <c r="BC37" s="42"/>
      <c r="BD37" s="42"/>
      <c r="BE37" s="42"/>
      <c r="BF37" s="42"/>
      <c r="BG37" s="42"/>
      <c r="BH37" s="42"/>
      <c r="BI37" s="42"/>
      <c r="BJ37" s="42"/>
      <c r="BK37" s="42"/>
      <c r="BL37" s="42"/>
      <c r="BM37" s="42"/>
    </row>
    <row r="38" spans="1:65" x14ac:dyDescent="0.2">
      <c r="A38" s="19">
        <v>1</v>
      </c>
      <c r="B38" s="27" t="s">
        <v>76</v>
      </c>
      <c r="C38" s="29">
        <v>4.166666666666667</v>
      </c>
      <c r="D38" s="30" t="s">
        <v>105</v>
      </c>
      <c r="E38" s="31" t="s">
        <v>198</v>
      </c>
      <c r="F38" s="28" t="s">
        <v>106</v>
      </c>
      <c r="G38" s="138">
        <v>100</v>
      </c>
      <c r="H38" s="76">
        <v>40374</v>
      </c>
      <c r="I38" s="76">
        <v>40377</v>
      </c>
      <c r="J38" s="78">
        <v>4</v>
      </c>
      <c r="K38" s="32">
        <v>6</v>
      </c>
      <c r="L38" s="33">
        <f t="shared" ref="L38:L45" si="55">G38/K38</f>
        <v>16.666666666666668</v>
      </c>
      <c r="M38" s="30">
        <v>4</v>
      </c>
      <c r="N38" s="30"/>
      <c r="O38" s="35">
        <f>IF(M38=0,0,L38*$O$15)</f>
        <v>116.66666666666667</v>
      </c>
      <c r="P38" s="35">
        <f t="shared" ref="P38:P45" si="56">IF(N38=0,0,L38*$O$15)</f>
        <v>0</v>
      </c>
      <c r="Q38" s="80">
        <v>4</v>
      </c>
      <c r="R38" s="78">
        <f ca="1">IF(AND(O38&gt;0,Q38&gt;0),SUMIF('Исходные данные'!$C$14:H36,Q38,'Исходные данные'!$C$18:$H$18),IF(O38=0,0,IF(Q38=0,"РОТ")))</f>
        <v>156.08125696908263</v>
      </c>
      <c r="S38" s="80"/>
      <c r="T38" s="30"/>
      <c r="U38" s="125">
        <f ca="1">O38*R38*'Исходные данные'!$C$39%</f>
        <v>0</v>
      </c>
      <c r="V38" s="125">
        <f>P38*T38*'Исходные данные'!$C$40%</f>
        <v>0</v>
      </c>
      <c r="W38" s="125">
        <f t="shared" ref="W38:W45" ca="1" si="57">O38*R38*$W$15</f>
        <v>7283.7919918905236</v>
      </c>
      <c r="X38" s="126">
        <f t="shared" ref="X38:X45" si="58">P38*T38*$W$15</f>
        <v>0</v>
      </c>
      <c r="Y38" s="125">
        <f t="shared" ref="Y38:Y45" ca="1" si="59">(O38*R38+U38+W38)*$Y$15</f>
        <v>2549.3271971616832</v>
      </c>
      <c r="Z38" s="126">
        <f t="shared" ref="Z38:Z45" si="60">(P38*T38+V38+X38)*$Z$15</f>
        <v>0</v>
      </c>
      <c r="AA38" s="125">
        <f t="shared" ref="AA38:AA45" ca="1" si="61">(O38*R38+U38)*$AA$15</f>
        <v>1820.9479979726309</v>
      </c>
      <c r="AB38" s="126">
        <f t="shared" ref="AB38:AB45" si="62">(P38*T38+V38)*$AA$15</f>
        <v>0</v>
      </c>
      <c r="AC38" s="124">
        <v>2.8</v>
      </c>
      <c r="AD38" s="125">
        <f t="shared" ref="AD38:AD45" ca="1" si="63">(O38*R38+U38+W38+Y38+AA38)*AC38</f>
        <v>83617.932066903202</v>
      </c>
      <c r="AE38" s="125">
        <f t="shared" ref="AE38:AE45" si="64">(P38*T38+V38+X38+Z38+AB38)*AC38</f>
        <v>0</v>
      </c>
      <c r="AF38" s="35">
        <f t="shared" ref="AF38:AF45" ca="1" si="65">AD38*$AF$15</f>
        <v>12494.633527238408</v>
      </c>
      <c r="AG38" s="70">
        <f t="shared" ref="AG38:AG45" ca="1" si="66">AE38*$AF$15</f>
        <v>0</v>
      </c>
      <c r="AH38" s="35">
        <f t="shared" ref="AH38:AH45" ca="1" si="67">AD38+AF38</f>
        <v>96112.565594141604</v>
      </c>
      <c r="AI38" s="35">
        <f t="shared" ref="AI38:AI45" ca="1" si="68">AE38+AG38</f>
        <v>0</v>
      </c>
      <c r="AJ38" s="35">
        <f t="shared" ref="AJ38:AJ45" ca="1" si="69">AH38*$AJ$15</f>
        <v>28833.769678242479</v>
      </c>
      <c r="AK38" s="70">
        <f t="shared" ref="AK38:AK45" ca="1" si="70">AI38*$AJ$15</f>
        <v>0</v>
      </c>
      <c r="AL38" s="35">
        <f t="shared" ref="AL38:AL45" ca="1" si="71">AH38+AJ38</f>
        <v>124946.33527238408</v>
      </c>
      <c r="AM38" s="70">
        <f t="shared" ref="AM38:AM45" ca="1" si="72">AK38+AI38</f>
        <v>0</v>
      </c>
      <c r="AN38" s="32">
        <v>6.5</v>
      </c>
      <c r="AO38" s="33" t="e">
        <f>Нормы!#REF!</f>
        <v>#REF!</v>
      </c>
      <c r="AP38" s="74" t="e">
        <f>(G38*AN38)*AO38/100</f>
        <v>#REF!</v>
      </c>
      <c r="AQ38" s="33" t="s">
        <v>152</v>
      </c>
      <c r="AR38" s="78" t="e">
        <f>'Исходные данные'!#REF!</f>
        <v>#REF!</v>
      </c>
      <c r="AS38" s="36" t="e">
        <f>AP38*AR38</f>
        <v>#REF!</v>
      </c>
      <c r="AT38" s="36"/>
      <c r="AU38" s="36"/>
      <c r="AV38" s="36"/>
      <c r="AW38" s="36"/>
      <c r="AX38" s="36">
        <f>аморт!$G$11</f>
        <v>181.91312849162011</v>
      </c>
      <c r="AY38" s="36">
        <f>AX38*L38</f>
        <v>3031.8854748603353</v>
      </c>
      <c r="AZ38" s="36">
        <f>аморт!$G$54</f>
        <v>43.453374999999994</v>
      </c>
      <c r="BA38" s="36">
        <f>AZ38*L38</f>
        <v>724.22291666666661</v>
      </c>
      <c r="BB38" s="38">
        <v>82.4</v>
      </c>
      <c r="BC38" s="36">
        <f>BB38*BM38</f>
        <v>7004.0000000000009</v>
      </c>
      <c r="BD38" s="38">
        <v>13.9</v>
      </c>
      <c r="BE38" s="36">
        <f>BD38*BM38</f>
        <v>1181.5</v>
      </c>
      <c r="BF38" s="38">
        <f>4.8*1.045*1.054</f>
        <v>5.2868639999999996</v>
      </c>
      <c r="BG38" s="36">
        <f>BF38*BM38</f>
        <v>449.38343999999995</v>
      </c>
      <c r="BH38" s="36">
        <f>аморт!$C$54*10%/аморт!$E$54*L38*7</f>
        <v>64890.373333333344</v>
      </c>
      <c r="BI38" s="36" t="e">
        <f t="shared" ref="BI38:BI45" ca="1" si="73">AL38+AM38+AS38+AY38+BA38+BC38+BE38+BG38+BH38+AW38</f>
        <v>#REF!</v>
      </c>
      <c r="BJ38" s="36" t="e">
        <f t="shared" ref="BJ38:BJ45" ca="1" si="74">BI38/$D$5</f>
        <v>#REF!</v>
      </c>
      <c r="BK38" s="38">
        <f t="shared" ref="BK38:BK45" si="75">(O38+P38)/$D$5</f>
        <v>1.1666666666666667</v>
      </c>
      <c r="BL38" s="38">
        <v>5.0999999999999996</v>
      </c>
      <c r="BM38" s="39">
        <f>BL38*L38</f>
        <v>85</v>
      </c>
    </row>
    <row r="39" spans="1:65" x14ac:dyDescent="0.2">
      <c r="A39" s="19">
        <v>2</v>
      </c>
      <c r="B39" s="27" t="s">
        <v>84</v>
      </c>
      <c r="C39" s="29">
        <v>0.41666666666666669</v>
      </c>
      <c r="D39" s="30" t="s">
        <v>105</v>
      </c>
      <c r="E39" s="31" t="s">
        <v>199</v>
      </c>
      <c r="F39" s="28" t="s">
        <v>106</v>
      </c>
      <c r="G39" s="138">
        <v>20</v>
      </c>
      <c r="H39" s="76">
        <v>40376</v>
      </c>
      <c r="I39" s="76">
        <v>40378</v>
      </c>
      <c r="J39" s="78">
        <v>3</v>
      </c>
      <c r="K39" s="32">
        <v>16</v>
      </c>
      <c r="L39" s="33">
        <f t="shared" si="55"/>
        <v>1.25</v>
      </c>
      <c r="M39" s="30">
        <v>1</v>
      </c>
      <c r="N39" s="30"/>
      <c r="O39" s="35">
        <f t="shared" ref="O39:O45" si="76">IF(M39=0,0,L39*$O$15)</f>
        <v>8.75</v>
      </c>
      <c r="P39" s="35">
        <f t="shared" si="56"/>
        <v>0</v>
      </c>
      <c r="Q39" s="80">
        <v>2</v>
      </c>
      <c r="R39" s="78">
        <f ca="1">IF(AND(O39&gt;0,Q39&gt;0),SUMIF('Исходные данные'!$C$14:H37,Q39,'Исходные данные'!$C$18:$H$18),IF(O39=0,0,IF(Q39=0,"РОТ")))</f>
        <v>128.66557526609228</v>
      </c>
      <c r="S39" s="80"/>
      <c r="T39" s="30"/>
      <c r="U39" s="125">
        <f ca="1">O39*R39*'Исходные данные'!$C$39%</f>
        <v>0</v>
      </c>
      <c r="V39" s="125">
        <f>P39*T39*'Исходные данные'!$C$40%</f>
        <v>0</v>
      </c>
      <c r="W39" s="125">
        <f t="shared" ca="1" si="57"/>
        <v>450.32951343132299</v>
      </c>
      <c r="X39" s="126">
        <f t="shared" si="58"/>
        <v>0</v>
      </c>
      <c r="Y39" s="125">
        <f t="shared" ca="1" si="59"/>
        <v>157.61532970096306</v>
      </c>
      <c r="Z39" s="126">
        <f t="shared" si="60"/>
        <v>0</v>
      </c>
      <c r="AA39" s="125">
        <f t="shared" ca="1" si="61"/>
        <v>112.58237835783075</v>
      </c>
      <c r="AB39" s="126">
        <f t="shared" si="62"/>
        <v>0</v>
      </c>
      <c r="AC39" s="124">
        <v>2.8</v>
      </c>
      <c r="AD39" s="125">
        <f t="shared" ca="1" si="63"/>
        <v>5169.7828141915879</v>
      </c>
      <c r="AE39" s="125">
        <f t="shared" si="64"/>
        <v>0</v>
      </c>
      <c r="AF39" s="35">
        <f t="shared" ca="1" si="65"/>
        <v>772.49628258035216</v>
      </c>
      <c r="AG39" s="70">
        <f t="shared" ca="1" si="66"/>
        <v>0</v>
      </c>
      <c r="AH39" s="35">
        <f t="shared" ca="1" si="67"/>
        <v>5942.2790967719402</v>
      </c>
      <c r="AI39" s="35">
        <f t="shared" ca="1" si="68"/>
        <v>0</v>
      </c>
      <c r="AJ39" s="35">
        <f t="shared" ca="1" si="69"/>
        <v>1782.6837290315821</v>
      </c>
      <c r="AK39" s="70">
        <f t="shared" ca="1" si="70"/>
        <v>0</v>
      </c>
      <c r="AL39" s="35">
        <f t="shared" ca="1" si="71"/>
        <v>7724.9628258035227</v>
      </c>
      <c r="AM39" s="70">
        <f t="shared" ca="1" si="72"/>
        <v>0</v>
      </c>
      <c r="AN39" s="33">
        <v>1.8</v>
      </c>
      <c r="AO39" s="33" t="e">
        <f>Нормы!#REF!</f>
        <v>#REF!</v>
      </c>
      <c r="AP39" s="74" t="e">
        <f>(G39*AN39)*AO39/100</f>
        <v>#REF!</v>
      </c>
      <c r="AQ39" s="33" t="s">
        <v>152</v>
      </c>
      <c r="AR39" s="78" t="e">
        <f>'Исходные данные'!#REF!</f>
        <v>#REF!</v>
      </c>
      <c r="AS39" s="36" t="e">
        <f>AP39*AR39</f>
        <v>#REF!</v>
      </c>
      <c r="AT39" s="36"/>
      <c r="AU39" s="36"/>
      <c r="AV39" s="36"/>
      <c r="AW39" s="36"/>
      <c r="AX39" s="36">
        <f>аморт!$G$11</f>
        <v>181.91312849162011</v>
      </c>
      <c r="AY39" s="36">
        <f>AX39*L39</f>
        <v>227.39141061452514</v>
      </c>
      <c r="AZ39" s="36">
        <f>аморт!$G$38</f>
        <v>144.06779999999998</v>
      </c>
      <c r="BA39" s="36">
        <f>AZ39*L39</f>
        <v>180.08474999999999</v>
      </c>
      <c r="BB39" s="38">
        <v>82.4</v>
      </c>
      <c r="BC39" s="36">
        <f>BB39*BM39</f>
        <v>525.30000000000007</v>
      </c>
      <c r="BD39" s="38">
        <v>13.9</v>
      </c>
      <c r="BE39" s="36">
        <f>BD39*BM39</f>
        <v>88.612499999999997</v>
      </c>
      <c r="BF39" s="38">
        <f>4.8*1.045*1.054</f>
        <v>5.2868639999999996</v>
      </c>
      <c r="BG39" s="36">
        <f>BF39*BM39</f>
        <v>33.703758000000001</v>
      </c>
      <c r="BH39" s="36">
        <f>аморт!$C$38*10%/аморт!$E$38*L39*7</f>
        <v>3025.4237999999996</v>
      </c>
      <c r="BI39" s="36" t="e">
        <f t="shared" ca="1" si="73"/>
        <v>#REF!</v>
      </c>
      <c r="BJ39" s="36" t="e">
        <f t="shared" ca="1" si="74"/>
        <v>#REF!</v>
      </c>
      <c r="BK39" s="38">
        <f t="shared" si="75"/>
        <v>8.7499999999999994E-2</v>
      </c>
      <c r="BL39" s="38">
        <v>5.0999999999999996</v>
      </c>
      <c r="BM39" s="39">
        <f>BL39*L39</f>
        <v>6.375</v>
      </c>
    </row>
    <row r="40" spans="1:65" x14ac:dyDescent="0.2">
      <c r="A40" s="19">
        <v>3</v>
      </c>
      <c r="B40" s="27" t="s">
        <v>85</v>
      </c>
      <c r="C40" s="29">
        <v>2.3809523809523809</v>
      </c>
      <c r="D40" s="30" t="s">
        <v>105</v>
      </c>
      <c r="E40" s="31" t="s">
        <v>199</v>
      </c>
      <c r="F40" s="28" t="s">
        <v>106</v>
      </c>
      <c r="G40" s="138">
        <v>100</v>
      </c>
      <c r="H40" s="76">
        <v>40377</v>
      </c>
      <c r="I40" s="76">
        <v>40379</v>
      </c>
      <c r="J40" s="78">
        <v>3</v>
      </c>
      <c r="K40" s="32">
        <v>14</v>
      </c>
      <c r="L40" s="33">
        <f t="shared" si="55"/>
        <v>7.1428571428571432</v>
      </c>
      <c r="M40" s="30">
        <v>3</v>
      </c>
      <c r="N40" s="30"/>
      <c r="O40" s="35">
        <f t="shared" si="76"/>
        <v>50</v>
      </c>
      <c r="P40" s="35">
        <f t="shared" si="56"/>
        <v>0</v>
      </c>
      <c r="Q40" s="80">
        <v>2</v>
      </c>
      <c r="R40" s="78">
        <f ca="1">IF(AND(O40&gt;0,Q40&gt;0),SUMIF('Исходные данные'!$C$14:H37,Q40,'Исходные данные'!$C$18:$H$18),IF(O40=0,0,IF(Q40=0,"РОТ")))</f>
        <v>128.66557526609228</v>
      </c>
      <c r="S40" s="80"/>
      <c r="T40" s="30"/>
      <c r="U40" s="125">
        <f ca="1">O40*R40*'Исходные данные'!$C$39%</f>
        <v>0</v>
      </c>
      <c r="V40" s="125">
        <f>P40*T40*'Исходные данные'!$C$40%</f>
        <v>0</v>
      </c>
      <c r="W40" s="125">
        <f t="shared" ca="1" si="57"/>
        <v>2573.3115053218457</v>
      </c>
      <c r="X40" s="126">
        <f t="shared" si="58"/>
        <v>0</v>
      </c>
      <c r="Y40" s="125">
        <f t="shared" ca="1" si="59"/>
        <v>900.65902686264599</v>
      </c>
      <c r="Z40" s="126">
        <f t="shared" si="60"/>
        <v>0</v>
      </c>
      <c r="AA40" s="125">
        <f t="shared" ca="1" si="61"/>
        <v>643.32787633046144</v>
      </c>
      <c r="AB40" s="126">
        <f t="shared" si="62"/>
        <v>0</v>
      </c>
      <c r="AC40" s="124">
        <v>2.8</v>
      </c>
      <c r="AD40" s="125">
        <f t="shared" ca="1" si="63"/>
        <v>29541.616081094784</v>
      </c>
      <c r="AE40" s="125">
        <f t="shared" si="64"/>
        <v>0</v>
      </c>
      <c r="AF40" s="35">
        <f t="shared" ca="1" si="65"/>
        <v>4414.2644718877254</v>
      </c>
      <c r="AG40" s="70">
        <f t="shared" ca="1" si="66"/>
        <v>0</v>
      </c>
      <c r="AH40" s="35">
        <f t="shared" ca="1" si="67"/>
        <v>33955.880552982511</v>
      </c>
      <c r="AI40" s="35">
        <f t="shared" ca="1" si="68"/>
        <v>0</v>
      </c>
      <c r="AJ40" s="35">
        <f t="shared" ca="1" si="69"/>
        <v>10186.764165894752</v>
      </c>
      <c r="AK40" s="70">
        <f t="shared" ca="1" si="70"/>
        <v>0</v>
      </c>
      <c r="AL40" s="35">
        <f t="shared" ca="1" si="71"/>
        <v>44142.644718877265</v>
      </c>
      <c r="AM40" s="70">
        <f t="shared" ca="1" si="72"/>
        <v>0</v>
      </c>
      <c r="AN40" s="32">
        <v>2.8</v>
      </c>
      <c r="AO40" s="33" t="e">
        <f>Нормы!#REF!</f>
        <v>#REF!</v>
      </c>
      <c r="AP40" s="74" t="e">
        <f>(G40*AN40)*AO40/100</f>
        <v>#REF!</v>
      </c>
      <c r="AQ40" s="33" t="s">
        <v>152</v>
      </c>
      <c r="AR40" s="78" t="e">
        <f>'Исходные данные'!#REF!</f>
        <v>#REF!</v>
      </c>
      <c r="AS40" s="36" t="e">
        <f>AP40*AR40</f>
        <v>#REF!</v>
      </c>
      <c r="AT40" s="36"/>
      <c r="AU40" s="36"/>
      <c r="AV40" s="36"/>
      <c r="AW40" s="36"/>
      <c r="AX40" s="36">
        <f>аморт!$G$11</f>
        <v>181.91312849162011</v>
      </c>
      <c r="AY40" s="36">
        <f>AX40*L40</f>
        <v>1299.3794892258579</v>
      </c>
      <c r="AZ40" s="36">
        <f>аморт!$G$38</f>
        <v>144.06779999999998</v>
      </c>
      <c r="BA40" s="36">
        <f>AZ40*L40</f>
        <v>1029.0557142857142</v>
      </c>
      <c r="BB40" s="38">
        <v>82.4</v>
      </c>
      <c r="BC40" s="36">
        <f>BB40*BM40</f>
        <v>3001.7142857142862</v>
      </c>
      <c r="BD40" s="38">
        <v>13.9</v>
      </c>
      <c r="BE40" s="36">
        <f>BD40*BM40</f>
        <v>506.35714285714289</v>
      </c>
      <c r="BF40" s="38">
        <f>4.8*1.045*1.054</f>
        <v>5.2868639999999996</v>
      </c>
      <c r="BG40" s="36">
        <f>BF40*BM40</f>
        <v>192.59290285714286</v>
      </c>
      <c r="BH40" s="36">
        <f>аморт!$C$38*10%/аморт!$E$38*L40*7</f>
        <v>17288.135999999999</v>
      </c>
      <c r="BI40" s="36" t="e">
        <f t="shared" ca="1" si="73"/>
        <v>#REF!</v>
      </c>
      <c r="BJ40" s="36" t="e">
        <f t="shared" ca="1" si="74"/>
        <v>#REF!</v>
      </c>
      <c r="BK40" s="38">
        <f t="shared" si="75"/>
        <v>0.5</v>
      </c>
      <c r="BL40" s="38">
        <v>5.0999999999999996</v>
      </c>
      <c r="BM40" s="39">
        <f>BL40*L40</f>
        <v>36.428571428571431</v>
      </c>
    </row>
    <row r="41" spans="1:65" x14ac:dyDescent="0.2">
      <c r="A41" s="19">
        <v>4</v>
      </c>
      <c r="B41" s="27" t="s">
        <v>93</v>
      </c>
      <c r="C41" s="138">
        <v>5</v>
      </c>
      <c r="D41" s="30" t="s">
        <v>118</v>
      </c>
      <c r="E41" s="31" t="s">
        <v>202</v>
      </c>
      <c r="F41" s="28" t="s">
        <v>106</v>
      </c>
      <c r="G41" s="138">
        <v>100</v>
      </c>
      <c r="H41" s="77">
        <v>40379</v>
      </c>
      <c r="I41" s="77">
        <v>40386</v>
      </c>
      <c r="J41" s="78">
        <f>L41/N41</f>
        <v>83.333333333333343</v>
      </c>
      <c r="K41" s="32">
        <v>1.2</v>
      </c>
      <c r="L41" s="33">
        <f t="shared" si="55"/>
        <v>83.333333333333343</v>
      </c>
      <c r="M41" s="30"/>
      <c r="N41" s="30">
        <v>1</v>
      </c>
      <c r="O41" s="35">
        <f t="shared" si="76"/>
        <v>0</v>
      </c>
      <c r="P41" s="35">
        <f t="shared" si="56"/>
        <v>583.33333333333337</v>
      </c>
      <c r="Q41" s="80"/>
      <c r="R41" s="30"/>
      <c r="S41" s="80">
        <v>2</v>
      </c>
      <c r="T41" s="78">
        <f ca="1">IF(AND(N41&gt;0,P41&gt;0),SUMIF('Исходные данные'!$C$14:$J$30,S41,'Исходные данные'!$C$34:$J$41),IF(N41=0,0,IF(S41=0,"РОТ")))</f>
        <v>105.700598073999</v>
      </c>
      <c r="U41" s="125">
        <f>O41*R41*'Исходные данные'!$C$39%</f>
        <v>0</v>
      </c>
      <c r="V41" s="125">
        <f ca="1">P41*T41*'Исходные данные'!$C$40%</f>
        <v>0</v>
      </c>
      <c r="W41" s="125">
        <f t="shared" si="57"/>
        <v>0</v>
      </c>
      <c r="X41" s="126">
        <f t="shared" ca="1" si="58"/>
        <v>24663.472883933104</v>
      </c>
      <c r="Y41" s="125">
        <f t="shared" si="59"/>
        <v>0</v>
      </c>
      <c r="Z41" s="126">
        <f t="shared" ca="1" si="60"/>
        <v>4316.1077546882934</v>
      </c>
      <c r="AA41" s="125">
        <f t="shared" si="61"/>
        <v>0</v>
      </c>
      <c r="AB41" s="126">
        <f t="shared" ca="1" si="62"/>
        <v>6165.8682209832759</v>
      </c>
      <c r="AC41" s="124">
        <v>2.8</v>
      </c>
      <c r="AD41" s="125">
        <f t="shared" si="63"/>
        <v>0</v>
      </c>
      <c r="AE41" s="125">
        <f t="shared" ca="1" si="64"/>
        <v>271051.56699442479</v>
      </c>
      <c r="AF41" s="35">
        <f t="shared" ca="1" si="65"/>
        <v>0</v>
      </c>
      <c r="AG41" s="70">
        <f t="shared" ca="1" si="66"/>
        <v>40501.958286523244</v>
      </c>
      <c r="AH41" s="35">
        <f t="shared" ca="1" si="67"/>
        <v>0</v>
      </c>
      <c r="AI41" s="35">
        <f t="shared" ca="1" si="68"/>
        <v>311553.52528094803</v>
      </c>
      <c r="AJ41" s="35">
        <f t="shared" ca="1" si="69"/>
        <v>0</v>
      </c>
      <c r="AK41" s="70">
        <f t="shared" ca="1" si="70"/>
        <v>93466.057584284412</v>
      </c>
      <c r="AL41" s="35">
        <f t="shared" ca="1" si="71"/>
        <v>0</v>
      </c>
      <c r="AM41" s="70">
        <f t="shared" ca="1" si="72"/>
        <v>405019.58286523243</v>
      </c>
      <c r="AN41" s="30"/>
      <c r="AO41" s="30"/>
      <c r="AP41" s="74"/>
      <c r="AQ41" s="37"/>
      <c r="AR41" s="37"/>
      <c r="AS41" s="36"/>
      <c r="AT41" s="36"/>
      <c r="AU41" s="36"/>
      <c r="AV41" s="36"/>
      <c r="AW41" s="36"/>
      <c r="AX41" s="36"/>
      <c r="AY41" s="36"/>
      <c r="AZ41" s="36"/>
      <c r="BA41" s="36"/>
      <c r="BB41" s="36"/>
      <c r="BC41" s="36"/>
      <c r="BD41" s="36"/>
      <c r="BE41" s="36"/>
      <c r="BF41" s="36"/>
      <c r="BG41" s="36"/>
      <c r="BH41" s="36"/>
      <c r="BI41" s="36">
        <f t="shared" ca="1" si="73"/>
        <v>405019.58286523243</v>
      </c>
      <c r="BJ41" s="36">
        <f t="shared" ca="1" si="74"/>
        <v>4050.1958286523241</v>
      </c>
      <c r="BK41" s="38">
        <f t="shared" si="75"/>
        <v>5.8333333333333339</v>
      </c>
      <c r="BL41" s="36"/>
      <c r="BM41" s="36"/>
    </row>
    <row r="42" spans="1:65" x14ac:dyDescent="0.2">
      <c r="A42" s="19">
        <v>5</v>
      </c>
      <c r="B42" s="27" t="s">
        <v>94</v>
      </c>
      <c r="C42" s="138">
        <v>5</v>
      </c>
      <c r="D42" s="30" t="s">
        <v>118</v>
      </c>
      <c r="E42" s="31" t="s">
        <v>207</v>
      </c>
      <c r="F42" s="28" t="s">
        <v>106</v>
      </c>
      <c r="G42" s="138">
        <v>20</v>
      </c>
      <c r="H42" s="77">
        <v>40387</v>
      </c>
      <c r="I42" s="77">
        <v>40389</v>
      </c>
      <c r="J42" s="78">
        <f>L42/N42</f>
        <v>8</v>
      </c>
      <c r="K42" s="32">
        <v>2.5</v>
      </c>
      <c r="L42" s="33">
        <f t="shared" si="55"/>
        <v>8</v>
      </c>
      <c r="M42" s="30"/>
      <c r="N42" s="30">
        <v>1</v>
      </c>
      <c r="O42" s="35">
        <f t="shared" si="76"/>
        <v>0</v>
      </c>
      <c r="P42" s="35">
        <f t="shared" si="56"/>
        <v>56</v>
      </c>
      <c r="Q42" s="80"/>
      <c r="R42" s="30"/>
      <c r="S42" s="80">
        <v>2</v>
      </c>
      <c r="T42" s="78">
        <f ca="1">IF(AND(N42&gt;0,P42&gt;0),SUMIF('Исходные данные'!$C$14:$J$30,S42,'Исходные данные'!$C$34:$J$41),IF(N42=0,0,IF(S42=0,"РОТ")))</f>
        <v>105.700598073999</v>
      </c>
      <c r="U42" s="125">
        <f>O42*R42*'Исходные данные'!$C$39%</f>
        <v>0</v>
      </c>
      <c r="V42" s="125">
        <f ca="1">P42*T42*'Исходные данные'!$C$40%</f>
        <v>0</v>
      </c>
      <c r="W42" s="125">
        <f t="shared" si="57"/>
        <v>0</v>
      </c>
      <c r="X42" s="126">
        <f t="shared" ca="1" si="58"/>
        <v>2367.6933968575777</v>
      </c>
      <c r="Y42" s="125">
        <f t="shared" si="59"/>
        <v>0</v>
      </c>
      <c r="Z42" s="126">
        <f t="shared" ca="1" si="60"/>
        <v>414.34634445007617</v>
      </c>
      <c r="AA42" s="125">
        <f t="shared" si="61"/>
        <v>0</v>
      </c>
      <c r="AB42" s="126">
        <f t="shared" ca="1" si="62"/>
        <v>591.92334921439442</v>
      </c>
      <c r="AC42" s="124">
        <v>2.8</v>
      </c>
      <c r="AD42" s="125">
        <f t="shared" si="63"/>
        <v>0</v>
      </c>
      <c r="AE42" s="125">
        <f t="shared" ca="1" si="64"/>
        <v>26020.950431464778</v>
      </c>
      <c r="AF42" s="35">
        <f t="shared" ca="1" si="65"/>
        <v>0</v>
      </c>
      <c r="AG42" s="70">
        <f t="shared" ca="1" si="66"/>
        <v>3888.1879955062309</v>
      </c>
      <c r="AH42" s="35">
        <f t="shared" ca="1" si="67"/>
        <v>0</v>
      </c>
      <c r="AI42" s="35">
        <f t="shared" ca="1" si="68"/>
        <v>29909.138426971011</v>
      </c>
      <c r="AJ42" s="35">
        <f t="shared" ca="1" si="69"/>
        <v>0</v>
      </c>
      <c r="AK42" s="70">
        <f t="shared" ca="1" si="70"/>
        <v>8972.7415280913028</v>
      </c>
      <c r="AL42" s="35">
        <f t="shared" ca="1" si="71"/>
        <v>0</v>
      </c>
      <c r="AM42" s="70">
        <f t="shared" ca="1" si="72"/>
        <v>38881.879955062315</v>
      </c>
      <c r="AN42" s="30"/>
      <c r="AO42" s="30"/>
      <c r="AP42" s="74"/>
      <c r="AQ42" s="37"/>
      <c r="AR42" s="37"/>
      <c r="AS42" s="36"/>
      <c r="AT42" s="36"/>
      <c r="AU42" s="36"/>
      <c r="AV42" s="36"/>
      <c r="AW42" s="36"/>
      <c r="AX42" s="36"/>
      <c r="AY42" s="36"/>
      <c r="AZ42" s="36"/>
      <c r="BA42" s="36"/>
      <c r="BB42" s="36"/>
      <c r="BC42" s="36"/>
      <c r="BD42" s="36"/>
      <c r="BE42" s="36"/>
      <c r="BF42" s="36"/>
      <c r="BG42" s="36"/>
      <c r="BH42" s="36"/>
      <c r="BI42" s="36">
        <f t="shared" ca="1" si="73"/>
        <v>38881.879955062315</v>
      </c>
      <c r="BJ42" s="36">
        <f t="shared" ca="1" si="74"/>
        <v>388.81879955062317</v>
      </c>
      <c r="BK42" s="38">
        <f t="shared" si="75"/>
        <v>0.56000000000000005</v>
      </c>
      <c r="BL42" s="36"/>
      <c r="BM42" s="36"/>
    </row>
    <row r="43" spans="1:65" x14ac:dyDescent="0.2">
      <c r="A43" s="19">
        <v>6</v>
      </c>
      <c r="B43" s="27" t="s">
        <v>95</v>
      </c>
      <c r="C43" s="138">
        <v>5</v>
      </c>
      <c r="D43" s="30" t="s">
        <v>118</v>
      </c>
      <c r="E43" s="31" t="s">
        <v>202</v>
      </c>
      <c r="F43" s="28" t="s">
        <v>109</v>
      </c>
      <c r="G43" s="138">
        <v>116.23529411764707</v>
      </c>
      <c r="H43" s="77">
        <v>40391</v>
      </c>
      <c r="I43" s="77">
        <v>40400</v>
      </c>
      <c r="J43" s="78">
        <f>L43/N43</f>
        <v>38.745098039215691</v>
      </c>
      <c r="K43" s="32">
        <v>3</v>
      </c>
      <c r="L43" s="33">
        <f t="shared" si="55"/>
        <v>38.745098039215691</v>
      </c>
      <c r="M43" s="30"/>
      <c r="N43" s="30">
        <v>1</v>
      </c>
      <c r="O43" s="35">
        <f t="shared" si="76"/>
        <v>0</v>
      </c>
      <c r="P43" s="35">
        <f t="shared" si="56"/>
        <v>271.21568627450984</v>
      </c>
      <c r="Q43" s="80"/>
      <c r="R43" s="30"/>
      <c r="S43" s="80">
        <v>4</v>
      </c>
      <c r="T43" s="78">
        <f ca="1">IF(AND(N43&gt;0,P43&gt;0),SUMIF('Исходные данные'!$C$14:$J$30,S43,'Исходные данные'!$C$34:$J$41),IF(N43=0,0,IF(S43=0,"РОТ")))</f>
        <v>123.48200709579322</v>
      </c>
      <c r="U43" s="125">
        <f>O43*R43*'Исходные данные'!$C$39%</f>
        <v>0</v>
      </c>
      <c r="V43" s="125">
        <f ca="1">P43*T43*'Исходные данные'!$C$40%</f>
        <v>0</v>
      </c>
      <c r="W43" s="125">
        <f t="shared" si="57"/>
        <v>0</v>
      </c>
      <c r="X43" s="126">
        <f t="shared" ca="1" si="58"/>
        <v>13396.102918815783</v>
      </c>
      <c r="Y43" s="125">
        <f t="shared" si="59"/>
        <v>0</v>
      </c>
      <c r="Z43" s="126">
        <f t="shared" ca="1" si="60"/>
        <v>2344.3180107927619</v>
      </c>
      <c r="AA43" s="125">
        <f t="shared" si="61"/>
        <v>0</v>
      </c>
      <c r="AB43" s="126">
        <f t="shared" ca="1" si="62"/>
        <v>3349.0257297039457</v>
      </c>
      <c r="AC43" s="124">
        <v>2.8</v>
      </c>
      <c r="AD43" s="125">
        <f t="shared" si="63"/>
        <v>0</v>
      </c>
      <c r="AE43" s="125">
        <f t="shared" ca="1" si="64"/>
        <v>147223.17107778543</v>
      </c>
      <c r="AF43" s="35">
        <f t="shared" ca="1" si="65"/>
        <v>0</v>
      </c>
      <c r="AG43" s="70">
        <f t="shared" ca="1" si="66"/>
        <v>21998.864643807017</v>
      </c>
      <c r="AH43" s="35">
        <f t="shared" ca="1" si="67"/>
        <v>0</v>
      </c>
      <c r="AI43" s="35">
        <f t="shared" ca="1" si="68"/>
        <v>169222.03572159246</v>
      </c>
      <c r="AJ43" s="35">
        <f t="shared" ca="1" si="69"/>
        <v>0</v>
      </c>
      <c r="AK43" s="70">
        <f t="shared" ca="1" si="70"/>
        <v>50766.610716477735</v>
      </c>
      <c r="AL43" s="35">
        <f t="shared" ca="1" si="71"/>
        <v>0</v>
      </c>
      <c r="AM43" s="70">
        <f t="shared" ca="1" si="72"/>
        <v>219988.64643807019</v>
      </c>
      <c r="AN43" s="30"/>
      <c r="AO43" s="30"/>
      <c r="AP43" s="74"/>
      <c r="AQ43" s="37"/>
      <c r="AR43" s="37"/>
      <c r="AS43" s="36"/>
      <c r="AT43" s="36"/>
      <c r="AU43" s="36"/>
      <c r="AV43" s="36"/>
      <c r="AW43" s="36"/>
      <c r="AX43" s="36"/>
      <c r="AY43" s="36"/>
      <c r="AZ43" s="36"/>
      <c r="BA43" s="36"/>
      <c r="BB43" s="36"/>
      <c r="BC43" s="36"/>
      <c r="BD43" s="36"/>
      <c r="BE43" s="36"/>
      <c r="BF43" s="36"/>
      <c r="BG43" s="36"/>
      <c r="BH43" s="36"/>
      <c r="BI43" s="36">
        <f t="shared" ca="1" si="73"/>
        <v>219988.64643807019</v>
      </c>
      <c r="BJ43" s="36">
        <f t="shared" ca="1" si="74"/>
        <v>2199.8864643807019</v>
      </c>
      <c r="BK43" s="38">
        <f t="shared" si="75"/>
        <v>2.7121568627450983</v>
      </c>
      <c r="BL43" s="36"/>
      <c r="BM43" s="36"/>
    </row>
    <row r="44" spans="1:65" x14ac:dyDescent="0.2">
      <c r="A44" s="19">
        <v>7</v>
      </c>
      <c r="B44" s="27" t="s">
        <v>94</v>
      </c>
      <c r="C44" s="138">
        <v>5</v>
      </c>
      <c r="D44" s="30" t="s">
        <v>118</v>
      </c>
      <c r="E44" s="31" t="s">
        <v>207</v>
      </c>
      <c r="F44" s="28" t="s">
        <v>106</v>
      </c>
      <c r="G44" s="138">
        <v>20</v>
      </c>
      <c r="H44" s="77">
        <v>40401</v>
      </c>
      <c r="I44" s="77">
        <v>40404</v>
      </c>
      <c r="J44" s="78">
        <f>L44/N44</f>
        <v>8</v>
      </c>
      <c r="K44" s="32">
        <v>2.5</v>
      </c>
      <c r="L44" s="33">
        <f t="shared" si="55"/>
        <v>8</v>
      </c>
      <c r="M44" s="30"/>
      <c r="N44" s="30">
        <v>1</v>
      </c>
      <c r="O44" s="35">
        <f t="shared" si="76"/>
        <v>0</v>
      </c>
      <c r="P44" s="35">
        <f t="shared" si="56"/>
        <v>56</v>
      </c>
      <c r="Q44" s="80"/>
      <c r="R44" s="30"/>
      <c r="S44" s="80">
        <v>2</v>
      </c>
      <c r="T44" s="78">
        <f ca="1">IF(AND(N44&gt;0,P44&gt;0),SUMIF('Исходные данные'!$C$14:$J$30,S44,'Исходные данные'!$C$34:$J$41),IF(N44=0,0,IF(S44=0,"РОТ")))</f>
        <v>105.700598073999</v>
      </c>
      <c r="U44" s="125">
        <f>O44*R44*'Исходные данные'!$C$39%</f>
        <v>0</v>
      </c>
      <c r="V44" s="125">
        <f ca="1">P44*T44*'Исходные данные'!$C$40%</f>
        <v>0</v>
      </c>
      <c r="W44" s="125">
        <f t="shared" si="57"/>
        <v>0</v>
      </c>
      <c r="X44" s="126">
        <f t="shared" ca="1" si="58"/>
        <v>2367.6933968575777</v>
      </c>
      <c r="Y44" s="125">
        <f t="shared" si="59"/>
        <v>0</v>
      </c>
      <c r="Z44" s="126">
        <f t="shared" ca="1" si="60"/>
        <v>414.34634445007617</v>
      </c>
      <c r="AA44" s="125">
        <f t="shared" si="61"/>
        <v>0</v>
      </c>
      <c r="AB44" s="126">
        <f t="shared" ca="1" si="62"/>
        <v>591.92334921439442</v>
      </c>
      <c r="AC44" s="124">
        <v>2.8</v>
      </c>
      <c r="AD44" s="125">
        <f t="shared" si="63"/>
        <v>0</v>
      </c>
      <c r="AE44" s="125">
        <f t="shared" ca="1" si="64"/>
        <v>26020.950431464778</v>
      </c>
      <c r="AF44" s="35">
        <f t="shared" ca="1" si="65"/>
        <v>0</v>
      </c>
      <c r="AG44" s="70">
        <f t="shared" ca="1" si="66"/>
        <v>3888.1879955062309</v>
      </c>
      <c r="AH44" s="35">
        <f t="shared" ca="1" si="67"/>
        <v>0</v>
      </c>
      <c r="AI44" s="35">
        <f t="shared" ca="1" si="68"/>
        <v>29909.138426971011</v>
      </c>
      <c r="AJ44" s="35">
        <f t="shared" ca="1" si="69"/>
        <v>0</v>
      </c>
      <c r="AK44" s="70">
        <f t="shared" ca="1" si="70"/>
        <v>8972.7415280913028</v>
      </c>
      <c r="AL44" s="35">
        <f t="shared" ca="1" si="71"/>
        <v>0</v>
      </c>
      <c r="AM44" s="70">
        <f t="shared" ca="1" si="72"/>
        <v>38881.879955062315</v>
      </c>
      <c r="AN44" s="30"/>
      <c r="AO44" s="30"/>
      <c r="AP44" s="74"/>
      <c r="AQ44" s="37"/>
      <c r="AR44" s="37"/>
      <c r="AS44" s="36"/>
      <c r="AT44" s="36"/>
      <c r="AU44" s="36"/>
      <c r="AV44" s="36"/>
      <c r="AW44" s="36"/>
      <c r="AX44" s="36"/>
      <c r="AY44" s="36"/>
      <c r="AZ44" s="36"/>
      <c r="BA44" s="36"/>
      <c r="BB44" s="36"/>
      <c r="BC44" s="36"/>
      <c r="BD44" s="36"/>
      <c r="BE44" s="36"/>
      <c r="BF44" s="36"/>
      <c r="BG44" s="36"/>
      <c r="BH44" s="36"/>
      <c r="BI44" s="36">
        <f t="shared" ca="1" si="73"/>
        <v>38881.879955062315</v>
      </c>
      <c r="BJ44" s="36">
        <f t="shared" ca="1" si="74"/>
        <v>388.81879955062317</v>
      </c>
      <c r="BK44" s="38">
        <f t="shared" si="75"/>
        <v>0.56000000000000005</v>
      </c>
      <c r="BL44" s="36"/>
      <c r="BM44" s="36"/>
    </row>
    <row r="45" spans="1:65" x14ac:dyDescent="0.2">
      <c r="A45" s="19">
        <v>8</v>
      </c>
      <c r="B45" s="27" t="s">
        <v>96</v>
      </c>
      <c r="C45" s="138">
        <v>5</v>
      </c>
      <c r="D45" s="30" t="s">
        <v>118</v>
      </c>
      <c r="E45" s="31" t="s">
        <v>202</v>
      </c>
      <c r="F45" s="28" t="s">
        <v>109</v>
      </c>
      <c r="G45" s="138">
        <v>116.23529411764707</v>
      </c>
      <c r="H45" s="77">
        <v>40404</v>
      </c>
      <c r="I45" s="77">
        <v>40408</v>
      </c>
      <c r="J45" s="78">
        <f>L45/N45</f>
        <v>19.372549019607845</v>
      </c>
      <c r="K45" s="32">
        <v>6</v>
      </c>
      <c r="L45" s="33">
        <f t="shared" si="55"/>
        <v>19.372549019607845</v>
      </c>
      <c r="M45" s="30"/>
      <c r="N45" s="30">
        <v>1</v>
      </c>
      <c r="O45" s="35">
        <f t="shared" si="76"/>
        <v>0</v>
      </c>
      <c r="P45" s="35">
        <f t="shared" si="56"/>
        <v>135.60784313725492</v>
      </c>
      <c r="Q45" s="80"/>
      <c r="R45" s="30"/>
      <c r="S45" s="80">
        <v>2</v>
      </c>
      <c r="T45" s="78">
        <f ca="1">IF(AND(N45&gt;0,P45&gt;0),SUMIF('Исходные данные'!$C$14:$J$30,S45,'Исходные данные'!$C$34:$J$41),IF(N45=0,0,IF(S45=0,"РОТ")))</f>
        <v>105.700598073999</v>
      </c>
      <c r="U45" s="125">
        <f>O45*R45*'Исходные данные'!$C$39%</f>
        <v>0</v>
      </c>
      <c r="V45" s="125">
        <f ca="1">P45*T45*'Исходные данные'!$C$40%</f>
        <v>0</v>
      </c>
      <c r="W45" s="125">
        <f t="shared" si="57"/>
        <v>0</v>
      </c>
      <c r="X45" s="126">
        <f t="shared" ca="1" si="58"/>
        <v>5733.5320492531546</v>
      </c>
      <c r="Y45" s="125">
        <f t="shared" si="59"/>
        <v>0</v>
      </c>
      <c r="Z45" s="126">
        <f t="shared" ca="1" si="60"/>
        <v>1003.3681086193021</v>
      </c>
      <c r="AA45" s="125">
        <f t="shared" si="61"/>
        <v>0</v>
      </c>
      <c r="AB45" s="126">
        <f t="shared" ca="1" si="62"/>
        <v>1433.3830123132886</v>
      </c>
      <c r="AC45" s="124">
        <v>2.8</v>
      </c>
      <c r="AD45" s="125">
        <f t="shared" si="63"/>
        <v>0</v>
      </c>
      <c r="AE45" s="125">
        <f t="shared" ca="1" si="64"/>
        <v>63011.517221292175</v>
      </c>
      <c r="AF45" s="35">
        <f t="shared" ca="1" si="65"/>
        <v>0</v>
      </c>
      <c r="AG45" s="70">
        <f t="shared" ca="1" si="66"/>
        <v>9415.514067549404</v>
      </c>
      <c r="AH45" s="35">
        <f t="shared" ca="1" si="67"/>
        <v>0</v>
      </c>
      <c r="AI45" s="35">
        <f t="shared" ca="1" si="68"/>
        <v>72427.031288841579</v>
      </c>
      <c r="AJ45" s="35">
        <f t="shared" ca="1" si="69"/>
        <v>0</v>
      </c>
      <c r="AK45" s="70">
        <f t="shared" ca="1" si="70"/>
        <v>21728.109386652472</v>
      </c>
      <c r="AL45" s="35">
        <f t="shared" ca="1" si="71"/>
        <v>0</v>
      </c>
      <c r="AM45" s="70">
        <f t="shared" ca="1" si="72"/>
        <v>94155.140675494054</v>
      </c>
      <c r="AN45" s="30"/>
      <c r="AO45" s="30"/>
      <c r="AP45" s="74"/>
      <c r="AQ45" s="37"/>
      <c r="AR45" s="37"/>
      <c r="AS45" s="36"/>
      <c r="AT45" s="36"/>
      <c r="AU45" s="36"/>
      <c r="AV45" s="36"/>
      <c r="AW45" s="36"/>
      <c r="AX45" s="36"/>
      <c r="AY45" s="36"/>
      <c r="AZ45" s="36"/>
      <c r="BA45" s="36"/>
      <c r="BB45" s="36"/>
      <c r="BC45" s="36"/>
      <c r="BD45" s="36"/>
      <c r="BE45" s="36"/>
      <c r="BF45" s="36"/>
      <c r="BG45" s="36"/>
      <c r="BH45" s="36"/>
      <c r="BI45" s="36">
        <f t="shared" ca="1" si="73"/>
        <v>94155.140675494054</v>
      </c>
      <c r="BJ45" s="36">
        <f t="shared" ca="1" si="74"/>
        <v>941.55140675494056</v>
      </c>
      <c r="BK45" s="38">
        <f t="shared" si="75"/>
        <v>1.3560784313725491</v>
      </c>
      <c r="BL45" s="36"/>
      <c r="BM45" s="36"/>
    </row>
    <row r="46" spans="1:65" s="54" customFormat="1" x14ac:dyDescent="0.2">
      <c r="A46" s="52"/>
      <c r="B46" s="53" t="s">
        <v>21</v>
      </c>
      <c r="C46" s="53"/>
      <c r="D46" s="53"/>
      <c r="E46" s="53"/>
      <c r="F46" s="55"/>
      <c r="G46" s="140"/>
      <c r="H46" s="56"/>
      <c r="I46" s="56"/>
      <c r="J46" s="65">
        <f>SUM(J38:J45)</f>
        <v>167.45098039215688</v>
      </c>
      <c r="K46" s="65"/>
      <c r="L46" s="65">
        <f>SUM(L38:L45)</f>
        <v>182.5105042016807</v>
      </c>
      <c r="M46" s="65">
        <f t="shared" ref="M46:BM46" si="77">SUM(M38:M45)</f>
        <v>8</v>
      </c>
      <c r="N46" s="65">
        <f t="shared" si="77"/>
        <v>5</v>
      </c>
      <c r="O46" s="65">
        <f t="shared" si="77"/>
        <v>175.41666666666669</v>
      </c>
      <c r="P46" s="65">
        <f t="shared" si="77"/>
        <v>1102.1568627450981</v>
      </c>
      <c r="Q46" s="65"/>
      <c r="R46" s="65"/>
      <c r="S46" s="65"/>
      <c r="T46" s="65"/>
      <c r="U46" s="65">
        <f t="shared" ca="1" si="77"/>
        <v>0</v>
      </c>
      <c r="V46" s="65">
        <f t="shared" ca="1" si="77"/>
        <v>0</v>
      </c>
      <c r="W46" s="65">
        <f t="shared" ca="1" si="77"/>
        <v>10307.433010643692</v>
      </c>
      <c r="X46" s="65">
        <f t="shared" ca="1" si="77"/>
        <v>48528.494645717197</v>
      </c>
      <c r="Y46" s="65">
        <f t="shared" ca="1" si="77"/>
        <v>3607.6015537252924</v>
      </c>
      <c r="Z46" s="65">
        <f t="shared" ca="1" si="77"/>
        <v>8492.4865630005097</v>
      </c>
      <c r="AA46" s="65">
        <f t="shared" ca="1" si="77"/>
        <v>2576.858252660923</v>
      </c>
      <c r="AB46" s="65">
        <f t="shared" ca="1" si="77"/>
        <v>12132.123661429299</v>
      </c>
      <c r="AC46" s="65"/>
      <c r="AD46" s="65">
        <f t="shared" ca="1" si="77"/>
        <v>118329.33096218956</v>
      </c>
      <c r="AE46" s="65">
        <f t="shared" ca="1" si="77"/>
        <v>533328.15615643188</v>
      </c>
      <c r="AF46" s="65">
        <f t="shared" ca="1" si="77"/>
        <v>17681.394281706485</v>
      </c>
      <c r="AG46" s="65">
        <f t="shared" ca="1" si="77"/>
        <v>79692.712988892134</v>
      </c>
      <c r="AH46" s="65">
        <f t="shared" ca="1" si="77"/>
        <v>136010.72524389604</v>
      </c>
      <c r="AI46" s="65">
        <f t="shared" ca="1" si="77"/>
        <v>613020.86914532422</v>
      </c>
      <c r="AJ46" s="65">
        <f t="shared" ca="1" si="77"/>
        <v>40803.217573168811</v>
      </c>
      <c r="AK46" s="65">
        <f t="shared" ca="1" si="77"/>
        <v>183906.26074359723</v>
      </c>
      <c r="AL46" s="65">
        <f t="shared" ca="1" si="77"/>
        <v>176813.94281706488</v>
      </c>
      <c r="AM46" s="65">
        <f t="shared" ca="1" si="77"/>
        <v>796927.12988892128</v>
      </c>
      <c r="AN46" s="65"/>
      <c r="AO46" s="65"/>
      <c r="AP46" s="65" t="e">
        <f t="shared" si="77"/>
        <v>#REF!</v>
      </c>
      <c r="AQ46" s="65"/>
      <c r="AR46" s="65"/>
      <c r="AS46" s="65" t="e">
        <f t="shared" si="77"/>
        <v>#REF!</v>
      </c>
      <c r="AT46" s="65"/>
      <c r="AU46" s="65"/>
      <c r="AV46" s="65"/>
      <c r="AW46" s="65"/>
      <c r="AX46" s="65"/>
      <c r="AY46" s="65">
        <f t="shared" si="77"/>
        <v>4558.6563747007185</v>
      </c>
      <c r="AZ46" s="65"/>
      <c r="BA46" s="65">
        <f t="shared" si="77"/>
        <v>1933.3633809523808</v>
      </c>
      <c r="BB46" s="65"/>
      <c r="BC46" s="65">
        <f t="shared" si="77"/>
        <v>10531.014285714287</v>
      </c>
      <c r="BD46" s="65"/>
      <c r="BE46" s="65">
        <f t="shared" si="77"/>
        <v>1776.4696428571428</v>
      </c>
      <c r="BF46" s="65"/>
      <c r="BG46" s="65">
        <f t="shared" si="77"/>
        <v>675.68010085714286</v>
      </c>
      <c r="BH46" s="65">
        <f t="shared" si="77"/>
        <v>85203.933133333339</v>
      </c>
      <c r="BI46" s="65" t="e">
        <f t="shared" ca="1" si="77"/>
        <v>#REF!</v>
      </c>
      <c r="BJ46" s="65"/>
      <c r="BK46" s="65"/>
      <c r="BL46" s="65"/>
      <c r="BM46" s="65">
        <f t="shared" si="77"/>
        <v>127.80357142857143</v>
      </c>
    </row>
    <row r="47" spans="1:65" s="7" customFormat="1" ht="11.25" customHeight="1" x14ac:dyDescent="0.2">
      <c r="A47" s="21"/>
      <c r="B47" s="535" t="s">
        <v>477</v>
      </c>
      <c r="C47" s="535"/>
      <c r="D47" s="535"/>
      <c r="E47" s="535"/>
      <c r="F47" s="22"/>
      <c r="G47" s="141"/>
      <c r="H47" s="23"/>
      <c r="I47" s="23"/>
      <c r="J47" s="23"/>
      <c r="K47" s="23"/>
      <c r="L47" s="33"/>
      <c r="M47" s="23"/>
      <c r="N47" s="23"/>
      <c r="O47" s="35"/>
      <c r="P47" s="23"/>
      <c r="Q47" s="2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74"/>
      <c r="AQ47" s="26"/>
      <c r="AR47" s="26"/>
      <c r="AS47" s="25"/>
      <c r="AT47" s="25"/>
      <c r="AU47" s="25"/>
      <c r="AV47" s="25"/>
      <c r="AW47" s="25"/>
      <c r="AX47" s="25"/>
      <c r="AY47" s="25"/>
      <c r="AZ47" s="25"/>
      <c r="BA47" s="25"/>
      <c r="BB47" s="25"/>
      <c r="BC47" s="25"/>
      <c r="BD47" s="25"/>
      <c r="BE47" s="25"/>
      <c r="BF47" s="25"/>
      <c r="BG47" s="25"/>
      <c r="BH47" s="25"/>
      <c r="BI47" s="25"/>
      <c r="BJ47" s="25"/>
      <c r="BK47" s="25"/>
      <c r="BL47" s="25"/>
      <c r="BM47" s="23"/>
    </row>
    <row r="48" spans="1:65" x14ac:dyDescent="0.2">
      <c r="A48" s="19">
        <v>1</v>
      </c>
      <c r="B48" s="27" t="s">
        <v>76</v>
      </c>
      <c r="C48" s="29">
        <v>10.288065843621398</v>
      </c>
      <c r="D48" s="30" t="s">
        <v>184</v>
      </c>
      <c r="E48" s="31" t="s">
        <v>478</v>
      </c>
      <c r="F48" s="28" t="s">
        <v>106</v>
      </c>
      <c r="G48" s="138">
        <v>100</v>
      </c>
      <c r="H48" s="76">
        <v>40374</v>
      </c>
      <c r="I48" s="76">
        <v>40377</v>
      </c>
      <c r="J48" s="78">
        <f>L48/M48</f>
        <v>30.864197530864196</v>
      </c>
      <c r="K48" s="32">
        <v>3.24</v>
      </c>
      <c r="L48" s="33">
        <f t="shared" ref="L48:L55" si="78">G48/K48</f>
        <v>30.864197530864196</v>
      </c>
      <c r="M48" s="34">
        <v>1</v>
      </c>
      <c r="N48" s="34"/>
      <c r="O48" s="35">
        <f t="shared" ref="O48:O55" si="79">IF(M48=0,0,L48*$O$15)</f>
        <v>216.04938271604937</v>
      </c>
      <c r="P48" s="35">
        <f t="shared" ref="P48:P55" si="80">IF(N48=0,0,L48*$O$15)</f>
        <v>0</v>
      </c>
      <c r="Q48" s="34">
        <v>4</v>
      </c>
      <c r="R48" s="78">
        <f ca="1">IF(AND(O48&gt;0,Q48&gt;0),SUMIF('Исходные данные'!$C$14:H45,Q48,'Исходные данные'!$C$18:$H$18),IF(O48=0,0,IF(Q48=0,"РОТ")))</f>
        <v>156.08125696908263</v>
      </c>
      <c r="S48" s="34"/>
      <c r="T48" s="78">
        <f>IF(AND(N48&gt;0,P48&gt;0),SUMIF('Исходные данные'!$C$14:$J$30,S48,'Исходные данные'!$C$34:$J$41),IF(N48=0,0,IF(S48=0,"РОТ")))</f>
        <v>0</v>
      </c>
      <c r="U48" s="125">
        <f ca="1">O48*R48*'Исходные данные'!$C$39%</f>
        <v>0</v>
      </c>
      <c r="V48" s="125">
        <f>P48*T48*'Исходные данные'!$C$40%</f>
        <v>0</v>
      </c>
      <c r="W48" s="125">
        <f t="shared" ref="W48:W55" ca="1" si="81">O48*R48*$W$15</f>
        <v>13488.503688686153</v>
      </c>
      <c r="X48" s="126">
        <f t="shared" ref="X48:X55" si="82">P48*T48*$W$15</f>
        <v>0</v>
      </c>
      <c r="Y48" s="125">
        <f t="shared" ref="Y48:Y55" ca="1" si="83">(O48*R48+U48+W48)*$Y$15</f>
        <v>4720.9762910401541</v>
      </c>
      <c r="Z48" s="126">
        <f t="shared" ref="Z48:Z55" si="84">(P48*T48+V48+X48)*$Z$15</f>
        <v>0</v>
      </c>
      <c r="AA48" s="125">
        <f t="shared" ref="AA48:AA55" ca="1" si="85">(O48*R48+U48)*$AA$15</f>
        <v>3372.1259221715381</v>
      </c>
      <c r="AB48" s="126">
        <f t="shared" ref="AB48:AB55" si="86">(P48*T48+V48)*$AA$15</f>
        <v>0</v>
      </c>
      <c r="AC48" s="124">
        <v>2.8</v>
      </c>
      <c r="AD48" s="125">
        <f t="shared" ref="AD48:AD55" ca="1" si="87">(O48*R48+U48+W48+Y48+AA48)*AC48</f>
        <v>154848.02234611704</v>
      </c>
      <c r="AE48" s="125">
        <f t="shared" ref="AE48:AE55" si="88">(P48*T48+V48+X48+Z48+AB48)*AC48</f>
        <v>0</v>
      </c>
      <c r="AF48" s="35">
        <f t="shared" ref="AF48:AF55" ca="1" si="89">AD48*$AF$15</f>
        <v>23138.210235626681</v>
      </c>
      <c r="AG48" s="70">
        <f t="shared" ref="AG48:AG55" ca="1" si="90">AE48*$AF$15</f>
        <v>0</v>
      </c>
      <c r="AH48" s="35">
        <f t="shared" ref="AH48:AH55" ca="1" si="91">AD48+AF48</f>
        <v>177986.23258174371</v>
      </c>
      <c r="AI48" s="35">
        <f t="shared" ref="AI48:AI55" ca="1" si="92">AE48+AG48</f>
        <v>0</v>
      </c>
      <c r="AJ48" s="35">
        <f t="shared" ref="AJ48:AJ55" ca="1" si="93">AH48*$AJ$15</f>
        <v>53395.869774523111</v>
      </c>
      <c r="AK48" s="70">
        <f t="shared" ref="AK48:AK55" ca="1" si="94">AI48*$AJ$15</f>
        <v>0</v>
      </c>
      <c r="AL48" s="35">
        <f t="shared" ref="AL48:AL55" ca="1" si="95">AH48+AJ48</f>
        <v>231382.10235626681</v>
      </c>
      <c r="AM48" s="70">
        <f t="shared" ref="AM48:AM55" ca="1" si="96">AK48+AI48</f>
        <v>0</v>
      </c>
      <c r="AN48" s="32">
        <v>2.0329999999999999</v>
      </c>
      <c r="AO48" s="33" t="e">
        <f>Нормы!#REF!</f>
        <v>#REF!</v>
      </c>
      <c r="AP48" s="74" t="e">
        <f>(G48*AN48)*AO48/100</f>
        <v>#REF!</v>
      </c>
      <c r="AQ48" s="33" t="s">
        <v>152</v>
      </c>
      <c r="AR48" s="78" t="e">
        <f>'Исходные данные'!#REF!</f>
        <v>#REF!</v>
      </c>
      <c r="AS48" s="36" t="e">
        <f>AP48*AR48</f>
        <v>#REF!</v>
      </c>
      <c r="AT48" s="36"/>
      <c r="AU48" s="36"/>
      <c r="AV48" s="36"/>
      <c r="AW48" s="36"/>
      <c r="AX48" s="36"/>
      <c r="AY48" s="36"/>
      <c r="AZ48" s="36">
        <f>аморт!G47</f>
        <v>86.069866071428578</v>
      </c>
      <c r="BA48" s="36">
        <f>AZ48*L48</f>
        <v>2656.4773478835978</v>
      </c>
      <c r="BB48" s="36"/>
      <c r="BC48" s="36"/>
      <c r="BD48" s="36"/>
      <c r="BE48" s="36"/>
      <c r="BF48" s="36"/>
      <c r="BG48" s="36"/>
      <c r="BH48" s="36">
        <f>аморт!C47*10%/аморт!E47*L48*7</f>
        <v>133291.40740740739</v>
      </c>
      <c r="BI48" s="36" t="e">
        <f t="shared" ref="BI48:BI55" ca="1" si="97">AL48+AM48+AS48+AY48+BA48+BC48+BE48+BG48+BH48+AW48</f>
        <v>#REF!</v>
      </c>
      <c r="BJ48" s="36" t="e">
        <f t="shared" ref="BJ48:BJ55" ca="1" si="98">BI48/$D$5</f>
        <v>#REF!</v>
      </c>
      <c r="BK48" s="38">
        <f t="shared" ref="BK48:BK55" si="99">(O48+P48)/$D$5</f>
        <v>2.1604938271604937</v>
      </c>
      <c r="BL48" s="38"/>
      <c r="BM48" s="39"/>
    </row>
    <row r="49" spans="1:65" x14ac:dyDescent="0.2">
      <c r="A49" s="20">
        <f>A48+1</f>
        <v>2</v>
      </c>
      <c r="B49" s="27" t="s">
        <v>84</v>
      </c>
      <c r="C49" s="29">
        <v>8.8183421516754841</v>
      </c>
      <c r="D49" s="30" t="s">
        <v>184</v>
      </c>
      <c r="E49" s="31" t="s">
        <v>479</v>
      </c>
      <c r="F49" s="28" t="s">
        <v>106</v>
      </c>
      <c r="G49" s="138">
        <v>100</v>
      </c>
      <c r="H49" s="76">
        <v>40376</v>
      </c>
      <c r="I49" s="76">
        <v>40378</v>
      </c>
      <c r="J49" s="78">
        <f>L49/M49</f>
        <v>26.455026455026452</v>
      </c>
      <c r="K49" s="32">
        <v>3.7800000000000002</v>
      </c>
      <c r="L49" s="33">
        <f t="shared" si="78"/>
        <v>26.455026455026452</v>
      </c>
      <c r="M49" s="34">
        <v>1</v>
      </c>
      <c r="N49" s="34"/>
      <c r="O49" s="35">
        <f t="shared" si="79"/>
        <v>185.18518518518516</v>
      </c>
      <c r="P49" s="35">
        <f t="shared" si="80"/>
        <v>0</v>
      </c>
      <c r="Q49" s="34">
        <v>1</v>
      </c>
      <c r="R49" s="78">
        <f ca="1">IF(AND(O49&gt;0,Q49&gt;0),SUMIF('Исходные данные'!$C$14:H45,Q49,'Исходные данные'!$C$18:$H$18),IF(O49=0,0,IF(Q49=0,"РОТ")))</f>
        <v>116.56701469842878</v>
      </c>
      <c r="S49" s="34"/>
      <c r="T49" s="78">
        <f>IF(AND(N49&gt;0,P49&gt;0),SUMIF('Исходные данные'!$C$14:$J$30,S49,'Исходные данные'!$C$34:$J$41),IF(N49=0,0,IF(S49=0,"РОТ")))</f>
        <v>0</v>
      </c>
      <c r="U49" s="125">
        <f ca="1">O49*R49*'Исходные данные'!$C$39%</f>
        <v>0</v>
      </c>
      <c r="V49" s="125">
        <f>P49*T49*'Исходные данные'!$C$40%</f>
        <v>0</v>
      </c>
      <c r="W49" s="125">
        <f t="shared" ca="1" si="81"/>
        <v>8634.5936813650933</v>
      </c>
      <c r="X49" s="126">
        <f t="shared" si="82"/>
        <v>0</v>
      </c>
      <c r="Y49" s="125">
        <f t="shared" ca="1" si="83"/>
        <v>3022.1077884777828</v>
      </c>
      <c r="Z49" s="126">
        <f t="shared" si="84"/>
        <v>0</v>
      </c>
      <c r="AA49" s="125">
        <f t="shared" ca="1" si="85"/>
        <v>2158.6484203412733</v>
      </c>
      <c r="AB49" s="126">
        <f t="shared" si="86"/>
        <v>0</v>
      </c>
      <c r="AC49" s="124">
        <v>2.8</v>
      </c>
      <c r="AD49" s="125">
        <f t="shared" ca="1" si="87"/>
        <v>99125.135462071281</v>
      </c>
      <c r="AE49" s="125">
        <f t="shared" si="88"/>
        <v>0</v>
      </c>
      <c r="AF49" s="35">
        <f t="shared" ca="1" si="89"/>
        <v>14811.801850654329</v>
      </c>
      <c r="AG49" s="70">
        <f t="shared" ca="1" si="90"/>
        <v>0</v>
      </c>
      <c r="AH49" s="35">
        <f t="shared" ca="1" si="91"/>
        <v>113936.93731272561</v>
      </c>
      <c r="AI49" s="35">
        <f t="shared" ca="1" si="92"/>
        <v>0</v>
      </c>
      <c r="AJ49" s="35">
        <f t="shared" ca="1" si="93"/>
        <v>34181.081193817685</v>
      </c>
      <c r="AK49" s="70">
        <f t="shared" ca="1" si="94"/>
        <v>0</v>
      </c>
      <c r="AL49" s="35">
        <f t="shared" ca="1" si="95"/>
        <v>148118.0185065433</v>
      </c>
      <c r="AM49" s="70">
        <f t="shared" ca="1" si="96"/>
        <v>0</v>
      </c>
      <c r="AN49" s="33">
        <v>2.3719999999999999</v>
      </c>
      <c r="AO49" s="33" t="e">
        <f>Нормы!#REF!</f>
        <v>#REF!</v>
      </c>
      <c r="AP49" s="74" t="e">
        <f>(G49*AN49)*AO49/100</f>
        <v>#REF!</v>
      </c>
      <c r="AQ49" s="33" t="s">
        <v>152</v>
      </c>
      <c r="AR49" s="78" t="e">
        <f>'Исходные данные'!#REF!</f>
        <v>#REF!</v>
      </c>
      <c r="AS49" s="36" t="e">
        <f>AP49*AR49</f>
        <v>#REF!</v>
      </c>
      <c r="AT49" s="36"/>
      <c r="AU49" s="36"/>
      <c r="AV49" s="36"/>
      <c r="AW49" s="36"/>
      <c r="AX49" s="36"/>
      <c r="AY49" s="36"/>
      <c r="AZ49" s="36"/>
      <c r="BA49" s="36">
        <f>AZ49*L49</f>
        <v>0</v>
      </c>
      <c r="BB49" s="36"/>
      <c r="BC49" s="36"/>
      <c r="BD49" s="36"/>
      <c r="BE49" s="36"/>
      <c r="BF49" s="36"/>
      <c r="BG49" s="36"/>
      <c r="BH49" s="36"/>
      <c r="BI49" s="36" t="e">
        <f t="shared" ca="1" si="97"/>
        <v>#REF!</v>
      </c>
      <c r="BJ49" s="36" t="e">
        <f t="shared" ca="1" si="98"/>
        <v>#REF!</v>
      </c>
      <c r="BK49" s="38">
        <f t="shared" si="99"/>
        <v>1.8518518518518516</v>
      </c>
      <c r="BL49" s="38"/>
      <c r="BM49" s="39"/>
    </row>
    <row r="50" spans="1:65" x14ac:dyDescent="0.2">
      <c r="A50" s="20">
        <f>A49+1</f>
        <v>3</v>
      </c>
      <c r="B50" s="27" t="s">
        <v>100</v>
      </c>
      <c r="C50" s="29">
        <v>8.8183421516754841</v>
      </c>
      <c r="D50" s="30" t="s">
        <v>184</v>
      </c>
      <c r="E50" s="31" t="s">
        <v>480</v>
      </c>
      <c r="F50" s="28" t="s">
        <v>106</v>
      </c>
      <c r="G50" s="138">
        <v>100</v>
      </c>
      <c r="H50" s="76">
        <v>40377</v>
      </c>
      <c r="I50" s="76">
        <v>40379</v>
      </c>
      <c r="J50" s="78">
        <f>L50/M50</f>
        <v>26.455026455026452</v>
      </c>
      <c r="K50" s="32">
        <v>3.7800000000000002</v>
      </c>
      <c r="L50" s="33">
        <f t="shared" si="78"/>
        <v>26.455026455026452</v>
      </c>
      <c r="M50" s="34">
        <v>1</v>
      </c>
      <c r="N50" s="34"/>
      <c r="O50" s="35">
        <f t="shared" si="79"/>
        <v>185.18518518518516</v>
      </c>
      <c r="P50" s="35">
        <f t="shared" si="80"/>
        <v>0</v>
      </c>
      <c r="Q50" s="34">
        <v>2</v>
      </c>
      <c r="R50" s="78">
        <f ca="1">IF(AND(O50&gt;0,Q50&gt;0),SUMIF('Исходные данные'!$C$14:H46,Q50,'Исходные данные'!$C$18:$H$18),IF(O50=0,0,IF(Q50=0,"РОТ")))</f>
        <v>128.66557526609228</v>
      </c>
      <c r="S50" s="34"/>
      <c r="T50" s="78">
        <f>IF(AND(N50&gt;0,P50&gt;0),SUMIF('Исходные данные'!$C$14:$J$30,S50,'Исходные данные'!$C$34:$J$41),IF(N50=0,0,IF(S50=0,"РОТ")))</f>
        <v>0</v>
      </c>
      <c r="U50" s="125">
        <f ca="1">O50*R50*'Исходные данные'!$C$39%</f>
        <v>0</v>
      </c>
      <c r="V50" s="125">
        <f>P50*T50*'Исходные данные'!$C$40%</f>
        <v>0</v>
      </c>
      <c r="W50" s="125">
        <f t="shared" ca="1" si="81"/>
        <v>9530.7833530438711</v>
      </c>
      <c r="X50" s="126">
        <f t="shared" si="82"/>
        <v>0</v>
      </c>
      <c r="Y50" s="125">
        <f t="shared" ca="1" si="83"/>
        <v>3335.7741735653553</v>
      </c>
      <c r="Z50" s="126">
        <f t="shared" si="84"/>
        <v>0</v>
      </c>
      <c r="AA50" s="125">
        <f t="shared" ca="1" si="85"/>
        <v>2382.6958382609678</v>
      </c>
      <c r="AB50" s="126">
        <f t="shared" si="86"/>
        <v>0</v>
      </c>
      <c r="AC50" s="124">
        <v>2.8</v>
      </c>
      <c r="AD50" s="125">
        <f t="shared" ca="1" si="87"/>
        <v>109413.39289294364</v>
      </c>
      <c r="AE50" s="125">
        <f t="shared" si="88"/>
        <v>0</v>
      </c>
      <c r="AF50" s="35">
        <f t="shared" ca="1" si="89"/>
        <v>16349.127673658242</v>
      </c>
      <c r="AG50" s="70">
        <f t="shared" ca="1" si="90"/>
        <v>0</v>
      </c>
      <c r="AH50" s="35">
        <f t="shared" ca="1" si="91"/>
        <v>125762.52056660187</v>
      </c>
      <c r="AI50" s="35">
        <f t="shared" ca="1" si="92"/>
        <v>0</v>
      </c>
      <c r="AJ50" s="35">
        <f t="shared" ca="1" si="93"/>
        <v>37728.756169980559</v>
      </c>
      <c r="AK50" s="70">
        <f t="shared" ca="1" si="94"/>
        <v>0</v>
      </c>
      <c r="AL50" s="35">
        <f t="shared" ca="1" si="95"/>
        <v>163491.27673658243</v>
      </c>
      <c r="AM50" s="70">
        <f t="shared" ca="1" si="96"/>
        <v>0</v>
      </c>
      <c r="AN50" s="33">
        <v>2.3719999999999999</v>
      </c>
      <c r="AO50" s="33" t="e">
        <f>Нормы!#REF!</f>
        <v>#REF!</v>
      </c>
      <c r="AP50" s="74" t="e">
        <f>(G50*AN50)*AO50/100</f>
        <v>#REF!</v>
      </c>
      <c r="AQ50" s="33" t="s">
        <v>152</v>
      </c>
      <c r="AR50" s="78" t="e">
        <f>'Исходные данные'!#REF!</f>
        <v>#REF!</v>
      </c>
      <c r="AS50" s="36" t="e">
        <f>AP50*AR50</f>
        <v>#REF!</v>
      </c>
      <c r="AT50" s="36"/>
      <c r="AU50" s="36"/>
      <c r="AV50" s="36"/>
      <c r="AW50" s="36"/>
      <c r="AX50" s="36"/>
      <c r="AY50" s="36"/>
      <c r="AZ50" s="36">
        <f>аморт!G39</f>
        <v>97.318579234972674</v>
      </c>
      <c r="BA50" s="36">
        <f>AZ50*L50</f>
        <v>2574.5655882267902</v>
      </c>
      <c r="BB50" s="36"/>
      <c r="BC50" s="36"/>
      <c r="BD50" s="36"/>
      <c r="BE50" s="36"/>
      <c r="BF50" s="36"/>
      <c r="BG50" s="36"/>
      <c r="BH50" s="36">
        <f>аморт!C39*10%/аморт!E39*L50*7</f>
        <v>79152.444444444438</v>
      </c>
      <c r="BI50" s="36" t="e">
        <f t="shared" ca="1" si="97"/>
        <v>#REF!</v>
      </c>
      <c r="BJ50" s="36" t="e">
        <f t="shared" ca="1" si="98"/>
        <v>#REF!</v>
      </c>
      <c r="BK50" s="38">
        <f t="shared" si="99"/>
        <v>1.8518518518518516</v>
      </c>
      <c r="BL50" s="38"/>
      <c r="BM50" s="39"/>
    </row>
    <row r="51" spans="1:65" x14ac:dyDescent="0.2">
      <c r="A51" s="20">
        <f>A50+1</f>
        <v>4</v>
      </c>
      <c r="B51" s="27" t="s">
        <v>93</v>
      </c>
      <c r="C51" s="29">
        <v>10</v>
      </c>
      <c r="D51" s="30" t="s">
        <v>118</v>
      </c>
      <c r="E51" s="31" t="s">
        <v>202</v>
      </c>
      <c r="F51" s="28" t="s">
        <v>106</v>
      </c>
      <c r="G51" s="138">
        <v>100</v>
      </c>
      <c r="H51" s="76">
        <v>40378</v>
      </c>
      <c r="I51" s="76">
        <v>40388</v>
      </c>
      <c r="J51" s="78">
        <f>L51/N51</f>
        <v>83.333333333333343</v>
      </c>
      <c r="K51" s="32">
        <v>1.2</v>
      </c>
      <c r="L51" s="33">
        <f t="shared" si="78"/>
        <v>83.333333333333343</v>
      </c>
      <c r="M51" s="34"/>
      <c r="N51" s="34">
        <v>1</v>
      </c>
      <c r="O51" s="35">
        <f t="shared" si="79"/>
        <v>0</v>
      </c>
      <c r="P51" s="35">
        <f t="shared" si="80"/>
        <v>583.33333333333337</v>
      </c>
      <c r="Q51" s="34"/>
      <c r="R51" s="33"/>
      <c r="S51" s="34">
        <v>2</v>
      </c>
      <c r="T51" s="78">
        <f ca="1">IF(AND(N51&gt;0,P51&gt;0),SUMIF('Исходные данные'!$C$14:$J$30,S51,'Исходные данные'!$C$34:$J$41),IF(N51=0,0,IF(S51=0,"РОТ")))</f>
        <v>105.700598073999</v>
      </c>
      <c r="U51" s="125">
        <f>O51*R51*'Исходные данные'!$C$39%</f>
        <v>0</v>
      </c>
      <c r="V51" s="125">
        <f ca="1">P51*T51*'Исходные данные'!$C$40%</f>
        <v>0</v>
      </c>
      <c r="W51" s="125">
        <f t="shared" si="81"/>
        <v>0</v>
      </c>
      <c r="X51" s="126">
        <f t="shared" ca="1" si="82"/>
        <v>24663.472883933104</v>
      </c>
      <c r="Y51" s="125">
        <f t="shared" si="83"/>
        <v>0</v>
      </c>
      <c r="Z51" s="126">
        <f t="shared" ca="1" si="84"/>
        <v>4316.1077546882934</v>
      </c>
      <c r="AA51" s="125">
        <f t="shared" si="85"/>
        <v>0</v>
      </c>
      <c r="AB51" s="126">
        <f t="shared" ca="1" si="86"/>
        <v>6165.8682209832759</v>
      </c>
      <c r="AC51" s="124">
        <v>2.8</v>
      </c>
      <c r="AD51" s="125">
        <f t="shared" si="87"/>
        <v>0</v>
      </c>
      <c r="AE51" s="125">
        <f t="shared" ca="1" si="88"/>
        <v>271051.56699442479</v>
      </c>
      <c r="AF51" s="35">
        <f t="shared" ca="1" si="89"/>
        <v>0</v>
      </c>
      <c r="AG51" s="70">
        <f t="shared" ca="1" si="90"/>
        <v>40501.958286523244</v>
      </c>
      <c r="AH51" s="35">
        <f t="shared" ca="1" si="91"/>
        <v>0</v>
      </c>
      <c r="AI51" s="35">
        <f t="shared" ca="1" si="92"/>
        <v>311553.52528094803</v>
      </c>
      <c r="AJ51" s="35">
        <f t="shared" ca="1" si="93"/>
        <v>0</v>
      </c>
      <c r="AK51" s="70">
        <f t="shared" ca="1" si="94"/>
        <v>93466.057584284412</v>
      </c>
      <c r="AL51" s="35">
        <f t="shared" ca="1" si="95"/>
        <v>0</v>
      </c>
      <c r="AM51" s="70">
        <f t="shared" ca="1" si="96"/>
        <v>405019.58286523243</v>
      </c>
      <c r="AN51" s="32"/>
      <c r="AO51" s="32"/>
      <c r="AP51" s="74"/>
      <c r="AQ51" s="37"/>
      <c r="AR51" s="37"/>
      <c r="AS51" s="36"/>
      <c r="AT51" s="36"/>
      <c r="AU51" s="36"/>
      <c r="AV51" s="36"/>
      <c r="AW51" s="36"/>
      <c r="AX51" s="36"/>
      <c r="AY51" s="36"/>
      <c r="AZ51" s="36"/>
      <c r="BA51" s="36"/>
      <c r="BB51" s="36"/>
      <c r="BC51" s="36"/>
      <c r="BD51" s="36"/>
      <c r="BE51" s="36"/>
      <c r="BF51" s="36"/>
      <c r="BG51" s="36"/>
      <c r="BH51" s="36"/>
      <c r="BI51" s="36">
        <f t="shared" ca="1" si="97"/>
        <v>405019.58286523243</v>
      </c>
      <c r="BJ51" s="36">
        <f t="shared" ca="1" si="98"/>
        <v>4050.1958286523241</v>
      </c>
      <c r="BK51" s="38">
        <f t="shared" si="99"/>
        <v>5.8333333333333339</v>
      </c>
      <c r="BL51" s="38"/>
      <c r="BM51" s="39"/>
    </row>
    <row r="52" spans="1:65" x14ac:dyDescent="0.2">
      <c r="A52" s="20">
        <f>A51+1</f>
        <v>5</v>
      </c>
      <c r="B52" s="27" t="s">
        <v>94</v>
      </c>
      <c r="C52" s="29">
        <v>10</v>
      </c>
      <c r="D52" s="30" t="s">
        <v>118</v>
      </c>
      <c r="E52" s="31" t="s">
        <v>207</v>
      </c>
      <c r="F52" s="28" t="s">
        <v>106</v>
      </c>
      <c r="G52" s="138">
        <v>100</v>
      </c>
      <c r="H52" s="76">
        <v>40378</v>
      </c>
      <c r="I52" s="76">
        <v>40388</v>
      </c>
      <c r="J52" s="78">
        <f>L52/N52</f>
        <v>40</v>
      </c>
      <c r="K52" s="32">
        <v>2.5</v>
      </c>
      <c r="L52" s="33">
        <f t="shared" si="78"/>
        <v>40</v>
      </c>
      <c r="M52" s="34"/>
      <c r="N52" s="34">
        <v>1</v>
      </c>
      <c r="O52" s="35">
        <f t="shared" si="79"/>
        <v>0</v>
      </c>
      <c r="P52" s="35">
        <f t="shared" si="80"/>
        <v>280</v>
      </c>
      <c r="Q52" s="34"/>
      <c r="R52" s="33"/>
      <c r="S52" s="34">
        <v>2</v>
      </c>
      <c r="T52" s="78">
        <f ca="1">IF(AND(N52&gt;0,P52&gt;0),SUMIF('Исходные данные'!$C$14:$J$30,S52,'Исходные данные'!$C$34:$J$41),IF(N52=0,0,IF(S52=0,"РОТ")))</f>
        <v>105.700598073999</v>
      </c>
      <c r="U52" s="125">
        <f>O52*R52*'Исходные данные'!$C$39%</f>
        <v>0</v>
      </c>
      <c r="V52" s="125">
        <f ca="1">P52*T52*'Исходные данные'!$C$40%</f>
        <v>0</v>
      </c>
      <c r="W52" s="125">
        <f t="shared" si="81"/>
        <v>0</v>
      </c>
      <c r="X52" s="126">
        <f t="shared" ca="1" si="82"/>
        <v>11838.466984287888</v>
      </c>
      <c r="Y52" s="125">
        <f t="shared" si="83"/>
        <v>0</v>
      </c>
      <c r="Z52" s="126">
        <f t="shared" ca="1" si="84"/>
        <v>2071.7317222503802</v>
      </c>
      <c r="AA52" s="125">
        <f t="shared" si="85"/>
        <v>0</v>
      </c>
      <c r="AB52" s="126">
        <f t="shared" ca="1" si="86"/>
        <v>2959.6167460719721</v>
      </c>
      <c r="AC52" s="124">
        <v>2.8</v>
      </c>
      <c r="AD52" s="125">
        <f t="shared" si="87"/>
        <v>0</v>
      </c>
      <c r="AE52" s="125">
        <f t="shared" ca="1" si="88"/>
        <v>130104.75215732388</v>
      </c>
      <c r="AF52" s="35">
        <f t="shared" ca="1" si="89"/>
        <v>0</v>
      </c>
      <c r="AG52" s="70">
        <f t="shared" ca="1" si="90"/>
        <v>19440.93997753115</v>
      </c>
      <c r="AH52" s="35">
        <f t="shared" ca="1" si="91"/>
        <v>0</v>
      </c>
      <c r="AI52" s="35">
        <f t="shared" ca="1" si="92"/>
        <v>149545.69213485502</v>
      </c>
      <c r="AJ52" s="35">
        <f t="shared" ca="1" si="93"/>
        <v>0</v>
      </c>
      <c r="AK52" s="70">
        <f t="shared" ca="1" si="94"/>
        <v>44863.707640456509</v>
      </c>
      <c r="AL52" s="35">
        <f t="shared" ca="1" si="95"/>
        <v>0</v>
      </c>
      <c r="AM52" s="70">
        <f t="shared" ca="1" si="96"/>
        <v>194409.39977531153</v>
      </c>
      <c r="AN52" s="32"/>
      <c r="AO52" s="32"/>
      <c r="AP52" s="74"/>
      <c r="AQ52" s="37"/>
      <c r="AR52" s="37"/>
      <c r="AS52" s="36"/>
      <c r="AT52" s="36"/>
      <c r="AU52" s="36"/>
      <c r="AV52" s="36"/>
      <c r="AW52" s="36"/>
      <c r="AX52" s="36"/>
      <c r="AY52" s="36"/>
      <c r="AZ52" s="36"/>
      <c r="BA52" s="36"/>
      <c r="BB52" s="36"/>
      <c r="BC52" s="36"/>
      <c r="BD52" s="36"/>
      <c r="BE52" s="36"/>
      <c r="BF52" s="36"/>
      <c r="BG52" s="36"/>
      <c r="BH52" s="36"/>
      <c r="BI52" s="36">
        <f t="shared" ca="1" si="97"/>
        <v>194409.39977531153</v>
      </c>
      <c r="BJ52" s="36">
        <f t="shared" ca="1" si="98"/>
        <v>1944.0939977531152</v>
      </c>
      <c r="BK52" s="38">
        <f t="shared" si="99"/>
        <v>2.8</v>
      </c>
      <c r="BL52" s="38"/>
      <c r="BM52" s="39"/>
    </row>
    <row r="53" spans="1:65" x14ac:dyDescent="0.2">
      <c r="A53" s="20">
        <v>6</v>
      </c>
      <c r="B53" s="27" t="s">
        <v>101</v>
      </c>
      <c r="C53" s="29">
        <v>10</v>
      </c>
      <c r="D53" s="30" t="s">
        <v>118</v>
      </c>
      <c r="E53" s="31" t="s">
        <v>211</v>
      </c>
      <c r="F53" s="28" t="s">
        <v>109</v>
      </c>
      <c r="G53" s="138">
        <v>11.528532312613063</v>
      </c>
      <c r="H53" s="76">
        <v>40389</v>
      </c>
      <c r="I53" s="76">
        <v>40397</v>
      </c>
      <c r="J53" s="78">
        <f>L53/N53</f>
        <v>1.9214220521021772</v>
      </c>
      <c r="K53" s="32">
        <v>3</v>
      </c>
      <c r="L53" s="33">
        <f>G53/K53</f>
        <v>3.8428441042043544</v>
      </c>
      <c r="M53" s="34"/>
      <c r="N53" s="34">
        <v>2</v>
      </c>
      <c r="O53" s="35">
        <f t="shared" si="79"/>
        <v>0</v>
      </c>
      <c r="P53" s="35">
        <f t="shared" si="80"/>
        <v>26.899908729430482</v>
      </c>
      <c r="Q53" s="34"/>
      <c r="R53" s="33"/>
      <c r="S53" s="34">
        <v>3</v>
      </c>
      <c r="T53" s="78">
        <f ca="1">IF(AND(N53&gt;0,P53&gt;0),SUMIF('Исходные данные'!$C$14:$J$30,S53,'Исходные данные'!$C$34:$J$41),IF(N53=0,0,IF(S53=0,"РОТ")))</f>
        <v>113.60344652812975</v>
      </c>
      <c r="U53" s="125">
        <f>O53*R53*'Исходные данные'!$C$39%</f>
        <v>0</v>
      </c>
      <c r="V53" s="125">
        <f ca="1">P53*T53*'Исходные данные'!$C$40%</f>
        <v>0</v>
      </c>
      <c r="W53" s="125">
        <f t="shared" si="81"/>
        <v>0</v>
      </c>
      <c r="X53" s="126">
        <f t="shared" ca="1" si="82"/>
        <v>1222.3689371821706</v>
      </c>
      <c r="Y53" s="125">
        <f t="shared" si="83"/>
        <v>0</v>
      </c>
      <c r="Z53" s="126">
        <f t="shared" ca="1" si="84"/>
        <v>213.91456400687986</v>
      </c>
      <c r="AA53" s="125">
        <f t="shared" si="85"/>
        <v>0</v>
      </c>
      <c r="AB53" s="126">
        <f t="shared" ca="1" si="86"/>
        <v>305.59223429554265</v>
      </c>
      <c r="AC53" s="124">
        <v>2.8</v>
      </c>
      <c r="AD53" s="125">
        <f t="shared" si="87"/>
        <v>0</v>
      </c>
      <c r="AE53" s="125">
        <f t="shared" ca="1" si="88"/>
        <v>13433.834619632054</v>
      </c>
      <c r="AF53" s="35">
        <f t="shared" ca="1" si="89"/>
        <v>0</v>
      </c>
      <c r="AG53" s="70">
        <f t="shared" ca="1" si="90"/>
        <v>2007.354598335824</v>
      </c>
      <c r="AH53" s="35">
        <f t="shared" ca="1" si="91"/>
        <v>0</v>
      </c>
      <c r="AI53" s="35">
        <f t="shared" ca="1" si="92"/>
        <v>15441.189217967878</v>
      </c>
      <c r="AJ53" s="35">
        <f t="shared" ca="1" si="93"/>
        <v>0</v>
      </c>
      <c r="AK53" s="70">
        <f t="shared" ca="1" si="94"/>
        <v>4632.3567653903629</v>
      </c>
      <c r="AL53" s="35">
        <f t="shared" ca="1" si="95"/>
        <v>0</v>
      </c>
      <c r="AM53" s="70">
        <f t="shared" ca="1" si="96"/>
        <v>20073.545983358243</v>
      </c>
      <c r="AN53" s="32"/>
      <c r="AO53" s="32"/>
      <c r="AP53" s="74"/>
      <c r="AQ53" s="37"/>
      <c r="AR53" s="37"/>
      <c r="AS53" s="36"/>
      <c r="AT53" s="36"/>
      <c r="AU53" s="36"/>
      <c r="AV53" s="36"/>
      <c r="AW53" s="36"/>
      <c r="AX53" s="36"/>
      <c r="AY53" s="36"/>
      <c r="AZ53" s="36"/>
      <c r="BA53" s="36"/>
      <c r="BB53" s="36"/>
      <c r="BC53" s="36"/>
      <c r="BD53" s="36"/>
      <c r="BE53" s="36"/>
      <c r="BF53" s="36"/>
      <c r="BG53" s="36"/>
      <c r="BH53" s="36"/>
      <c r="BI53" s="36">
        <f t="shared" ca="1" si="97"/>
        <v>20073.545983358243</v>
      </c>
      <c r="BJ53" s="36">
        <f t="shared" ca="1" si="98"/>
        <v>200.73545983358244</v>
      </c>
      <c r="BK53" s="38">
        <f t="shared" si="99"/>
        <v>0.26899908729430483</v>
      </c>
      <c r="BL53" s="38"/>
      <c r="BM53" s="39"/>
    </row>
    <row r="54" spans="1:65" x14ac:dyDescent="0.2">
      <c r="A54" s="20">
        <v>7</v>
      </c>
      <c r="B54" s="27" t="s">
        <v>95</v>
      </c>
      <c r="C54" s="29">
        <v>10</v>
      </c>
      <c r="D54" s="30" t="s">
        <v>118</v>
      </c>
      <c r="E54" s="31" t="s">
        <v>202</v>
      </c>
      <c r="F54" s="28" t="s">
        <v>109</v>
      </c>
      <c r="G54" s="138">
        <v>11.528532312613063</v>
      </c>
      <c r="H54" s="76">
        <v>40397</v>
      </c>
      <c r="I54" s="76">
        <v>40405</v>
      </c>
      <c r="J54" s="78">
        <f>L54/N54</f>
        <v>3.8428441042043544</v>
      </c>
      <c r="K54" s="32">
        <v>3</v>
      </c>
      <c r="L54" s="33">
        <f t="shared" si="78"/>
        <v>3.8428441042043544</v>
      </c>
      <c r="M54" s="34"/>
      <c r="N54" s="34">
        <v>1</v>
      </c>
      <c r="O54" s="35">
        <f t="shared" si="79"/>
        <v>0</v>
      </c>
      <c r="P54" s="35">
        <f t="shared" si="80"/>
        <v>26.899908729430482</v>
      </c>
      <c r="Q54" s="34"/>
      <c r="R54" s="33"/>
      <c r="S54" s="34">
        <v>4</v>
      </c>
      <c r="T54" s="78">
        <f ca="1">IF(AND(N54&gt;0,P54&gt;0),SUMIF('Исходные данные'!$C$14:$J$30,S54,'Исходные данные'!$C$34:$J$41),IF(N54=0,0,IF(S54=0,"РОТ")))</f>
        <v>123.48200709579322</v>
      </c>
      <c r="U54" s="125">
        <f>O54*R54*'Исходные данные'!$C$39%</f>
        <v>0</v>
      </c>
      <c r="V54" s="125">
        <f ca="1">P54*T54*'Исходные данные'!$C$40%</f>
        <v>0</v>
      </c>
      <c r="W54" s="125">
        <f t="shared" si="81"/>
        <v>0</v>
      </c>
      <c r="X54" s="126">
        <f t="shared" ca="1" si="82"/>
        <v>1328.66188824149</v>
      </c>
      <c r="Y54" s="125">
        <f t="shared" si="83"/>
        <v>0</v>
      </c>
      <c r="Z54" s="126">
        <f t="shared" ca="1" si="84"/>
        <v>232.51583044226072</v>
      </c>
      <c r="AA54" s="125">
        <f t="shared" si="85"/>
        <v>0</v>
      </c>
      <c r="AB54" s="126">
        <f t="shared" ca="1" si="86"/>
        <v>332.16547206037251</v>
      </c>
      <c r="AC54" s="124">
        <v>2.8</v>
      </c>
      <c r="AD54" s="125">
        <f t="shared" si="87"/>
        <v>0</v>
      </c>
      <c r="AE54" s="125">
        <f t="shared" ca="1" si="88"/>
        <v>14601.994151773972</v>
      </c>
      <c r="AF54" s="35">
        <f t="shared" ca="1" si="89"/>
        <v>0</v>
      </c>
      <c r="AG54" s="70">
        <f t="shared" ca="1" si="90"/>
        <v>2181.9071721041564</v>
      </c>
      <c r="AH54" s="35">
        <f t="shared" ca="1" si="91"/>
        <v>0</v>
      </c>
      <c r="AI54" s="35">
        <f t="shared" ca="1" si="92"/>
        <v>16783.901323878126</v>
      </c>
      <c r="AJ54" s="35">
        <f t="shared" ca="1" si="93"/>
        <v>0</v>
      </c>
      <c r="AK54" s="70">
        <f t="shared" ca="1" si="94"/>
        <v>5035.1703971634379</v>
      </c>
      <c r="AL54" s="35">
        <f t="shared" ca="1" si="95"/>
        <v>0</v>
      </c>
      <c r="AM54" s="70">
        <f t="shared" ca="1" si="96"/>
        <v>21819.071721041564</v>
      </c>
      <c r="AN54" s="32"/>
      <c r="AO54" s="32"/>
      <c r="AP54" s="74"/>
      <c r="AQ54" s="37"/>
      <c r="AR54" s="37"/>
      <c r="AS54" s="36"/>
      <c r="AT54" s="36"/>
      <c r="AU54" s="36"/>
      <c r="AV54" s="36"/>
      <c r="AW54" s="36"/>
      <c r="AX54" s="36"/>
      <c r="AY54" s="36"/>
      <c r="AZ54" s="36"/>
      <c r="BA54" s="36"/>
      <c r="BB54" s="36"/>
      <c r="BC54" s="36"/>
      <c r="BD54" s="36"/>
      <c r="BE54" s="36"/>
      <c r="BF54" s="36"/>
      <c r="BG54" s="36"/>
      <c r="BH54" s="36"/>
      <c r="BI54" s="36">
        <f t="shared" ca="1" si="97"/>
        <v>21819.071721041564</v>
      </c>
      <c r="BJ54" s="36">
        <f t="shared" ca="1" si="98"/>
        <v>218.19071721041564</v>
      </c>
      <c r="BK54" s="38">
        <f t="shared" si="99"/>
        <v>0.26899908729430483</v>
      </c>
      <c r="BL54" s="38"/>
      <c r="BM54" s="39"/>
    </row>
    <row r="55" spans="1:65" x14ac:dyDescent="0.2">
      <c r="A55" s="20">
        <v>8</v>
      </c>
      <c r="B55" s="27" t="s">
        <v>96</v>
      </c>
      <c r="C55" s="29">
        <v>10</v>
      </c>
      <c r="D55" s="30" t="s">
        <v>118</v>
      </c>
      <c r="E55" s="31" t="s">
        <v>202</v>
      </c>
      <c r="F55" s="28" t="s">
        <v>109</v>
      </c>
      <c r="G55" s="138">
        <v>11.528532312613063</v>
      </c>
      <c r="H55" s="76">
        <v>40397</v>
      </c>
      <c r="I55" s="76">
        <v>40410</v>
      </c>
      <c r="J55" s="78">
        <f>L55/N55</f>
        <v>1.9214220521021772</v>
      </c>
      <c r="K55" s="32">
        <v>6</v>
      </c>
      <c r="L55" s="33">
        <f t="shared" si="78"/>
        <v>1.9214220521021772</v>
      </c>
      <c r="M55" s="34"/>
      <c r="N55" s="34">
        <v>1</v>
      </c>
      <c r="O55" s="35">
        <f t="shared" si="79"/>
        <v>0</v>
      </c>
      <c r="P55" s="35">
        <f t="shared" si="80"/>
        <v>13.449954364715241</v>
      </c>
      <c r="Q55" s="34"/>
      <c r="R55" s="33"/>
      <c r="S55" s="34">
        <v>2</v>
      </c>
      <c r="T55" s="78">
        <f ca="1">IF(AND(N55&gt;0,P55&gt;0),SUMIF('Исходные данные'!$C$14:$J$30,S55,'Исходные данные'!$C$34:$J$41),IF(N55=0,0,IF(S55=0,"РОТ")))</f>
        <v>105.700598073999</v>
      </c>
      <c r="U55" s="125">
        <f>O55*R55*'Исходные данные'!$C$39%</f>
        <v>0</v>
      </c>
      <c r="V55" s="125">
        <f ca="1">P55*T55*'Исходные данные'!$C$40%</f>
        <v>0</v>
      </c>
      <c r="W55" s="125">
        <f t="shared" si="81"/>
        <v>0</v>
      </c>
      <c r="X55" s="126">
        <f t="shared" ca="1" si="82"/>
        <v>568.66728816735781</v>
      </c>
      <c r="Y55" s="125">
        <f t="shared" si="83"/>
        <v>0</v>
      </c>
      <c r="Z55" s="126">
        <f t="shared" ca="1" si="84"/>
        <v>99.51677542928762</v>
      </c>
      <c r="AA55" s="125">
        <f t="shared" si="85"/>
        <v>0</v>
      </c>
      <c r="AB55" s="126">
        <f t="shared" ca="1" si="86"/>
        <v>142.16682204183945</v>
      </c>
      <c r="AC55" s="124">
        <v>2.8</v>
      </c>
      <c r="AD55" s="125">
        <f t="shared" si="87"/>
        <v>0</v>
      </c>
      <c r="AE55" s="125">
        <f t="shared" ca="1" si="88"/>
        <v>6249.6534969592622</v>
      </c>
      <c r="AF55" s="35">
        <f t="shared" ca="1" si="89"/>
        <v>0</v>
      </c>
      <c r="AG55" s="70">
        <f t="shared" ca="1" si="90"/>
        <v>933.8562696605793</v>
      </c>
      <c r="AH55" s="35">
        <f t="shared" ca="1" si="91"/>
        <v>0</v>
      </c>
      <c r="AI55" s="35">
        <f t="shared" ca="1" si="92"/>
        <v>7183.5097666198417</v>
      </c>
      <c r="AJ55" s="35">
        <f t="shared" ca="1" si="93"/>
        <v>0</v>
      </c>
      <c r="AK55" s="70">
        <f t="shared" ca="1" si="94"/>
        <v>2155.0529299859522</v>
      </c>
      <c r="AL55" s="35">
        <f t="shared" ca="1" si="95"/>
        <v>0</v>
      </c>
      <c r="AM55" s="70">
        <f t="shared" ca="1" si="96"/>
        <v>9338.5626966057935</v>
      </c>
      <c r="AN55" s="32"/>
      <c r="AO55" s="32"/>
      <c r="AP55" s="74"/>
      <c r="AQ55" s="37"/>
      <c r="AR55" s="37"/>
      <c r="AS55" s="36"/>
      <c r="AT55" s="36"/>
      <c r="AU55" s="36"/>
      <c r="AV55" s="36"/>
      <c r="AW55" s="36"/>
      <c r="AX55" s="36"/>
      <c r="AY55" s="36"/>
      <c r="AZ55" s="36"/>
      <c r="BA55" s="36"/>
      <c r="BB55" s="36"/>
      <c r="BC55" s="36"/>
      <c r="BD55" s="36"/>
      <c r="BE55" s="36"/>
      <c r="BF55" s="36"/>
      <c r="BG55" s="36"/>
      <c r="BH55" s="36"/>
      <c r="BI55" s="36">
        <f t="shared" ca="1" si="97"/>
        <v>9338.5626966057935</v>
      </c>
      <c r="BJ55" s="36">
        <f t="shared" ca="1" si="98"/>
        <v>93.385626966057941</v>
      </c>
      <c r="BK55" s="38">
        <f t="shared" si="99"/>
        <v>0.13449954364715241</v>
      </c>
      <c r="BL55" s="38"/>
      <c r="BM55" s="39"/>
    </row>
    <row r="56" spans="1:65" s="62" customFormat="1" x14ac:dyDescent="0.2">
      <c r="A56" s="59"/>
      <c r="B56" s="53" t="s">
        <v>21</v>
      </c>
      <c r="C56" s="53"/>
      <c r="D56" s="53"/>
      <c r="E56" s="53"/>
      <c r="F56" s="60"/>
      <c r="G56" s="142"/>
      <c r="H56" s="61"/>
      <c r="I56" s="61"/>
      <c r="J56" s="57">
        <f>SUM(J48:J55)</f>
        <v>214.79327198265912</v>
      </c>
      <c r="K56" s="57"/>
      <c r="L56" s="57">
        <f>SUM(L48:L55)</f>
        <v>216.71469403476129</v>
      </c>
      <c r="M56" s="57">
        <f t="shared" ref="M56:BM56" si="100">SUM(M48:M55)</f>
        <v>3</v>
      </c>
      <c r="N56" s="57">
        <f t="shared" si="100"/>
        <v>6</v>
      </c>
      <c r="O56" s="57">
        <f t="shared" si="100"/>
        <v>586.41975308641963</v>
      </c>
      <c r="P56" s="57">
        <f t="shared" si="100"/>
        <v>930.58310515690971</v>
      </c>
      <c r="Q56" s="57"/>
      <c r="R56" s="57"/>
      <c r="S56" s="57"/>
      <c r="T56" s="57"/>
      <c r="U56" s="57">
        <f t="shared" ca="1" si="100"/>
        <v>0</v>
      </c>
      <c r="V56" s="57">
        <f t="shared" ca="1" si="100"/>
        <v>0</v>
      </c>
      <c r="W56" s="57">
        <f t="shared" ca="1" si="100"/>
        <v>31653.880723095121</v>
      </c>
      <c r="X56" s="57">
        <f t="shared" ca="1" si="100"/>
        <v>39621.637981812011</v>
      </c>
      <c r="Y56" s="57">
        <f t="shared" ca="1" si="100"/>
        <v>11078.858253083294</v>
      </c>
      <c r="Z56" s="57">
        <f t="shared" ca="1" si="100"/>
        <v>6933.7866468171023</v>
      </c>
      <c r="AA56" s="57">
        <f t="shared" ca="1" si="100"/>
        <v>7913.4701807737802</v>
      </c>
      <c r="AB56" s="57">
        <f t="shared" ca="1" si="100"/>
        <v>9905.4094954530028</v>
      </c>
      <c r="AC56" s="57"/>
      <c r="AD56" s="57">
        <f t="shared" ca="1" si="100"/>
        <v>363386.55070113193</v>
      </c>
      <c r="AE56" s="57">
        <f t="shared" ca="1" si="100"/>
        <v>435441.80142011394</v>
      </c>
      <c r="AF56" s="57">
        <f t="shared" ca="1" si="100"/>
        <v>54299.139759939251</v>
      </c>
      <c r="AG56" s="57">
        <f t="shared" ca="1" si="100"/>
        <v>65066.01630415496</v>
      </c>
      <c r="AH56" s="57">
        <f t="shared" ca="1" si="100"/>
        <v>417685.69046107121</v>
      </c>
      <c r="AI56" s="57">
        <f t="shared" ca="1" si="100"/>
        <v>500507.81772426888</v>
      </c>
      <c r="AJ56" s="57">
        <f t="shared" ca="1" si="100"/>
        <v>125305.70713832136</v>
      </c>
      <c r="AK56" s="57">
        <f t="shared" ca="1" si="100"/>
        <v>150152.34531728068</v>
      </c>
      <c r="AL56" s="57">
        <f t="shared" ca="1" si="100"/>
        <v>542991.39759939257</v>
      </c>
      <c r="AM56" s="57">
        <f t="shared" ca="1" si="100"/>
        <v>650660.16304154962</v>
      </c>
      <c r="AN56" s="57"/>
      <c r="AO56" s="57"/>
      <c r="AP56" s="57" t="e">
        <f t="shared" si="100"/>
        <v>#REF!</v>
      </c>
      <c r="AQ56" s="57"/>
      <c r="AR56" s="57"/>
      <c r="AS56" s="57" t="e">
        <f t="shared" si="100"/>
        <v>#REF!</v>
      </c>
      <c r="AT56" s="57"/>
      <c r="AU56" s="57"/>
      <c r="AV56" s="57"/>
      <c r="AW56" s="57"/>
      <c r="AX56" s="57"/>
      <c r="AY56" s="57">
        <f t="shared" si="100"/>
        <v>0</v>
      </c>
      <c r="AZ56" s="57"/>
      <c r="BA56" s="57">
        <f t="shared" si="100"/>
        <v>5231.0429361103879</v>
      </c>
      <c r="BB56" s="57"/>
      <c r="BC56" s="57">
        <f t="shared" si="100"/>
        <v>0</v>
      </c>
      <c r="BD56" s="57"/>
      <c r="BE56" s="57">
        <f t="shared" si="100"/>
        <v>0</v>
      </c>
      <c r="BF56" s="57"/>
      <c r="BG56" s="57">
        <f t="shared" si="100"/>
        <v>0</v>
      </c>
      <c r="BH56" s="57">
        <f t="shared" si="100"/>
        <v>212443.85185185182</v>
      </c>
      <c r="BI56" s="57" t="e">
        <f t="shared" ca="1" si="100"/>
        <v>#REF!</v>
      </c>
      <c r="BJ56" s="57"/>
      <c r="BK56" s="57"/>
      <c r="BL56" s="57"/>
      <c r="BM56" s="57">
        <f t="shared" si="100"/>
        <v>0</v>
      </c>
    </row>
    <row r="57" spans="1:65" ht="11.25" customHeight="1" x14ac:dyDescent="0.2">
      <c r="A57" s="20"/>
      <c r="B57" s="535" t="s">
        <v>102</v>
      </c>
      <c r="C57" s="535"/>
      <c r="D57" s="535"/>
      <c r="E57" s="535"/>
      <c r="F57" s="28"/>
      <c r="G57" s="138"/>
      <c r="H57" s="29"/>
      <c r="I57" s="29"/>
      <c r="J57" s="29"/>
      <c r="K57" s="32"/>
      <c r="L57" s="33"/>
      <c r="M57" s="34"/>
      <c r="N57" s="34"/>
      <c r="O57" s="35"/>
      <c r="P57" s="35"/>
      <c r="Q57" s="34"/>
      <c r="R57" s="33"/>
      <c r="S57" s="34"/>
      <c r="T57" s="33"/>
      <c r="U57" s="33"/>
      <c r="V57" s="33"/>
      <c r="W57" s="33"/>
      <c r="X57" s="33"/>
      <c r="Y57" s="33"/>
      <c r="Z57" s="33"/>
      <c r="AA57" s="33"/>
      <c r="AB57" s="33"/>
      <c r="AC57" s="33"/>
      <c r="AD57" s="33"/>
      <c r="AE57" s="33"/>
      <c r="AF57" s="33"/>
      <c r="AG57" s="33"/>
      <c r="AH57" s="33"/>
      <c r="AI57" s="33"/>
      <c r="AJ57" s="33"/>
      <c r="AK57" s="33"/>
      <c r="AL57" s="33"/>
      <c r="AM57" s="32"/>
      <c r="AN57" s="32"/>
      <c r="AO57" s="32"/>
      <c r="AP57" s="74"/>
      <c r="AQ57" s="37"/>
      <c r="AR57" s="37"/>
      <c r="AS57" s="36"/>
      <c r="AT57" s="36"/>
      <c r="AU57" s="36"/>
      <c r="AV57" s="36"/>
      <c r="AW57" s="36"/>
      <c r="AX57" s="36"/>
      <c r="AY57" s="36"/>
      <c r="AZ57" s="36"/>
      <c r="BA57" s="36"/>
      <c r="BB57" s="36"/>
      <c r="BC57" s="36"/>
      <c r="BD57" s="36"/>
      <c r="BE57" s="36"/>
      <c r="BF57" s="36"/>
      <c r="BG57" s="36"/>
      <c r="BH57" s="36"/>
      <c r="BI57" s="36"/>
      <c r="BJ57" s="36"/>
      <c r="BK57" s="36"/>
      <c r="BL57" s="38"/>
      <c r="BM57" s="39"/>
    </row>
    <row r="58" spans="1:65" x14ac:dyDescent="0.2">
      <c r="A58" s="20">
        <v>1</v>
      </c>
      <c r="B58" s="27" t="s">
        <v>76</v>
      </c>
      <c r="C58" s="29">
        <v>10</v>
      </c>
      <c r="D58" s="30" t="s">
        <v>118</v>
      </c>
      <c r="E58" s="31" t="s">
        <v>212</v>
      </c>
      <c r="F58" s="28" t="s">
        <v>106</v>
      </c>
      <c r="G58" s="138">
        <v>100</v>
      </c>
      <c r="H58" s="76">
        <v>40374</v>
      </c>
      <c r="I58" s="76">
        <v>40384</v>
      </c>
      <c r="J58" s="78">
        <f>L58/N58</f>
        <v>166.66666666666669</v>
      </c>
      <c r="K58" s="32">
        <v>0.6</v>
      </c>
      <c r="L58" s="33">
        <f>G58/K58</f>
        <v>166.66666666666669</v>
      </c>
      <c r="M58" s="34"/>
      <c r="N58" s="34">
        <v>1</v>
      </c>
      <c r="O58" s="35">
        <f t="shared" ref="O58:O64" si="101">IF(M58=0,0,L58*$O$15)</f>
        <v>0</v>
      </c>
      <c r="P58" s="35">
        <f t="shared" ref="P58:P64" si="102">IF(N58=0,0,L58*$O$15)</f>
        <v>1166.6666666666667</v>
      </c>
      <c r="Q58" s="34"/>
      <c r="R58" s="33"/>
      <c r="S58" s="34">
        <v>4</v>
      </c>
      <c r="T58" s="78">
        <f ca="1">IF(AND(N58&gt;0,P58&gt;0),SUMIF('Исходные данные'!$C$14:$J$30,S58,'Исходные данные'!$C$34:$J$41),IF(N58=0,0,IF(S58=0,"РОТ")))</f>
        <v>123.48200709579322</v>
      </c>
      <c r="U58" s="125">
        <f>O58*R58*'Исходные данные'!$C$39%</f>
        <v>0</v>
      </c>
      <c r="V58" s="125">
        <f ca="1">P58*T58*'Исходные данные'!$C$40%</f>
        <v>0</v>
      </c>
      <c r="W58" s="125">
        <f t="shared" ref="W58:W64" si="103">O58*R58*$W$15</f>
        <v>0</v>
      </c>
      <c r="X58" s="126">
        <f t="shared" ref="X58:X64" ca="1" si="104">P58*T58*$W$15</f>
        <v>57624.936644703514</v>
      </c>
      <c r="Y58" s="125">
        <f t="shared" ref="Y58:Y64" si="105">(O58*R58+U58+W58)*$Y$15</f>
        <v>0</v>
      </c>
      <c r="Z58" s="126"/>
      <c r="AA58" s="125">
        <f t="shared" ref="AA58:AA64" si="106">(O58*R58+U58)*$AA$15</f>
        <v>0</v>
      </c>
      <c r="AB58" s="126"/>
      <c r="AC58" s="124">
        <v>2.8</v>
      </c>
      <c r="AD58" s="125">
        <f t="shared" ref="AD58:AD64" si="107">(O58*R58+U58+W58+Y58+AA58)*AC58</f>
        <v>0</v>
      </c>
      <c r="AE58" s="125">
        <f t="shared" ref="AE58:AE64" ca="1" si="108">(P58*T58+V58+X58+Z58+AB58)*AC58</f>
        <v>564724.37911809445</v>
      </c>
      <c r="AF58" s="35">
        <f t="shared" ref="AF58:AF64" ca="1" si="109">AD58*$AF$15</f>
        <v>0</v>
      </c>
      <c r="AG58" s="70">
        <f t="shared" ref="AG58:AG64" ca="1" si="110">AE58*$AF$15</f>
        <v>84384.10262684169</v>
      </c>
      <c r="AH58" s="35">
        <f t="shared" ref="AH58:AH64" ca="1" si="111">AD58+AF58</f>
        <v>0</v>
      </c>
      <c r="AI58" s="35">
        <f t="shared" ref="AI58:AI64" ca="1" si="112">AE58+AG58</f>
        <v>649108.4817449362</v>
      </c>
      <c r="AJ58" s="35">
        <f t="shared" ref="AJ58:AJ64" ca="1" si="113">AH58*$AJ$15</f>
        <v>0</v>
      </c>
      <c r="AK58" s="70">
        <f t="shared" ref="AK58:AK64" ca="1" si="114">AI58*$AJ$15</f>
        <v>194732.54452348084</v>
      </c>
      <c r="AL58" s="35">
        <f t="shared" ref="AL58:AL64" ca="1" si="115">AH58+AJ58</f>
        <v>0</v>
      </c>
      <c r="AM58" s="70">
        <f t="shared" ref="AM58:AM64" ca="1" si="116">AK58+AI58</f>
        <v>843841.02626841702</v>
      </c>
      <c r="AN58" s="32"/>
      <c r="AO58" s="32"/>
      <c r="AP58" s="74"/>
      <c r="AQ58" s="37"/>
      <c r="AR58" s="37"/>
      <c r="AS58" s="36"/>
      <c r="AT58" s="36"/>
      <c r="AU58" s="36"/>
      <c r="AV58" s="36"/>
      <c r="AW58" s="36"/>
      <c r="AX58" s="36"/>
      <c r="AY58" s="36"/>
      <c r="AZ58" s="36"/>
      <c r="BA58" s="36"/>
      <c r="BB58" s="36"/>
      <c r="BC58" s="36"/>
      <c r="BD58" s="36"/>
      <c r="BE58" s="36"/>
      <c r="BF58" s="36"/>
      <c r="BG58" s="36"/>
      <c r="BH58" s="36"/>
      <c r="BI58" s="36">
        <f t="shared" ref="BI58:BI64" ca="1" si="117">AL58+AM58+AS58+AY58+BA58+BC58+BE58+BG58+BH58+AW58</f>
        <v>843841.02626841702</v>
      </c>
      <c r="BJ58" s="36">
        <f t="shared" ref="BJ58:BJ64" ca="1" si="118">BI58/$D$5</f>
        <v>8438.4102626841704</v>
      </c>
      <c r="BK58" s="38">
        <f t="shared" ref="BK58:BK64" si="119">(O58+P58)/$D$5</f>
        <v>11.666666666666668</v>
      </c>
      <c r="BL58" s="38"/>
      <c r="BM58" s="39"/>
    </row>
    <row r="59" spans="1:65" x14ac:dyDescent="0.2">
      <c r="A59" s="20">
        <v>2</v>
      </c>
      <c r="B59" s="27" t="s">
        <v>84</v>
      </c>
      <c r="C59" s="29">
        <v>10</v>
      </c>
      <c r="D59" s="30" t="s">
        <v>118</v>
      </c>
      <c r="E59" s="31" t="s">
        <v>207</v>
      </c>
      <c r="F59" s="28" t="s">
        <v>106</v>
      </c>
      <c r="G59" s="138">
        <v>20</v>
      </c>
      <c r="H59" s="76">
        <v>40376</v>
      </c>
      <c r="I59" s="76">
        <v>40386</v>
      </c>
      <c r="J59" s="78">
        <f t="shared" ref="J59:J64" si="120">L59/N59</f>
        <v>12.5</v>
      </c>
      <c r="K59" s="32">
        <v>1.6</v>
      </c>
      <c r="L59" s="33">
        <f t="shared" ref="L59:L64" si="121">G59/K59</f>
        <v>12.5</v>
      </c>
      <c r="M59" s="34"/>
      <c r="N59" s="34">
        <v>1</v>
      </c>
      <c r="O59" s="35">
        <f t="shared" si="101"/>
        <v>0</v>
      </c>
      <c r="P59" s="35">
        <f t="shared" si="102"/>
        <v>87.5</v>
      </c>
      <c r="Q59" s="34"/>
      <c r="R59" s="33"/>
      <c r="S59" s="34">
        <v>1</v>
      </c>
      <c r="T59" s="78">
        <f ca="1">IF(AND(N59&gt;0,P59&gt;0),SUMIF('Исходные данные'!$C$14:$J$30,S59,'Исходные данные'!$C$34:$J$41),IF(N59=0,0,IF(S59=0,"РОТ")))</f>
        <v>98.785605676634574</v>
      </c>
      <c r="U59" s="125">
        <f>O59*R59*'Исходные данные'!$C$39%</f>
        <v>0</v>
      </c>
      <c r="V59" s="125">
        <f ca="1">P59*T59*'Исходные данные'!$C$40%</f>
        <v>0</v>
      </c>
      <c r="W59" s="125">
        <f t="shared" si="103"/>
        <v>0</v>
      </c>
      <c r="X59" s="126">
        <f t="shared" ca="1" si="104"/>
        <v>3457.49619868221</v>
      </c>
      <c r="Y59" s="125">
        <f t="shared" si="105"/>
        <v>0</v>
      </c>
      <c r="Z59" s="126"/>
      <c r="AA59" s="125">
        <f t="shared" si="106"/>
        <v>0</v>
      </c>
      <c r="AB59" s="126"/>
      <c r="AC59" s="124">
        <v>2.8</v>
      </c>
      <c r="AD59" s="125">
        <f t="shared" si="107"/>
        <v>0</v>
      </c>
      <c r="AE59" s="125">
        <f t="shared" ca="1" si="108"/>
        <v>33883.462747085658</v>
      </c>
      <c r="AF59" s="35">
        <f t="shared" ca="1" si="109"/>
        <v>0</v>
      </c>
      <c r="AG59" s="70">
        <f t="shared" ca="1" si="110"/>
        <v>5063.0461576104999</v>
      </c>
      <c r="AH59" s="35">
        <f t="shared" ca="1" si="111"/>
        <v>0</v>
      </c>
      <c r="AI59" s="35">
        <f t="shared" ca="1" si="112"/>
        <v>38946.508904696158</v>
      </c>
      <c r="AJ59" s="35">
        <f t="shared" ca="1" si="113"/>
        <v>0</v>
      </c>
      <c r="AK59" s="70">
        <f t="shared" ca="1" si="114"/>
        <v>11683.952671408848</v>
      </c>
      <c r="AL59" s="35">
        <f t="shared" ca="1" si="115"/>
        <v>0</v>
      </c>
      <c r="AM59" s="70">
        <f t="shared" ca="1" si="116"/>
        <v>50630.461576105008</v>
      </c>
      <c r="AN59" s="32"/>
      <c r="AO59" s="32"/>
      <c r="AP59" s="74"/>
      <c r="AQ59" s="37"/>
      <c r="AR59" s="37"/>
      <c r="AS59" s="36"/>
      <c r="AT59" s="36"/>
      <c r="AU59" s="36"/>
      <c r="AV59" s="36"/>
      <c r="AW59" s="36"/>
      <c r="AX59" s="36"/>
      <c r="AY59" s="36"/>
      <c r="AZ59" s="36"/>
      <c r="BA59" s="36"/>
      <c r="BB59" s="36"/>
      <c r="BC59" s="36"/>
      <c r="BD59" s="36"/>
      <c r="BE59" s="36"/>
      <c r="BF59" s="36"/>
      <c r="BG59" s="36"/>
      <c r="BH59" s="36"/>
      <c r="BI59" s="36">
        <f t="shared" ca="1" si="117"/>
        <v>50630.461576105008</v>
      </c>
      <c r="BJ59" s="36">
        <f t="shared" ca="1" si="118"/>
        <v>506.30461576105006</v>
      </c>
      <c r="BK59" s="38">
        <f t="shared" si="119"/>
        <v>0.875</v>
      </c>
      <c r="BL59" s="38"/>
      <c r="BM59" s="39"/>
    </row>
    <row r="60" spans="1:65" x14ac:dyDescent="0.2">
      <c r="A60" s="20">
        <v>3</v>
      </c>
      <c r="B60" s="27" t="s">
        <v>100</v>
      </c>
      <c r="C60" s="29">
        <v>10</v>
      </c>
      <c r="D60" s="30" t="s">
        <v>118</v>
      </c>
      <c r="E60" s="31" t="s">
        <v>207</v>
      </c>
      <c r="F60" s="28" t="s">
        <v>106</v>
      </c>
      <c r="G60" s="138">
        <v>100</v>
      </c>
      <c r="H60" s="76">
        <v>40377</v>
      </c>
      <c r="I60" s="76">
        <v>40387</v>
      </c>
      <c r="J60" s="78">
        <f t="shared" si="120"/>
        <v>125</v>
      </c>
      <c r="K60" s="32">
        <v>0.8</v>
      </c>
      <c r="L60" s="33">
        <f t="shared" si="121"/>
        <v>125</v>
      </c>
      <c r="M60" s="34"/>
      <c r="N60" s="34">
        <v>1</v>
      </c>
      <c r="O60" s="35">
        <f t="shared" si="101"/>
        <v>0</v>
      </c>
      <c r="P60" s="35">
        <f t="shared" si="102"/>
        <v>875</v>
      </c>
      <c r="Q60" s="34"/>
      <c r="R60" s="33"/>
      <c r="S60" s="34">
        <v>2</v>
      </c>
      <c r="T60" s="78">
        <f ca="1">IF(AND(N60&gt;0,P60&gt;0),SUMIF('Исходные данные'!$C$14:$J$30,S60,'Исходные данные'!$C$34:$J$41),IF(N60=0,0,IF(S60=0,"РОТ")))</f>
        <v>105.700598073999</v>
      </c>
      <c r="U60" s="125">
        <f>O60*R60*'Исходные данные'!$C$39%</f>
        <v>0</v>
      </c>
      <c r="V60" s="125">
        <f ca="1">P60*T60*'Исходные данные'!$C$40%</f>
        <v>0</v>
      </c>
      <c r="W60" s="125">
        <f t="shared" si="103"/>
        <v>0</v>
      </c>
      <c r="X60" s="126">
        <f t="shared" ca="1" si="104"/>
        <v>36995.209325899654</v>
      </c>
      <c r="Y60" s="125">
        <f t="shared" si="105"/>
        <v>0</v>
      </c>
      <c r="Z60" s="126"/>
      <c r="AA60" s="125">
        <f t="shared" si="106"/>
        <v>0</v>
      </c>
      <c r="AB60" s="126"/>
      <c r="AC60" s="124">
        <v>2.8</v>
      </c>
      <c r="AD60" s="125">
        <f t="shared" si="107"/>
        <v>0</v>
      </c>
      <c r="AE60" s="125">
        <f t="shared" ca="1" si="108"/>
        <v>362553.0513938166</v>
      </c>
      <c r="AF60" s="35">
        <f t="shared" ca="1" si="109"/>
        <v>0</v>
      </c>
      <c r="AG60" s="70">
        <f t="shared" ca="1" si="110"/>
        <v>54174.593886432362</v>
      </c>
      <c r="AH60" s="35">
        <f t="shared" ca="1" si="111"/>
        <v>0</v>
      </c>
      <c r="AI60" s="35">
        <f t="shared" ca="1" si="112"/>
        <v>416727.64528024895</v>
      </c>
      <c r="AJ60" s="35">
        <f t="shared" ca="1" si="113"/>
        <v>0</v>
      </c>
      <c r="AK60" s="70">
        <f t="shared" ca="1" si="114"/>
        <v>125018.29358407468</v>
      </c>
      <c r="AL60" s="35">
        <f t="shared" ca="1" si="115"/>
        <v>0</v>
      </c>
      <c r="AM60" s="70">
        <f t="shared" ca="1" si="116"/>
        <v>541745.93886432366</v>
      </c>
      <c r="AN60" s="32"/>
      <c r="AO60" s="32"/>
      <c r="AP60" s="74"/>
      <c r="AQ60" s="37"/>
      <c r="AR60" s="37"/>
      <c r="AS60" s="36"/>
      <c r="AT60" s="36"/>
      <c r="AU60" s="36"/>
      <c r="AV60" s="36"/>
      <c r="AW60" s="36"/>
      <c r="AX60" s="36"/>
      <c r="AY60" s="36"/>
      <c r="AZ60" s="36"/>
      <c r="BA60" s="36"/>
      <c r="BB60" s="36"/>
      <c r="BC60" s="36"/>
      <c r="BD60" s="36"/>
      <c r="BE60" s="36"/>
      <c r="BF60" s="36"/>
      <c r="BG60" s="36"/>
      <c r="BH60" s="36"/>
      <c r="BI60" s="36">
        <f t="shared" ca="1" si="117"/>
        <v>541745.93886432366</v>
      </c>
      <c r="BJ60" s="36">
        <f t="shared" ca="1" si="118"/>
        <v>5417.4593886432367</v>
      </c>
      <c r="BK60" s="38">
        <f t="shared" si="119"/>
        <v>8.75</v>
      </c>
      <c r="BL60" s="38"/>
      <c r="BM60" s="39"/>
    </row>
    <row r="61" spans="1:65" x14ac:dyDescent="0.2">
      <c r="A61" s="20">
        <v>4</v>
      </c>
      <c r="B61" s="27" t="s">
        <v>93</v>
      </c>
      <c r="C61" s="29">
        <v>10</v>
      </c>
      <c r="D61" s="30" t="s">
        <v>118</v>
      </c>
      <c r="E61" s="31" t="s">
        <v>202</v>
      </c>
      <c r="F61" s="28" t="s">
        <v>106</v>
      </c>
      <c r="G61" s="138">
        <v>100</v>
      </c>
      <c r="H61" s="76">
        <v>40378</v>
      </c>
      <c r="I61" s="76">
        <v>40388</v>
      </c>
      <c r="J61" s="78">
        <f t="shared" si="120"/>
        <v>28.571428571428573</v>
      </c>
      <c r="K61" s="32">
        <v>3.5</v>
      </c>
      <c r="L61" s="33">
        <f t="shared" si="121"/>
        <v>28.571428571428573</v>
      </c>
      <c r="M61" s="34"/>
      <c r="N61" s="34">
        <v>1</v>
      </c>
      <c r="O61" s="35">
        <f t="shared" si="101"/>
        <v>0</v>
      </c>
      <c r="P61" s="35">
        <f t="shared" si="102"/>
        <v>200</v>
      </c>
      <c r="Q61" s="34"/>
      <c r="R61" s="33"/>
      <c r="S61" s="34">
        <v>2</v>
      </c>
      <c r="T61" s="78">
        <f ca="1">IF(AND(N61&gt;0,P61&gt;0),SUMIF('Исходные данные'!$C$14:$J$30,S61,'Исходные данные'!$C$34:$J$41),IF(N61=0,0,IF(S61=0,"РОТ")))</f>
        <v>105.700598073999</v>
      </c>
      <c r="U61" s="125">
        <f>O61*R61*'Исходные данные'!$C$39%</f>
        <v>0</v>
      </c>
      <c r="V61" s="125">
        <f ca="1">P61*T61*'Исходные данные'!$C$40%</f>
        <v>0</v>
      </c>
      <c r="W61" s="125">
        <f t="shared" si="103"/>
        <v>0</v>
      </c>
      <c r="X61" s="126">
        <f t="shared" ca="1" si="104"/>
        <v>8456.0478459199203</v>
      </c>
      <c r="Y61" s="125">
        <f t="shared" si="105"/>
        <v>0</v>
      </c>
      <c r="Z61" s="126"/>
      <c r="AA61" s="125">
        <f t="shared" si="106"/>
        <v>0</v>
      </c>
      <c r="AB61" s="126"/>
      <c r="AC61" s="124">
        <v>2.8</v>
      </c>
      <c r="AD61" s="125">
        <f t="shared" si="107"/>
        <v>0</v>
      </c>
      <c r="AE61" s="125">
        <f t="shared" ca="1" si="108"/>
        <v>82869.268890015213</v>
      </c>
      <c r="AF61" s="35">
        <f t="shared" ca="1" si="109"/>
        <v>0</v>
      </c>
      <c r="AG61" s="70">
        <f t="shared" ca="1" si="110"/>
        <v>12382.764316898823</v>
      </c>
      <c r="AH61" s="35">
        <f t="shared" ca="1" si="111"/>
        <v>0</v>
      </c>
      <c r="AI61" s="35">
        <f t="shared" ca="1" si="112"/>
        <v>95252.033206914042</v>
      </c>
      <c r="AJ61" s="35">
        <f t="shared" ca="1" si="113"/>
        <v>0</v>
      </c>
      <c r="AK61" s="70">
        <f t="shared" ca="1" si="114"/>
        <v>28575.609962074213</v>
      </c>
      <c r="AL61" s="35">
        <f t="shared" ca="1" si="115"/>
        <v>0</v>
      </c>
      <c r="AM61" s="70">
        <f t="shared" ca="1" si="116"/>
        <v>123827.64316898826</v>
      </c>
      <c r="AN61" s="32"/>
      <c r="AO61" s="32"/>
      <c r="AP61" s="74"/>
      <c r="AQ61" s="37"/>
      <c r="AR61" s="37"/>
      <c r="AS61" s="36"/>
      <c r="AT61" s="36"/>
      <c r="AU61" s="36"/>
      <c r="AV61" s="36"/>
      <c r="AW61" s="36"/>
      <c r="AX61" s="36"/>
      <c r="AY61" s="36"/>
      <c r="AZ61" s="36"/>
      <c r="BA61" s="36"/>
      <c r="BB61" s="36"/>
      <c r="BC61" s="36"/>
      <c r="BD61" s="36"/>
      <c r="BE61" s="36"/>
      <c r="BF61" s="36"/>
      <c r="BG61" s="36"/>
      <c r="BH61" s="36"/>
      <c r="BI61" s="36">
        <f t="shared" ca="1" si="117"/>
        <v>123827.64316898826</v>
      </c>
      <c r="BJ61" s="36">
        <f t="shared" ca="1" si="118"/>
        <v>1238.2764316898827</v>
      </c>
      <c r="BK61" s="38">
        <f t="shared" si="119"/>
        <v>2</v>
      </c>
      <c r="BL61" s="38"/>
      <c r="BM61" s="39"/>
    </row>
    <row r="62" spans="1:65" x14ac:dyDescent="0.2">
      <c r="A62" s="20">
        <v>5</v>
      </c>
      <c r="B62" s="27" t="s">
        <v>101</v>
      </c>
      <c r="C62" s="29">
        <v>10</v>
      </c>
      <c r="D62" s="30" t="s">
        <v>118</v>
      </c>
      <c r="E62" s="31" t="s">
        <v>211</v>
      </c>
      <c r="F62" s="28" t="s">
        <v>109</v>
      </c>
      <c r="G62" s="138">
        <v>139.48235294117649</v>
      </c>
      <c r="H62" s="76">
        <v>40389</v>
      </c>
      <c r="I62" s="76">
        <v>40397</v>
      </c>
      <c r="J62" s="78">
        <f t="shared" si="120"/>
        <v>19.926050420168071</v>
      </c>
      <c r="K62" s="32">
        <v>3.5</v>
      </c>
      <c r="L62" s="33">
        <f t="shared" si="121"/>
        <v>39.852100840336142</v>
      </c>
      <c r="M62" s="34"/>
      <c r="N62" s="34">
        <v>2</v>
      </c>
      <c r="O62" s="35">
        <f t="shared" si="101"/>
        <v>0</v>
      </c>
      <c r="P62" s="35">
        <f t="shared" si="102"/>
        <v>278.96470588235297</v>
      </c>
      <c r="Q62" s="34"/>
      <c r="R62" s="33"/>
      <c r="S62" s="34">
        <v>3</v>
      </c>
      <c r="T62" s="78">
        <f ca="1">IF(AND(N62&gt;0,P62&gt;0),SUMIF('Исходные данные'!$C$14:$J$30,S62,'Исходные данные'!$C$34:$J$41),IF(N62=0,0,IF(S62=0,"РОТ")))</f>
        <v>113.60344652812975</v>
      </c>
      <c r="U62" s="125">
        <f>O62*R62*'Исходные данные'!$C$39%</f>
        <v>0</v>
      </c>
      <c r="V62" s="125">
        <f ca="1">P62*T62*'Исходные данные'!$C$40%</f>
        <v>0</v>
      </c>
      <c r="W62" s="125">
        <f t="shared" si="103"/>
        <v>0</v>
      </c>
      <c r="X62" s="126">
        <f t="shared" ca="1" si="104"/>
        <v>12676.540819176531</v>
      </c>
      <c r="Y62" s="125">
        <f t="shared" si="105"/>
        <v>0</v>
      </c>
      <c r="Z62" s="126"/>
      <c r="AA62" s="125">
        <f t="shared" si="106"/>
        <v>0</v>
      </c>
      <c r="AB62" s="126"/>
      <c r="AC62" s="124">
        <v>2.8</v>
      </c>
      <c r="AD62" s="125">
        <f t="shared" si="107"/>
        <v>0</v>
      </c>
      <c r="AE62" s="125">
        <f t="shared" ca="1" si="108"/>
        <v>124230.10002792999</v>
      </c>
      <c r="AF62" s="35">
        <f t="shared" ca="1" si="109"/>
        <v>0</v>
      </c>
      <c r="AG62" s="70">
        <f t="shared" ca="1" si="110"/>
        <v>18563.118394978042</v>
      </c>
      <c r="AH62" s="35">
        <f t="shared" ca="1" si="111"/>
        <v>0</v>
      </c>
      <c r="AI62" s="35">
        <f t="shared" ca="1" si="112"/>
        <v>142793.21842290804</v>
      </c>
      <c r="AJ62" s="35">
        <f t="shared" ca="1" si="113"/>
        <v>0</v>
      </c>
      <c r="AK62" s="70">
        <f t="shared" ca="1" si="114"/>
        <v>42837.965526872409</v>
      </c>
      <c r="AL62" s="35">
        <f t="shared" ca="1" si="115"/>
        <v>0</v>
      </c>
      <c r="AM62" s="70">
        <f t="shared" ca="1" si="116"/>
        <v>185631.18394978045</v>
      </c>
      <c r="AN62" s="32"/>
      <c r="AO62" s="32"/>
      <c r="AP62" s="74"/>
      <c r="AQ62" s="37"/>
      <c r="AR62" s="37"/>
      <c r="AS62" s="36"/>
      <c r="AT62" s="36"/>
      <c r="AU62" s="36"/>
      <c r="AV62" s="36"/>
      <c r="AW62" s="36"/>
      <c r="AX62" s="36"/>
      <c r="AY62" s="36"/>
      <c r="AZ62" s="36"/>
      <c r="BA62" s="36"/>
      <c r="BB62" s="36"/>
      <c r="BC62" s="36"/>
      <c r="BD62" s="36"/>
      <c r="BE62" s="36"/>
      <c r="BF62" s="36"/>
      <c r="BG62" s="36"/>
      <c r="BH62" s="36"/>
      <c r="BI62" s="36">
        <f t="shared" ca="1" si="117"/>
        <v>185631.18394978045</v>
      </c>
      <c r="BJ62" s="36">
        <f t="shared" ca="1" si="118"/>
        <v>1856.3118394978044</v>
      </c>
      <c r="BK62" s="38">
        <f t="shared" si="119"/>
        <v>2.7896470588235296</v>
      </c>
      <c r="BL62" s="38"/>
      <c r="BM62" s="39"/>
    </row>
    <row r="63" spans="1:65" x14ac:dyDescent="0.2">
      <c r="A63" s="20">
        <v>6</v>
      </c>
      <c r="B63" s="27" t="s">
        <v>95</v>
      </c>
      <c r="C63" s="29">
        <v>10</v>
      </c>
      <c r="D63" s="30" t="s">
        <v>118</v>
      </c>
      <c r="E63" s="31" t="s">
        <v>202</v>
      </c>
      <c r="F63" s="28" t="s">
        <v>109</v>
      </c>
      <c r="G63" s="138">
        <v>139.48235294117649</v>
      </c>
      <c r="H63" s="76">
        <v>40397</v>
      </c>
      <c r="I63" s="76">
        <v>40405</v>
      </c>
      <c r="J63" s="78">
        <f t="shared" si="120"/>
        <v>19.926050420168071</v>
      </c>
      <c r="K63" s="32">
        <v>7</v>
      </c>
      <c r="L63" s="33">
        <f t="shared" si="121"/>
        <v>19.926050420168071</v>
      </c>
      <c r="M63" s="34"/>
      <c r="N63" s="34">
        <v>1</v>
      </c>
      <c r="O63" s="35">
        <f t="shared" si="101"/>
        <v>0</v>
      </c>
      <c r="P63" s="35">
        <f t="shared" si="102"/>
        <v>139.48235294117649</v>
      </c>
      <c r="Q63" s="34"/>
      <c r="R63" s="33"/>
      <c r="S63" s="34">
        <v>3</v>
      </c>
      <c r="T63" s="78">
        <f ca="1">IF(AND(N63&gt;0,P63&gt;0),SUMIF('Исходные данные'!$C$14:$J$30,S63,'Исходные данные'!$C$34:$J$41),IF(N63=0,0,IF(S63=0,"РОТ")))</f>
        <v>113.60344652812975</v>
      </c>
      <c r="U63" s="125">
        <f>O63*R63*'Исходные данные'!$C$39%</f>
        <v>0</v>
      </c>
      <c r="V63" s="125">
        <f ca="1">P63*T63*'Исходные данные'!$C$40%</f>
        <v>0</v>
      </c>
      <c r="W63" s="125">
        <f t="shared" si="103"/>
        <v>0</v>
      </c>
      <c r="X63" s="126">
        <f t="shared" ca="1" si="104"/>
        <v>6338.2704095882655</v>
      </c>
      <c r="Y63" s="125">
        <f t="shared" si="105"/>
        <v>0</v>
      </c>
      <c r="Z63" s="126"/>
      <c r="AA63" s="125">
        <f t="shared" si="106"/>
        <v>0</v>
      </c>
      <c r="AB63" s="126"/>
      <c r="AC63" s="124">
        <v>2.8</v>
      </c>
      <c r="AD63" s="125">
        <f t="shared" si="107"/>
        <v>0</v>
      </c>
      <c r="AE63" s="125">
        <f t="shared" ca="1" si="108"/>
        <v>62115.050013964996</v>
      </c>
      <c r="AF63" s="35">
        <f t="shared" ca="1" si="109"/>
        <v>0</v>
      </c>
      <c r="AG63" s="70">
        <f t="shared" ca="1" si="110"/>
        <v>9281.5591974890212</v>
      </c>
      <c r="AH63" s="35">
        <f t="shared" ca="1" si="111"/>
        <v>0</v>
      </c>
      <c r="AI63" s="35">
        <f t="shared" ca="1" si="112"/>
        <v>71396.609211454022</v>
      </c>
      <c r="AJ63" s="35">
        <f t="shared" ca="1" si="113"/>
        <v>0</v>
      </c>
      <c r="AK63" s="70">
        <f t="shared" ca="1" si="114"/>
        <v>21418.982763436205</v>
      </c>
      <c r="AL63" s="35">
        <f t="shared" ca="1" si="115"/>
        <v>0</v>
      </c>
      <c r="AM63" s="70">
        <f t="shared" ca="1" si="116"/>
        <v>92815.591974890223</v>
      </c>
      <c r="AN63" s="32"/>
      <c r="AO63" s="32"/>
      <c r="AP63" s="74"/>
      <c r="AQ63" s="37"/>
      <c r="AR63" s="37"/>
      <c r="AS63" s="36"/>
      <c r="AT63" s="36"/>
      <c r="AU63" s="36"/>
      <c r="AV63" s="36"/>
      <c r="AW63" s="36"/>
      <c r="AX63" s="36"/>
      <c r="AY63" s="36"/>
      <c r="AZ63" s="36"/>
      <c r="BA63" s="36"/>
      <c r="BB63" s="36"/>
      <c r="BC63" s="36"/>
      <c r="BD63" s="36"/>
      <c r="BE63" s="36"/>
      <c r="BF63" s="36"/>
      <c r="BG63" s="36"/>
      <c r="BH63" s="36"/>
      <c r="BI63" s="36">
        <f t="shared" ca="1" si="117"/>
        <v>92815.591974890223</v>
      </c>
      <c r="BJ63" s="36">
        <f t="shared" ca="1" si="118"/>
        <v>928.15591974890219</v>
      </c>
      <c r="BK63" s="38">
        <f t="shared" si="119"/>
        <v>1.3948235294117648</v>
      </c>
      <c r="BL63" s="38"/>
      <c r="BM63" s="39"/>
    </row>
    <row r="64" spans="1:65" x14ac:dyDescent="0.2">
      <c r="A64" s="20">
        <v>7</v>
      </c>
      <c r="B64" s="27" t="s">
        <v>96</v>
      </c>
      <c r="C64" s="29">
        <v>10</v>
      </c>
      <c r="D64" s="30" t="s">
        <v>118</v>
      </c>
      <c r="E64" s="31" t="s">
        <v>202</v>
      </c>
      <c r="F64" s="28" t="s">
        <v>109</v>
      </c>
      <c r="G64" s="138">
        <v>139.48235294117649</v>
      </c>
      <c r="H64" s="76">
        <v>40397</v>
      </c>
      <c r="I64" s="76">
        <v>40410</v>
      </c>
      <c r="J64" s="78">
        <f t="shared" si="120"/>
        <v>12.680213903743317</v>
      </c>
      <c r="K64" s="32">
        <v>11</v>
      </c>
      <c r="L64" s="33">
        <f t="shared" si="121"/>
        <v>12.680213903743317</v>
      </c>
      <c r="M64" s="34"/>
      <c r="N64" s="34">
        <v>1</v>
      </c>
      <c r="O64" s="35">
        <f t="shared" si="101"/>
        <v>0</v>
      </c>
      <c r="P64" s="35">
        <f t="shared" si="102"/>
        <v>88.761497326203212</v>
      </c>
      <c r="Q64" s="34"/>
      <c r="R64" s="33"/>
      <c r="S64" s="34">
        <v>2</v>
      </c>
      <c r="T64" s="78">
        <f ca="1">IF(AND(N64&gt;0,P64&gt;0),SUMIF('Исходные данные'!$C$14:$J$30,S64,'Исходные данные'!$C$34:$J$41),IF(N64=0,0,IF(S64=0,"РОТ")))</f>
        <v>105.700598073999</v>
      </c>
      <c r="U64" s="125">
        <f>O64*R64*'Исходные данные'!$C$39%</f>
        <v>0</v>
      </c>
      <c r="V64" s="125">
        <f ca="1">P64*T64*'Исходные данные'!$C$40%</f>
        <v>0</v>
      </c>
      <c r="W64" s="125">
        <f t="shared" si="103"/>
        <v>0</v>
      </c>
      <c r="X64" s="126">
        <f t="shared" ca="1" si="104"/>
        <v>3752.8573413293375</v>
      </c>
      <c r="Y64" s="125">
        <f t="shared" si="105"/>
        <v>0</v>
      </c>
      <c r="Z64" s="126"/>
      <c r="AA64" s="125">
        <f t="shared" si="106"/>
        <v>0</v>
      </c>
      <c r="AB64" s="126"/>
      <c r="AC64" s="124">
        <v>2.8</v>
      </c>
      <c r="AD64" s="125">
        <f t="shared" si="107"/>
        <v>0</v>
      </c>
      <c r="AE64" s="125">
        <f t="shared" ca="1" si="108"/>
        <v>36778.001945027507</v>
      </c>
      <c r="AF64" s="35">
        <f t="shared" ca="1" si="109"/>
        <v>0</v>
      </c>
      <c r="AG64" s="70">
        <f t="shared" ca="1" si="110"/>
        <v>5495.563509027098</v>
      </c>
      <c r="AH64" s="35">
        <f t="shared" ca="1" si="111"/>
        <v>0</v>
      </c>
      <c r="AI64" s="35">
        <f t="shared" ca="1" si="112"/>
        <v>42273.565454054602</v>
      </c>
      <c r="AJ64" s="35">
        <f t="shared" ca="1" si="113"/>
        <v>0</v>
      </c>
      <c r="AK64" s="70">
        <f t="shared" ca="1" si="114"/>
        <v>12682.06963621638</v>
      </c>
      <c r="AL64" s="35">
        <f t="shared" ca="1" si="115"/>
        <v>0</v>
      </c>
      <c r="AM64" s="70">
        <f t="shared" ca="1" si="116"/>
        <v>54955.635090270982</v>
      </c>
      <c r="AN64" s="32"/>
      <c r="AO64" s="32"/>
      <c r="AP64" s="74"/>
      <c r="AQ64" s="37"/>
      <c r="AR64" s="37"/>
      <c r="AS64" s="36"/>
      <c r="AT64" s="36"/>
      <c r="AU64" s="36"/>
      <c r="AV64" s="36"/>
      <c r="AW64" s="36"/>
      <c r="AX64" s="36"/>
      <c r="AY64" s="36"/>
      <c r="AZ64" s="36"/>
      <c r="BA64" s="36"/>
      <c r="BB64" s="36"/>
      <c r="BC64" s="36"/>
      <c r="BD64" s="36"/>
      <c r="BE64" s="36"/>
      <c r="BF64" s="36"/>
      <c r="BG64" s="36"/>
      <c r="BH64" s="36"/>
      <c r="BI64" s="36">
        <f t="shared" ca="1" si="117"/>
        <v>54955.635090270982</v>
      </c>
      <c r="BJ64" s="36">
        <f t="shared" ca="1" si="118"/>
        <v>549.55635090270982</v>
      </c>
      <c r="BK64" s="38">
        <f t="shared" si="119"/>
        <v>0.88761497326203209</v>
      </c>
      <c r="BL64" s="38"/>
      <c r="BM64" s="39"/>
    </row>
    <row r="65" spans="1:65" s="62" customFormat="1" x14ac:dyDescent="0.2">
      <c r="A65" s="59"/>
      <c r="B65" s="53" t="s">
        <v>21</v>
      </c>
      <c r="C65" s="53"/>
      <c r="D65" s="53"/>
      <c r="E65" s="53"/>
      <c r="F65" s="60"/>
      <c r="G65" s="61"/>
      <c r="H65" s="61"/>
      <c r="I65" s="61"/>
      <c r="J65" s="57">
        <f>SUM(J58:J64)</f>
        <v>385.27040998217467</v>
      </c>
      <c r="K65" s="57"/>
      <c r="L65" s="57">
        <f t="shared" ref="L65:BM65" si="122">SUM(L58:L64)</f>
        <v>405.19646040234278</v>
      </c>
      <c r="M65" s="57">
        <f t="shared" si="122"/>
        <v>0</v>
      </c>
      <c r="N65" s="57">
        <f t="shared" si="122"/>
        <v>8</v>
      </c>
      <c r="O65" s="57">
        <f t="shared" si="122"/>
        <v>0</v>
      </c>
      <c r="P65" s="57">
        <f t="shared" si="122"/>
        <v>2836.3752228163999</v>
      </c>
      <c r="Q65" s="57"/>
      <c r="R65" s="57"/>
      <c r="S65" s="57"/>
      <c r="T65" s="57"/>
      <c r="U65" s="57">
        <f t="shared" si="122"/>
        <v>0</v>
      </c>
      <c r="V65" s="57">
        <f t="shared" ca="1" si="122"/>
        <v>0</v>
      </c>
      <c r="W65" s="57">
        <f t="shared" si="122"/>
        <v>0</v>
      </c>
      <c r="X65" s="57">
        <f t="shared" ca="1" si="122"/>
        <v>129301.35858529943</v>
      </c>
      <c r="Y65" s="57">
        <f t="shared" si="122"/>
        <v>0</v>
      </c>
      <c r="Z65" s="57">
        <f t="shared" si="122"/>
        <v>0</v>
      </c>
      <c r="AA65" s="57">
        <f t="shared" si="122"/>
        <v>0</v>
      </c>
      <c r="AB65" s="57">
        <f t="shared" si="122"/>
        <v>0</v>
      </c>
      <c r="AC65" s="57"/>
      <c r="AD65" s="57">
        <f t="shared" si="122"/>
        <v>0</v>
      </c>
      <c r="AE65" s="57">
        <f t="shared" ca="1" si="122"/>
        <v>1267153.3141359345</v>
      </c>
      <c r="AF65" s="57">
        <f t="shared" ca="1" si="122"/>
        <v>0</v>
      </c>
      <c r="AG65" s="57">
        <f t="shared" ca="1" si="122"/>
        <v>189344.74808927756</v>
      </c>
      <c r="AH65" s="57">
        <f t="shared" ca="1" si="122"/>
        <v>0</v>
      </c>
      <c r="AI65" s="57">
        <f t="shared" ca="1" si="122"/>
        <v>1456498.0622252121</v>
      </c>
      <c r="AJ65" s="57">
        <f t="shared" ca="1" si="122"/>
        <v>0</v>
      </c>
      <c r="AK65" s="57">
        <f t="shared" ca="1" si="122"/>
        <v>436949.41866756364</v>
      </c>
      <c r="AL65" s="57">
        <f t="shared" ca="1" si="122"/>
        <v>0</v>
      </c>
      <c r="AM65" s="57">
        <f t="shared" ca="1" si="122"/>
        <v>1893447.4808927756</v>
      </c>
      <c r="AN65" s="57"/>
      <c r="AO65" s="57"/>
      <c r="AP65" s="57">
        <f t="shared" si="122"/>
        <v>0</v>
      </c>
      <c r="AQ65" s="57"/>
      <c r="AR65" s="57"/>
      <c r="AS65" s="57">
        <f t="shared" si="122"/>
        <v>0</v>
      </c>
      <c r="AT65" s="57"/>
      <c r="AU65" s="57"/>
      <c r="AV65" s="57"/>
      <c r="AW65" s="57"/>
      <c r="AX65" s="57"/>
      <c r="AY65" s="57">
        <f t="shared" si="122"/>
        <v>0</v>
      </c>
      <c r="AZ65" s="57"/>
      <c r="BA65" s="57">
        <f t="shared" si="122"/>
        <v>0</v>
      </c>
      <c r="BB65" s="57"/>
      <c r="BC65" s="57">
        <f t="shared" si="122"/>
        <v>0</v>
      </c>
      <c r="BD65" s="57"/>
      <c r="BE65" s="57">
        <f t="shared" si="122"/>
        <v>0</v>
      </c>
      <c r="BF65" s="57"/>
      <c r="BG65" s="57">
        <f t="shared" si="122"/>
        <v>0</v>
      </c>
      <c r="BH65" s="57">
        <f t="shared" si="122"/>
        <v>0</v>
      </c>
      <c r="BI65" s="57">
        <f t="shared" ca="1" si="122"/>
        <v>1893447.4808927756</v>
      </c>
      <c r="BJ65" s="57"/>
      <c r="BK65" s="57"/>
      <c r="BL65" s="57"/>
      <c r="BM65" s="57">
        <f t="shared" si="122"/>
        <v>0</v>
      </c>
    </row>
    <row r="66" spans="1:65" s="51" customFormat="1" x14ac:dyDescent="0.2">
      <c r="A66" s="48"/>
      <c r="B66" s="58" t="s">
        <v>29</v>
      </c>
      <c r="C66" s="58"/>
      <c r="D66" s="58"/>
      <c r="E66" s="58"/>
      <c r="F66" s="49"/>
      <c r="G66" s="50"/>
      <c r="H66" s="50"/>
      <c r="I66" s="50"/>
      <c r="J66" s="73">
        <f>J26+J36+J46+J56+J65</f>
        <v>832.00691179704006</v>
      </c>
      <c r="K66" s="73"/>
      <c r="L66" s="73">
        <f t="shared" ref="L66:BM66" si="123">L26+L36+L46+L56+L65</f>
        <v>900.59650982284097</v>
      </c>
      <c r="M66" s="73">
        <f t="shared" si="123"/>
        <v>40</v>
      </c>
      <c r="N66" s="73">
        <f t="shared" si="123"/>
        <v>23</v>
      </c>
      <c r="O66" s="73">
        <f t="shared" si="123"/>
        <v>1435.0603780414795</v>
      </c>
      <c r="P66" s="73">
        <f t="shared" si="123"/>
        <v>5111.1206062179408</v>
      </c>
      <c r="Q66" s="73"/>
      <c r="R66" s="73"/>
      <c r="S66" s="73"/>
      <c r="T66" s="73"/>
      <c r="U66" s="73">
        <f t="shared" ca="1" si="123"/>
        <v>0</v>
      </c>
      <c r="V66" s="73">
        <f t="shared" ca="1" si="123"/>
        <v>0</v>
      </c>
      <c r="W66" s="73">
        <f t="shared" ca="1" si="123"/>
        <v>86839.874836479416</v>
      </c>
      <c r="X66" s="73">
        <f t="shared" ca="1" si="123"/>
        <v>229404.81698640215</v>
      </c>
      <c r="Y66" s="73">
        <f t="shared" ca="1" si="123"/>
        <v>30393.956192767801</v>
      </c>
      <c r="Z66" s="73">
        <f t="shared" ca="1" si="123"/>
        <v>17518.105220192974</v>
      </c>
      <c r="AA66" s="73">
        <f t="shared" ca="1" si="123"/>
        <v>21709.968709119854</v>
      </c>
      <c r="AB66" s="73">
        <f t="shared" ca="1" si="123"/>
        <v>25025.864600275676</v>
      </c>
      <c r="AC66" s="73"/>
      <c r="AD66" s="73">
        <f t="shared" ca="1" si="123"/>
        <v>996921.76312278362</v>
      </c>
      <c r="AE66" s="73">
        <f t="shared" ca="1" si="123"/>
        <v>2367290.321964053</v>
      </c>
      <c r="AF66" s="73">
        <f t="shared" ca="1" si="123"/>
        <v>148965.32092639295</v>
      </c>
      <c r="AG66" s="73">
        <f t="shared" ca="1" si="123"/>
        <v>353733.03661531827</v>
      </c>
      <c r="AH66" s="73">
        <f t="shared" ca="1" si="123"/>
        <v>1145887.0840491764</v>
      </c>
      <c r="AI66" s="73">
        <f t="shared" ca="1" si="123"/>
        <v>2721023.3585793716</v>
      </c>
      <c r="AJ66" s="73">
        <f t="shared" ca="1" si="123"/>
        <v>343766.12521475297</v>
      </c>
      <c r="AK66" s="73">
        <f t="shared" ca="1" si="123"/>
        <v>816307.00757381145</v>
      </c>
      <c r="AL66" s="73">
        <f t="shared" ca="1" si="123"/>
        <v>1489653.2092639294</v>
      </c>
      <c r="AM66" s="73">
        <f t="shared" ca="1" si="123"/>
        <v>3537330.3661531829</v>
      </c>
      <c r="AN66" s="73"/>
      <c r="AO66" s="73"/>
      <c r="AP66" s="73" t="e">
        <f t="shared" si="123"/>
        <v>#REF!</v>
      </c>
      <c r="AQ66" s="73"/>
      <c r="AR66" s="73"/>
      <c r="AS66" s="73" t="e">
        <f t="shared" si="123"/>
        <v>#REF!</v>
      </c>
      <c r="AT66" s="73"/>
      <c r="AU66" s="73">
        <f>AU26+AU36+AU46+AU56+AU65</f>
        <v>284.1586867305063</v>
      </c>
      <c r="AV66" s="73"/>
      <c r="AW66" s="73">
        <f>AW26+AW36+AW46+AW56+AW65</f>
        <v>284158.68673050631</v>
      </c>
      <c r="AX66" s="73"/>
      <c r="AY66" s="73">
        <f t="shared" si="123"/>
        <v>20427.607051648003</v>
      </c>
      <c r="AZ66" s="73"/>
      <c r="BA66" s="73">
        <f t="shared" si="123"/>
        <v>12968.777514488955</v>
      </c>
      <c r="BB66" s="73"/>
      <c r="BC66" s="73">
        <f t="shared" si="123"/>
        <v>47190.093747302053</v>
      </c>
      <c r="BD66" s="73"/>
      <c r="BE66" s="73">
        <f t="shared" si="123"/>
        <v>7960.4648432948852</v>
      </c>
      <c r="BF66" s="73"/>
      <c r="BG66" s="73">
        <f t="shared" si="123"/>
        <v>3027.7622304518964</v>
      </c>
      <c r="BH66" s="73">
        <f t="shared" si="123"/>
        <v>895072.51928146183</v>
      </c>
      <c r="BI66" s="73" t="e">
        <f t="shared" ca="1" si="123"/>
        <v>#REF!</v>
      </c>
      <c r="BJ66" s="73"/>
      <c r="BK66" s="73"/>
      <c r="BL66" s="73"/>
      <c r="BM66" s="73">
        <f t="shared" si="123"/>
        <v>572.69531246725785</v>
      </c>
    </row>
  </sheetData>
  <mergeCells count="104">
    <mergeCell ref="AL13:AM14"/>
    <mergeCell ref="BE16:BE17"/>
    <mergeCell ref="BF16:BF17"/>
    <mergeCell ref="BG16:BG17"/>
    <mergeCell ref="BD16:BD17"/>
    <mergeCell ref="AX13:BA14"/>
    <mergeCell ref="BB13:BH14"/>
    <mergeCell ref="AX15:AY15"/>
    <mergeCell ref="AZ15:BA15"/>
    <mergeCell ref="BB15:BC15"/>
    <mergeCell ref="BD15:BE15"/>
    <mergeCell ref="BF15:BG15"/>
    <mergeCell ref="BB16:BB17"/>
    <mergeCell ref="BC16:BC17"/>
    <mergeCell ref="AO15:AO17"/>
    <mergeCell ref="BA16:BA17"/>
    <mergeCell ref="B57:E57"/>
    <mergeCell ref="B47:E47"/>
    <mergeCell ref="B27:E27"/>
    <mergeCell ref="B18:E18"/>
    <mergeCell ref="B19:E19"/>
    <mergeCell ref="B37:E37"/>
    <mergeCell ref="AN15:AN17"/>
    <mergeCell ref="AA15:AB15"/>
    <mergeCell ref="AJ15:AK15"/>
    <mergeCell ref="AF15:AG15"/>
    <mergeCell ref="AB16:AB17"/>
    <mergeCell ref="M15:M17"/>
    <mergeCell ref="N15:N17"/>
    <mergeCell ref="O15:P15"/>
    <mergeCell ref="AK16:AK17"/>
    <mergeCell ref="AL15:AL17"/>
    <mergeCell ref="AM15:AM17"/>
    <mergeCell ref="AD15:AD17"/>
    <mergeCell ref="O16:O17"/>
    <mergeCell ref="P16:P17"/>
    <mergeCell ref="Q16:Q17"/>
    <mergeCell ref="R16:R17"/>
    <mergeCell ref="AC15:AC17"/>
    <mergeCell ref="S16:S17"/>
    <mergeCell ref="AH13:AI14"/>
    <mergeCell ref="AF16:AF17"/>
    <mergeCell ref="AG16:AG17"/>
    <mergeCell ref="AI15:AI17"/>
    <mergeCell ref="AH15:AH17"/>
    <mergeCell ref="AC13:AE14"/>
    <mergeCell ref="T16:T17"/>
    <mergeCell ref="AJ13:AK14"/>
    <mergeCell ref="V15:V17"/>
    <mergeCell ref="W15:X15"/>
    <mergeCell ref="W16:W17"/>
    <mergeCell ref="X16:X17"/>
    <mergeCell ref="W13:X14"/>
    <mergeCell ref="Y13:Z14"/>
    <mergeCell ref="AA13:AB14"/>
    <mergeCell ref="AF13:AG14"/>
    <mergeCell ref="U13:V14"/>
    <mergeCell ref="Y16:Y17"/>
    <mergeCell ref="Z16:Z17"/>
    <mergeCell ref="AA16:AA17"/>
    <mergeCell ref="AE15:AE17"/>
    <mergeCell ref="AJ16:AJ17"/>
    <mergeCell ref="Q15:R15"/>
    <mergeCell ref="S15:T15"/>
    <mergeCell ref="AX16:AX17"/>
    <mergeCell ref="AY16:AY17"/>
    <mergeCell ref="AZ16:AZ17"/>
    <mergeCell ref="AP15:AP17"/>
    <mergeCell ref="AQ15:AQ17"/>
    <mergeCell ref="AR15:AR17"/>
    <mergeCell ref="AS15:AS17"/>
    <mergeCell ref="BI13:BJ14"/>
    <mergeCell ref="BH15:BH17"/>
    <mergeCell ref="BI15:BI17"/>
    <mergeCell ref="BJ15:BJ17"/>
    <mergeCell ref="BK13:BK17"/>
    <mergeCell ref="BL13:BM14"/>
    <mergeCell ref="BL15:BL17"/>
    <mergeCell ref="BM15:BM17"/>
    <mergeCell ref="H13:I14"/>
    <mergeCell ref="J13:J17"/>
    <mergeCell ref="K13:K17"/>
    <mergeCell ref="L13:L17"/>
    <mergeCell ref="H15:H17"/>
    <mergeCell ref="I15:I17"/>
    <mergeCell ref="AT13:AW14"/>
    <mergeCell ref="AT15:AT17"/>
    <mergeCell ref="AU15:AU17"/>
    <mergeCell ref="AV15:AV17"/>
    <mergeCell ref="AW15:AW17"/>
    <mergeCell ref="AN13:AS14"/>
    <mergeCell ref="M13:N14"/>
    <mergeCell ref="O13:P14"/>
    <mergeCell ref="Q13:T14"/>
    <mergeCell ref="U15:U17"/>
    <mergeCell ref="A13:A17"/>
    <mergeCell ref="B13:E14"/>
    <mergeCell ref="F13:F17"/>
    <mergeCell ref="G13:G17"/>
    <mergeCell ref="B15:B17"/>
    <mergeCell ref="C15:E15"/>
    <mergeCell ref="C16:C17"/>
    <mergeCell ref="D16:D17"/>
    <mergeCell ref="E16:E17"/>
  </mergeCells>
  <phoneticPr fontId="4" type="noConversion"/>
  <conditionalFormatting sqref="AP20:AP25 AS38:AW40 AS28:AW35 AP28:AP35 AP38:AP40 AX37:AX40 AN57:BM64 AR41:AX45 AN41:AP45 AQ44:AQ45 S48:S50 U20:AM25 AY19:BM25 H19:I66 AX27:BM36 AS20:AX25 J65:BM66 K27 K19 K37 K47 G65:G66 G19 G26:G27 G36:G37 G46:G47 G56:G57 R37 R27 R19 J19:J64 T27:T33 T19:T22 T37:T40 U27:AW27 T57:AM57 K36:T36 U19:AX19 K57 U36:AW37 K56:BM56 T25 S19:S25 K26:BM26 S27:S35 O19:P19 R41:R45 S37:S45 O27:P27 K46:BM46 O37:P37 O57:P57 L19:N25 Q19:Q25 L27:N35 Q27:Q35 L37:N45 Q37:Q45 L47:N55 O47:AM47 L57:N64 Q57:S64 AY37:BM45 U28:AM35 U38:AM45 U48:AM55 U58:AM64 Q51:S55 Q48:Q50 AO47 AO51:AO55 AP47:AP55 AS47:BM55 AQ47:AR47 AQ51:AR55 AN47:AN55">
    <cfRule type="cellIs" dxfId="19" priority="5" stopIfTrue="1" operator="greaterThan">
      <formula>0</formula>
    </cfRule>
  </conditionalFormatting>
  <conditionalFormatting sqref="AN20:AN25 AN28:AN35 AN38:AN40 K20:K25 K28:K35 K38:K45 K48:K55 K58:K64">
    <cfRule type="cellIs" dxfId="18" priority="6" stopIfTrue="1" operator="greaterThan">
      <formula>0</formula>
    </cfRule>
  </conditionalFormatting>
  <conditionalFormatting sqref="E48:E55 E28:E35 E58:E64 E38:E45 E20:E25">
    <cfRule type="cellIs" dxfId="17" priority="7" stopIfTrue="1" operator="equal">
      <formula>0</formula>
    </cfRule>
  </conditionalFormatting>
  <conditionalFormatting sqref="O20:P25 O28:P35 O38:P45 O48:P55 O58:P64">
    <cfRule type="cellIs" dxfId="16" priority="8" stopIfTrue="1" operator="greaterThan">
      <formula>0</formula>
    </cfRule>
  </conditionalFormatting>
  <conditionalFormatting sqref="G19 G26:G27 G36:G37 G46:G47 G56:G57">
    <cfRule type="cellIs" dxfId="15" priority="4" stopIfTrue="1" operator="greaterThan">
      <formula>0</formula>
    </cfRule>
  </conditionalFormatting>
  <conditionalFormatting sqref="E48:E55 E28:E35 E58:E64 E38:E45 E20:E25">
    <cfRule type="cellIs" dxfId="14" priority="3" stopIfTrue="1" operator="equal">
      <formula>0</formula>
    </cfRule>
  </conditionalFormatting>
  <conditionalFormatting sqref="AT31:AW31">
    <cfRule type="cellIs" dxfId="13" priority="2" stopIfTrue="1" operator="greaterThan">
      <formula>0</formula>
    </cfRule>
  </conditionalFormatting>
  <conditionalFormatting sqref="AN48:AN50">
    <cfRule type="cellIs" dxfId="12" priority="1" stopIfTrue="1" operator="greaterThan">
      <formula>0</formula>
    </cfRule>
  </conditionalFormatting>
  <dataValidations count="2">
    <dataValidation type="list" allowBlank="1" showInputMessage="1" showErrorMessage="1" sqref="AQ27:AR27 AQ57:AR64 AQ51:AR55">
      <formula1>#REF!</formula1>
    </dataValidation>
    <dataValidation type="list" allowBlank="1" showInputMessage="1" showErrorMessage="1" sqref="AQ41:AQ43">
      <formula1>$B$107:$B$110</formula1>
    </dataValidation>
  </dataValidations>
  <pageMargins left="0.18" right="0.18" top="0.18" bottom="0.18" header="0.23622047244094491" footer="0.15748031496062992"/>
  <pageSetup paperSize="9" scale="55" fitToWidth="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M66"/>
  <sheetViews>
    <sheetView workbookViewId="0">
      <selection activeCell="J13" sqref="J13:J17"/>
    </sheetView>
  </sheetViews>
  <sheetFormatPr defaultRowHeight="11.25" x14ac:dyDescent="0.2"/>
  <cols>
    <col min="1" max="1" width="3.85546875" style="15" customWidth="1"/>
    <col min="2" max="2" width="29.7109375" style="13" customWidth="1"/>
    <col min="3" max="3" width="5.42578125" style="13" customWidth="1"/>
    <col min="4" max="4" width="9.28515625" style="13" customWidth="1"/>
    <col min="5" max="5" width="7.42578125" style="13" customWidth="1"/>
    <col min="6" max="6" width="4.7109375" style="15" customWidth="1"/>
    <col min="7" max="7" width="9" style="13" customWidth="1"/>
    <col min="8" max="9" width="6.140625" style="13" customWidth="1"/>
    <col min="10" max="10" width="5.42578125" style="13" customWidth="1"/>
    <col min="11" max="12" width="6.140625" style="13" customWidth="1"/>
    <col min="13" max="13" width="7" style="13" customWidth="1"/>
    <col min="14" max="16" width="6.140625" style="13" customWidth="1"/>
    <col min="17" max="17" width="6.140625" style="18" customWidth="1"/>
    <col min="18" max="20" width="6.140625" style="13" customWidth="1"/>
    <col min="21" max="21" width="7.28515625" style="13" customWidth="1"/>
    <col min="22" max="22" width="6.7109375" style="13" customWidth="1"/>
    <col min="23" max="23" width="7.140625" style="13" customWidth="1"/>
    <col min="24" max="24" width="7.28515625" style="13" customWidth="1"/>
    <col min="25" max="27" width="6.140625" style="13" customWidth="1"/>
    <col min="28" max="29" width="7.28515625" style="13" customWidth="1"/>
    <col min="30" max="30" width="8" style="13" customWidth="1"/>
    <col min="31" max="31" width="8.7109375" style="13" customWidth="1"/>
    <col min="32" max="32" width="6.140625" style="13" customWidth="1"/>
    <col min="33" max="33" width="7.5703125" style="13" customWidth="1"/>
    <col min="34" max="34" width="7" style="13" customWidth="1"/>
    <col min="35" max="35" width="7.85546875" style="13" customWidth="1"/>
    <col min="36" max="36" width="6.140625" style="13" customWidth="1"/>
    <col min="37" max="37" width="8.42578125" style="13" customWidth="1"/>
    <col min="38" max="38" width="7.140625" style="13" customWidth="1"/>
    <col min="39" max="39" width="8.42578125" style="13" customWidth="1"/>
    <col min="40" max="41" width="6.140625" style="13" customWidth="1"/>
    <col min="42" max="42" width="7.28515625" style="16" customWidth="1"/>
    <col min="43" max="44" width="8.7109375" style="43" customWidth="1"/>
    <col min="45" max="49" width="9.5703125" style="16" customWidth="1"/>
    <col min="50" max="60" width="7.42578125" style="16" customWidth="1"/>
    <col min="61" max="61" width="9.28515625" style="16" customWidth="1"/>
    <col min="62" max="63" width="7.42578125" style="16" customWidth="1"/>
    <col min="64" max="64" width="9" style="17" customWidth="1"/>
    <col min="65" max="16384" width="9.140625" style="13"/>
  </cols>
  <sheetData>
    <row r="1" spans="1:65" s="7" customFormat="1" ht="15.75" x14ac:dyDescent="0.2">
      <c r="B1" s="47" t="s">
        <v>54</v>
      </c>
      <c r="E1" s="8"/>
      <c r="G1" s="6"/>
      <c r="H1" s="110" t="s">
        <v>428</v>
      </c>
      <c r="Q1" s="44"/>
      <c r="AP1" s="9"/>
      <c r="AQ1" s="10"/>
      <c r="AR1" s="10"/>
      <c r="AS1" s="9"/>
      <c r="AT1" s="9"/>
      <c r="AU1" s="9"/>
      <c r="AV1" s="9"/>
      <c r="AW1" s="9"/>
      <c r="AX1" s="9"/>
      <c r="AY1" s="9"/>
      <c r="AZ1" s="9"/>
      <c r="BA1" s="9"/>
      <c r="BB1" s="9"/>
      <c r="BC1" s="9"/>
      <c r="BD1" s="9"/>
      <c r="BE1" s="9"/>
      <c r="BF1" s="9"/>
      <c r="BG1" s="9"/>
      <c r="BH1" s="9"/>
      <c r="BI1" s="9"/>
      <c r="BJ1" s="9"/>
      <c r="BK1" s="9"/>
      <c r="BL1" s="11"/>
    </row>
    <row r="2" spans="1:65" s="7" customFormat="1" ht="15.75" x14ac:dyDescent="0.2">
      <c r="B2" s="47" t="s">
        <v>57</v>
      </c>
      <c r="E2" s="8"/>
      <c r="G2" s="6"/>
      <c r="Q2" s="44"/>
      <c r="AP2" s="9"/>
      <c r="AQ2" s="9"/>
      <c r="AR2" s="9"/>
      <c r="AS2" s="9"/>
      <c r="AT2" s="9"/>
      <c r="AU2" s="9"/>
      <c r="AV2" s="9"/>
      <c r="AW2" s="9"/>
      <c r="AX2" s="9"/>
      <c r="AY2" s="9"/>
      <c r="AZ2" s="9"/>
      <c r="BA2" s="9"/>
      <c r="BB2" s="9"/>
      <c r="BC2" s="9"/>
      <c r="BD2" s="9"/>
      <c r="BE2" s="9"/>
      <c r="BF2" s="9"/>
      <c r="BG2" s="9"/>
      <c r="BH2" s="9"/>
      <c r="BI2" s="9"/>
      <c r="BJ2" s="9"/>
      <c r="BK2" s="9"/>
      <c r="BL2" s="11"/>
    </row>
    <row r="3" spans="1:65" s="7" customFormat="1" ht="15.75" x14ac:dyDescent="0.2">
      <c r="B3" s="6"/>
      <c r="E3" s="8"/>
      <c r="G3" s="6"/>
      <c r="Q3" s="44"/>
      <c r="AP3" s="9"/>
      <c r="AQ3" s="9"/>
      <c r="AR3" s="9"/>
      <c r="AS3" s="9"/>
      <c r="AT3" s="9"/>
      <c r="AU3" s="9"/>
      <c r="AV3" s="9"/>
      <c r="AW3" s="9"/>
      <c r="AX3" s="9"/>
      <c r="AY3" s="9"/>
      <c r="AZ3" s="9"/>
      <c r="BA3" s="9"/>
      <c r="BB3" s="9"/>
      <c r="BC3" s="9"/>
      <c r="BD3" s="9"/>
      <c r="BE3" s="9"/>
      <c r="BF3" s="9"/>
      <c r="BG3" s="9"/>
      <c r="BH3" s="9"/>
      <c r="BI3" s="9"/>
      <c r="BJ3" s="9"/>
      <c r="BK3" s="9"/>
      <c r="BL3" s="11"/>
    </row>
    <row r="4" spans="1:65" s="1" customFormat="1" ht="12.75" customHeight="1" x14ac:dyDescent="0.2">
      <c r="B4" s="46" t="s">
        <v>83</v>
      </c>
      <c r="E4" s="2"/>
      <c r="G4" s="46"/>
      <c r="L4" s="46"/>
      <c r="Q4" s="3"/>
      <c r="AP4" s="4"/>
      <c r="AQ4" s="4"/>
      <c r="AR4" s="4"/>
      <c r="AS4" s="4"/>
      <c r="AT4" s="4"/>
      <c r="AU4" s="4"/>
      <c r="AV4" s="4"/>
      <c r="AW4" s="4"/>
      <c r="AX4" s="4"/>
      <c r="AY4" s="4"/>
      <c r="AZ4" s="4"/>
      <c r="BA4" s="4"/>
      <c r="BB4" s="4"/>
      <c r="BC4" s="4"/>
      <c r="BD4" s="4"/>
      <c r="BE4" s="4"/>
      <c r="BF4" s="4"/>
      <c r="BG4" s="4"/>
      <c r="BH4" s="4"/>
      <c r="BI4" s="4"/>
      <c r="BJ4" s="4"/>
      <c r="BK4" s="4"/>
      <c r="BL4" s="5"/>
    </row>
    <row r="5" spans="1:65" s="1" customFormat="1" ht="12.75" customHeight="1" x14ac:dyDescent="0.2">
      <c r="B5" s="46" t="s">
        <v>375</v>
      </c>
      <c r="D5" s="1">
        <v>100</v>
      </c>
      <c r="E5" s="2"/>
      <c r="J5" s="118"/>
      <c r="L5" s="46"/>
      <c r="Q5" s="3"/>
      <c r="AP5" s="4"/>
      <c r="AQ5" s="4"/>
      <c r="AR5" s="4"/>
      <c r="AS5" s="4"/>
      <c r="AT5" s="4"/>
      <c r="AU5" s="4"/>
      <c r="AV5" s="4"/>
      <c r="AW5" s="4"/>
      <c r="AX5" s="4"/>
      <c r="AY5" s="4"/>
      <c r="AZ5" s="4"/>
      <c r="BA5" s="4"/>
      <c r="BB5" s="4"/>
      <c r="BC5" s="4"/>
      <c r="BD5" s="4"/>
      <c r="BE5" s="4"/>
      <c r="BF5" s="4"/>
      <c r="BG5" s="4"/>
      <c r="BH5" s="4"/>
      <c r="BI5" s="4"/>
      <c r="BJ5" s="4"/>
      <c r="BK5" s="4"/>
      <c r="BL5" s="5"/>
    </row>
    <row r="6" spans="1:65" s="1" customFormat="1" ht="12.75" customHeight="1" x14ac:dyDescent="0.2">
      <c r="B6" s="1" t="s">
        <v>357</v>
      </c>
      <c r="E6" s="2"/>
      <c r="F6" s="45" t="s">
        <v>356</v>
      </c>
      <c r="G6" s="13"/>
      <c r="H6" s="13"/>
      <c r="J6" s="118"/>
      <c r="L6" s="46"/>
      <c r="Q6" s="3"/>
      <c r="AP6" s="4"/>
      <c r="AQ6" s="4"/>
      <c r="AR6" s="4"/>
      <c r="AS6" s="4"/>
      <c r="AT6" s="4"/>
      <c r="AU6" s="4"/>
      <c r="AV6" s="4"/>
      <c r="AW6" s="4"/>
      <c r="AX6" s="4"/>
      <c r="AY6" s="4"/>
      <c r="AZ6" s="4"/>
      <c r="BA6" s="4"/>
      <c r="BB6" s="4"/>
      <c r="BC6" s="4"/>
      <c r="BD6" s="4"/>
      <c r="BE6" s="4"/>
      <c r="BF6" s="4"/>
      <c r="BG6" s="4"/>
      <c r="BH6" s="4"/>
      <c r="BI6" s="4"/>
      <c r="BJ6" s="4"/>
      <c r="BK6" s="4"/>
      <c r="BL6" s="5"/>
    </row>
    <row r="7" spans="1:65" ht="12.75" customHeight="1" x14ac:dyDescent="0.2">
      <c r="B7" s="45" t="s">
        <v>217</v>
      </c>
      <c r="D7" s="163">
        <v>10.8</v>
      </c>
      <c r="E7" s="14"/>
      <c r="F7" s="45"/>
      <c r="G7" s="45" t="s">
        <v>217</v>
      </c>
      <c r="H7" s="13">
        <f>$D$5*D7</f>
        <v>1080</v>
      </c>
      <c r="J7" s="119"/>
      <c r="L7" s="45"/>
      <c r="Q7" s="15"/>
      <c r="AQ7" s="16"/>
      <c r="AR7" s="16"/>
    </row>
    <row r="8" spans="1:65" ht="12.75" customHeight="1" x14ac:dyDescent="0.2">
      <c r="B8" s="45" t="s">
        <v>218</v>
      </c>
      <c r="D8" s="163">
        <v>10.8</v>
      </c>
      <c r="E8" s="14"/>
      <c r="F8" s="45"/>
      <c r="G8" s="45" t="s">
        <v>218</v>
      </c>
      <c r="H8" s="13">
        <f>$D$5*D8</f>
        <v>1080</v>
      </c>
      <c r="J8" s="119"/>
      <c r="L8" s="45"/>
      <c r="Q8" s="15"/>
      <c r="AQ8" s="16"/>
      <c r="AR8" s="16"/>
    </row>
    <row r="9" spans="1:65" ht="12.75" customHeight="1" x14ac:dyDescent="0.2">
      <c r="B9" s="45" t="s">
        <v>219</v>
      </c>
      <c r="D9" s="163">
        <v>10.8</v>
      </c>
      <c r="E9" s="14"/>
      <c r="F9" s="45"/>
      <c r="G9" s="45" t="s">
        <v>219</v>
      </c>
      <c r="H9" s="13">
        <f>$D$5*D9</f>
        <v>1080</v>
      </c>
      <c r="J9" s="119"/>
      <c r="L9" s="45"/>
      <c r="Q9" s="15"/>
      <c r="AQ9" s="16"/>
      <c r="AR9" s="16"/>
    </row>
    <row r="10" spans="1:65" ht="12.75" customHeight="1" x14ac:dyDescent="0.2">
      <c r="B10" s="45" t="s">
        <v>220</v>
      </c>
      <c r="D10" s="163">
        <v>10.8</v>
      </c>
      <c r="E10" s="14"/>
      <c r="F10" s="45"/>
      <c r="G10" s="45" t="s">
        <v>220</v>
      </c>
      <c r="H10" s="13">
        <f>$D$5*D10</f>
        <v>1080</v>
      </c>
      <c r="J10" s="119"/>
      <c r="L10" s="45"/>
      <c r="Q10" s="15"/>
      <c r="AQ10" s="16"/>
      <c r="AR10" s="16"/>
    </row>
    <row r="11" spans="1:65" ht="12.75" customHeight="1" x14ac:dyDescent="0.2">
      <c r="B11" s="45" t="s">
        <v>221</v>
      </c>
      <c r="D11" s="163">
        <v>12.96</v>
      </c>
      <c r="E11" s="14"/>
      <c r="F11" s="45"/>
      <c r="G11" s="45" t="s">
        <v>221</v>
      </c>
      <c r="H11" s="13">
        <f>$D$5*D11</f>
        <v>1296</v>
      </c>
      <c r="J11" s="119"/>
      <c r="L11" s="45"/>
      <c r="Q11" s="15"/>
      <c r="AQ11" s="16"/>
      <c r="AR11" s="16"/>
    </row>
    <row r="12" spans="1:65" ht="12.75" customHeight="1" x14ac:dyDescent="0.2">
      <c r="D12" s="14"/>
      <c r="E12" s="7"/>
      <c r="F12" s="12"/>
      <c r="K12" s="7"/>
      <c r="L12" s="7"/>
      <c r="N12" s="7"/>
      <c r="Q12" s="15"/>
      <c r="AQ12" s="16"/>
      <c r="AR12" s="16"/>
    </row>
    <row r="13" spans="1:65" s="6" customFormat="1" ht="39.75" customHeight="1" x14ac:dyDescent="0.2">
      <c r="A13" s="534" t="s">
        <v>55</v>
      </c>
      <c r="B13" s="535" t="s">
        <v>51</v>
      </c>
      <c r="C13" s="535"/>
      <c r="D13" s="535"/>
      <c r="E13" s="535"/>
      <c r="F13" s="534" t="s">
        <v>15</v>
      </c>
      <c r="G13" s="534" t="s">
        <v>34</v>
      </c>
      <c r="H13" s="535" t="s">
        <v>30</v>
      </c>
      <c r="I13" s="535"/>
      <c r="J13" s="534" t="s">
        <v>33</v>
      </c>
      <c r="K13" s="534" t="s">
        <v>39</v>
      </c>
      <c r="L13" s="534" t="s">
        <v>38</v>
      </c>
      <c r="M13" s="535" t="s">
        <v>35</v>
      </c>
      <c r="N13" s="535"/>
      <c r="O13" s="535" t="s">
        <v>315</v>
      </c>
      <c r="P13" s="535"/>
      <c r="Q13" s="535" t="s">
        <v>314</v>
      </c>
      <c r="R13" s="535"/>
      <c r="S13" s="535"/>
      <c r="T13" s="535"/>
      <c r="U13" s="535" t="s">
        <v>316</v>
      </c>
      <c r="V13" s="535"/>
      <c r="W13" s="535" t="s">
        <v>317</v>
      </c>
      <c r="X13" s="535"/>
      <c r="Y13" s="535" t="s">
        <v>318</v>
      </c>
      <c r="Z13" s="535"/>
      <c r="AA13" s="535" t="s">
        <v>319</v>
      </c>
      <c r="AB13" s="535"/>
      <c r="AC13" s="543" t="s">
        <v>425</v>
      </c>
      <c r="AD13" s="544"/>
      <c r="AE13" s="545"/>
      <c r="AF13" s="535" t="s">
        <v>163</v>
      </c>
      <c r="AG13" s="535"/>
      <c r="AH13" s="535" t="s">
        <v>320</v>
      </c>
      <c r="AI13" s="535"/>
      <c r="AJ13" s="535" t="s">
        <v>321</v>
      </c>
      <c r="AK13" s="535"/>
      <c r="AL13" s="535" t="s">
        <v>322</v>
      </c>
      <c r="AM13" s="535"/>
      <c r="AN13" s="535" t="s">
        <v>13</v>
      </c>
      <c r="AO13" s="535"/>
      <c r="AP13" s="535"/>
      <c r="AQ13" s="535"/>
      <c r="AR13" s="535"/>
      <c r="AS13" s="535"/>
      <c r="AT13" s="543" t="s">
        <v>394</v>
      </c>
      <c r="AU13" s="544"/>
      <c r="AV13" s="544"/>
      <c r="AW13" s="545"/>
      <c r="AX13" s="535" t="s">
        <v>44</v>
      </c>
      <c r="AY13" s="535"/>
      <c r="AZ13" s="535"/>
      <c r="BA13" s="535"/>
      <c r="BB13" s="535" t="s">
        <v>312</v>
      </c>
      <c r="BC13" s="535"/>
      <c r="BD13" s="535"/>
      <c r="BE13" s="535"/>
      <c r="BF13" s="535"/>
      <c r="BG13" s="535"/>
      <c r="BH13" s="535"/>
      <c r="BI13" s="535" t="s">
        <v>48</v>
      </c>
      <c r="BJ13" s="535"/>
      <c r="BK13" s="535" t="s">
        <v>326</v>
      </c>
      <c r="BL13" s="549" t="s">
        <v>58</v>
      </c>
      <c r="BM13" s="549"/>
    </row>
    <row r="14" spans="1:65" s="6" customFormat="1" ht="40.5" customHeight="1" x14ac:dyDescent="0.2">
      <c r="A14" s="534"/>
      <c r="B14" s="535"/>
      <c r="C14" s="535"/>
      <c r="D14" s="535"/>
      <c r="E14" s="535"/>
      <c r="F14" s="534"/>
      <c r="G14" s="534"/>
      <c r="H14" s="535"/>
      <c r="I14" s="535"/>
      <c r="J14" s="534"/>
      <c r="K14" s="534"/>
      <c r="L14" s="534"/>
      <c r="M14" s="535"/>
      <c r="N14" s="535"/>
      <c r="O14" s="535"/>
      <c r="P14" s="535"/>
      <c r="Q14" s="535"/>
      <c r="R14" s="535"/>
      <c r="S14" s="535"/>
      <c r="T14" s="535"/>
      <c r="U14" s="535"/>
      <c r="V14" s="535"/>
      <c r="W14" s="535"/>
      <c r="X14" s="535"/>
      <c r="Y14" s="535"/>
      <c r="Z14" s="535"/>
      <c r="AA14" s="535"/>
      <c r="AB14" s="535"/>
      <c r="AC14" s="546"/>
      <c r="AD14" s="547"/>
      <c r="AE14" s="548"/>
      <c r="AF14" s="535"/>
      <c r="AG14" s="535"/>
      <c r="AH14" s="535"/>
      <c r="AI14" s="535"/>
      <c r="AJ14" s="535"/>
      <c r="AK14" s="535"/>
      <c r="AL14" s="535"/>
      <c r="AM14" s="535"/>
      <c r="AN14" s="535"/>
      <c r="AO14" s="535"/>
      <c r="AP14" s="535"/>
      <c r="AQ14" s="535"/>
      <c r="AR14" s="535"/>
      <c r="AS14" s="535"/>
      <c r="AT14" s="546"/>
      <c r="AU14" s="547"/>
      <c r="AV14" s="547"/>
      <c r="AW14" s="548"/>
      <c r="AX14" s="535"/>
      <c r="AY14" s="535"/>
      <c r="AZ14" s="535"/>
      <c r="BA14" s="535"/>
      <c r="BB14" s="535"/>
      <c r="BC14" s="535"/>
      <c r="BD14" s="535"/>
      <c r="BE14" s="535"/>
      <c r="BF14" s="535"/>
      <c r="BG14" s="535"/>
      <c r="BH14" s="535"/>
      <c r="BI14" s="535"/>
      <c r="BJ14" s="535"/>
      <c r="BK14" s="535"/>
      <c r="BL14" s="549"/>
      <c r="BM14" s="549"/>
    </row>
    <row r="15" spans="1:65" s="6" customFormat="1" ht="38.25" customHeight="1" x14ac:dyDescent="0.2">
      <c r="A15" s="534"/>
      <c r="B15" s="535" t="s">
        <v>12</v>
      </c>
      <c r="C15" s="535" t="s">
        <v>40</v>
      </c>
      <c r="D15" s="535"/>
      <c r="E15" s="535"/>
      <c r="F15" s="534"/>
      <c r="G15" s="534"/>
      <c r="H15" s="534" t="s">
        <v>31</v>
      </c>
      <c r="I15" s="534" t="s">
        <v>32</v>
      </c>
      <c r="J15" s="534"/>
      <c r="K15" s="534"/>
      <c r="L15" s="534"/>
      <c r="M15" s="534" t="s">
        <v>36</v>
      </c>
      <c r="N15" s="534" t="s">
        <v>37</v>
      </c>
      <c r="O15" s="477">
        <v>7</v>
      </c>
      <c r="P15" s="477"/>
      <c r="Q15" s="535" t="s">
        <v>36</v>
      </c>
      <c r="R15" s="535"/>
      <c r="S15" s="535" t="s">
        <v>37</v>
      </c>
      <c r="T15" s="535"/>
      <c r="U15" s="534" t="s">
        <v>16</v>
      </c>
      <c r="V15" s="534" t="s">
        <v>17</v>
      </c>
      <c r="W15" s="550">
        <v>0.4</v>
      </c>
      <c r="X15" s="550"/>
      <c r="Y15" s="71">
        <v>0.1</v>
      </c>
      <c r="Z15" s="71">
        <v>0.05</v>
      </c>
      <c r="AA15" s="556">
        <v>0.1</v>
      </c>
      <c r="AB15" s="556"/>
      <c r="AC15" s="552" t="s">
        <v>18</v>
      </c>
      <c r="AD15" s="552" t="s">
        <v>16</v>
      </c>
      <c r="AE15" s="552" t="s">
        <v>17</v>
      </c>
      <c r="AF15" s="556">
        <f ca="1">(((((AD66/O66)*167)/29*(52/12)))/((AD66/O66)*167))</f>
        <v>0.14942528735632182</v>
      </c>
      <c r="AG15" s="556"/>
      <c r="AH15" s="534" t="s">
        <v>16</v>
      </c>
      <c r="AI15" s="534" t="s">
        <v>17</v>
      </c>
      <c r="AJ15" s="556">
        <v>0.3</v>
      </c>
      <c r="AK15" s="556"/>
      <c r="AL15" s="534" t="s">
        <v>16</v>
      </c>
      <c r="AM15" s="534" t="s">
        <v>17</v>
      </c>
      <c r="AN15" s="534" t="s">
        <v>328</v>
      </c>
      <c r="AO15" s="534" t="s">
        <v>42</v>
      </c>
      <c r="AP15" s="509" t="s">
        <v>49</v>
      </c>
      <c r="AQ15" s="509" t="s">
        <v>43</v>
      </c>
      <c r="AR15" s="509" t="s">
        <v>323</v>
      </c>
      <c r="AS15" s="509" t="s">
        <v>324</v>
      </c>
      <c r="AT15" s="534" t="s">
        <v>407</v>
      </c>
      <c r="AU15" s="509" t="s">
        <v>408</v>
      </c>
      <c r="AV15" s="509" t="s">
        <v>409</v>
      </c>
      <c r="AW15" s="509" t="s">
        <v>324</v>
      </c>
      <c r="AX15" s="549" t="s">
        <v>45</v>
      </c>
      <c r="AY15" s="549"/>
      <c r="AZ15" s="549" t="s">
        <v>46</v>
      </c>
      <c r="BA15" s="549"/>
      <c r="BB15" s="549" t="s">
        <v>307</v>
      </c>
      <c r="BC15" s="549"/>
      <c r="BD15" s="549" t="s">
        <v>308</v>
      </c>
      <c r="BE15" s="549"/>
      <c r="BF15" s="549" t="s">
        <v>309</v>
      </c>
      <c r="BG15" s="549"/>
      <c r="BH15" s="534" t="s">
        <v>310</v>
      </c>
      <c r="BI15" s="509" t="s">
        <v>311</v>
      </c>
      <c r="BJ15" s="509" t="s">
        <v>327</v>
      </c>
      <c r="BK15" s="535"/>
      <c r="BL15" s="509" t="s">
        <v>50</v>
      </c>
      <c r="BM15" s="509" t="s">
        <v>14</v>
      </c>
    </row>
    <row r="16" spans="1:65" s="6" customFormat="1" ht="48" customHeight="1" x14ac:dyDescent="0.2">
      <c r="A16" s="534"/>
      <c r="B16" s="535"/>
      <c r="C16" s="534" t="s">
        <v>41</v>
      </c>
      <c r="D16" s="534" t="s">
        <v>53</v>
      </c>
      <c r="E16" s="534" t="s">
        <v>52</v>
      </c>
      <c r="F16" s="534"/>
      <c r="G16" s="534"/>
      <c r="H16" s="534"/>
      <c r="I16" s="534"/>
      <c r="J16" s="534"/>
      <c r="K16" s="534"/>
      <c r="L16" s="534"/>
      <c r="M16" s="534"/>
      <c r="N16" s="534"/>
      <c r="O16" s="534" t="s">
        <v>36</v>
      </c>
      <c r="P16" s="534" t="s">
        <v>37</v>
      </c>
      <c r="Q16" s="536" t="s">
        <v>19</v>
      </c>
      <c r="R16" s="534" t="s">
        <v>20</v>
      </c>
      <c r="S16" s="536" t="s">
        <v>19</v>
      </c>
      <c r="T16" s="534" t="s">
        <v>20</v>
      </c>
      <c r="U16" s="534"/>
      <c r="V16" s="534"/>
      <c r="W16" s="534" t="s">
        <v>16</v>
      </c>
      <c r="X16" s="534" t="s">
        <v>17</v>
      </c>
      <c r="Y16" s="534" t="s">
        <v>172</v>
      </c>
      <c r="Z16" s="534" t="s">
        <v>173</v>
      </c>
      <c r="AA16" s="534" t="s">
        <v>16</v>
      </c>
      <c r="AB16" s="534" t="s">
        <v>17</v>
      </c>
      <c r="AC16" s="553"/>
      <c r="AD16" s="553"/>
      <c r="AE16" s="553"/>
      <c r="AF16" s="534" t="s">
        <v>16</v>
      </c>
      <c r="AG16" s="534" t="s">
        <v>17</v>
      </c>
      <c r="AH16" s="534"/>
      <c r="AI16" s="534"/>
      <c r="AJ16" s="534" t="s">
        <v>16</v>
      </c>
      <c r="AK16" s="534" t="s">
        <v>17</v>
      </c>
      <c r="AL16" s="534"/>
      <c r="AM16" s="534"/>
      <c r="AN16" s="534"/>
      <c r="AO16" s="534"/>
      <c r="AP16" s="509"/>
      <c r="AQ16" s="509"/>
      <c r="AR16" s="509"/>
      <c r="AS16" s="509"/>
      <c r="AT16" s="534"/>
      <c r="AU16" s="509"/>
      <c r="AV16" s="509"/>
      <c r="AW16" s="509"/>
      <c r="AX16" s="509" t="s">
        <v>47</v>
      </c>
      <c r="AY16" s="509" t="s">
        <v>313</v>
      </c>
      <c r="AZ16" s="509" t="s">
        <v>47</v>
      </c>
      <c r="BA16" s="509" t="s">
        <v>313</v>
      </c>
      <c r="BB16" s="509" t="s">
        <v>306</v>
      </c>
      <c r="BC16" s="509" t="s">
        <v>313</v>
      </c>
      <c r="BD16" s="509" t="s">
        <v>306</v>
      </c>
      <c r="BE16" s="509" t="s">
        <v>313</v>
      </c>
      <c r="BF16" s="509" t="s">
        <v>306</v>
      </c>
      <c r="BG16" s="509" t="s">
        <v>313</v>
      </c>
      <c r="BH16" s="534"/>
      <c r="BI16" s="509"/>
      <c r="BJ16" s="509"/>
      <c r="BK16" s="535"/>
      <c r="BL16" s="509"/>
      <c r="BM16" s="509"/>
    </row>
    <row r="17" spans="1:65" s="6" customFormat="1" ht="76.5" customHeight="1" x14ac:dyDescent="0.2">
      <c r="A17" s="534"/>
      <c r="B17" s="535"/>
      <c r="C17" s="534"/>
      <c r="D17" s="534"/>
      <c r="E17" s="534"/>
      <c r="F17" s="534"/>
      <c r="G17" s="534"/>
      <c r="H17" s="534"/>
      <c r="I17" s="534"/>
      <c r="J17" s="534"/>
      <c r="K17" s="534"/>
      <c r="L17" s="534"/>
      <c r="M17" s="534"/>
      <c r="N17" s="534"/>
      <c r="O17" s="534"/>
      <c r="P17" s="534"/>
      <c r="Q17" s="536"/>
      <c r="R17" s="534"/>
      <c r="S17" s="536"/>
      <c r="T17" s="534"/>
      <c r="U17" s="534"/>
      <c r="V17" s="534"/>
      <c r="W17" s="534"/>
      <c r="X17" s="534"/>
      <c r="Y17" s="534"/>
      <c r="Z17" s="534"/>
      <c r="AA17" s="534"/>
      <c r="AB17" s="534"/>
      <c r="AC17" s="554"/>
      <c r="AD17" s="554"/>
      <c r="AE17" s="554"/>
      <c r="AF17" s="534"/>
      <c r="AG17" s="534"/>
      <c r="AH17" s="534"/>
      <c r="AI17" s="534"/>
      <c r="AJ17" s="534"/>
      <c r="AK17" s="534"/>
      <c r="AL17" s="534"/>
      <c r="AM17" s="534"/>
      <c r="AN17" s="534"/>
      <c r="AO17" s="534"/>
      <c r="AP17" s="509"/>
      <c r="AQ17" s="509"/>
      <c r="AR17" s="509"/>
      <c r="AS17" s="509"/>
      <c r="AT17" s="534"/>
      <c r="AU17" s="509"/>
      <c r="AV17" s="509"/>
      <c r="AW17" s="509"/>
      <c r="AX17" s="509"/>
      <c r="AY17" s="509"/>
      <c r="AZ17" s="509"/>
      <c r="BA17" s="509"/>
      <c r="BB17" s="509"/>
      <c r="BC17" s="509"/>
      <c r="BD17" s="509"/>
      <c r="BE17" s="509"/>
      <c r="BF17" s="509"/>
      <c r="BG17" s="509"/>
      <c r="BH17" s="534"/>
      <c r="BI17" s="509"/>
      <c r="BJ17" s="509"/>
      <c r="BK17" s="535"/>
      <c r="BL17" s="509"/>
      <c r="BM17" s="509"/>
    </row>
    <row r="18" spans="1:65" x14ac:dyDescent="0.2">
      <c r="A18" s="20">
        <f>COLUMN(A18)</f>
        <v>1</v>
      </c>
      <c r="B18" s="555">
        <f>COLUMN(B18)</f>
        <v>2</v>
      </c>
      <c r="C18" s="555"/>
      <c r="D18" s="555"/>
      <c r="E18" s="555"/>
      <c r="F18" s="20">
        <v>3</v>
      </c>
      <c r="G18" s="20">
        <f t="shared" ref="G18:BI18" si="0">F18+1</f>
        <v>4</v>
      </c>
      <c r="H18" s="20">
        <f t="shared" si="0"/>
        <v>5</v>
      </c>
      <c r="I18" s="20">
        <f t="shared" si="0"/>
        <v>6</v>
      </c>
      <c r="J18" s="20">
        <f t="shared" si="0"/>
        <v>7</v>
      </c>
      <c r="K18" s="20">
        <f t="shared" si="0"/>
        <v>8</v>
      </c>
      <c r="L18" s="20">
        <f t="shared" si="0"/>
        <v>9</v>
      </c>
      <c r="M18" s="20">
        <f t="shared" si="0"/>
        <v>10</v>
      </c>
      <c r="N18" s="20">
        <f t="shared" si="0"/>
        <v>11</v>
      </c>
      <c r="O18" s="20">
        <f t="shared" si="0"/>
        <v>12</v>
      </c>
      <c r="P18" s="20">
        <f t="shared" si="0"/>
        <v>13</v>
      </c>
      <c r="Q18" s="20">
        <f t="shared" si="0"/>
        <v>14</v>
      </c>
      <c r="R18" s="20">
        <f t="shared" si="0"/>
        <v>15</v>
      </c>
      <c r="S18" s="20">
        <f t="shared" si="0"/>
        <v>16</v>
      </c>
      <c r="T18" s="20">
        <f t="shared" si="0"/>
        <v>17</v>
      </c>
      <c r="U18" s="20">
        <f t="shared" si="0"/>
        <v>18</v>
      </c>
      <c r="V18" s="20">
        <f t="shared" si="0"/>
        <v>19</v>
      </c>
      <c r="W18" s="20">
        <f t="shared" si="0"/>
        <v>20</v>
      </c>
      <c r="X18" s="20">
        <f t="shared" si="0"/>
        <v>21</v>
      </c>
      <c r="Y18" s="20">
        <f t="shared" si="0"/>
        <v>22</v>
      </c>
      <c r="Z18" s="20">
        <f t="shared" si="0"/>
        <v>23</v>
      </c>
      <c r="AA18" s="20">
        <f t="shared" si="0"/>
        <v>24</v>
      </c>
      <c r="AB18" s="20">
        <f t="shared" si="0"/>
        <v>25</v>
      </c>
      <c r="AC18" s="20">
        <f t="shared" si="0"/>
        <v>26</v>
      </c>
      <c r="AD18" s="20">
        <f t="shared" si="0"/>
        <v>27</v>
      </c>
      <c r="AE18" s="20">
        <f t="shared" si="0"/>
        <v>28</v>
      </c>
      <c r="AF18" s="20">
        <f t="shared" si="0"/>
        <v>29</v>
      </c>
      <c r="AG18" s="20">
        <f t="shared" si="0"/>
        <v>30</v>
      </c>
      <c r="AH18" s="20">
        <f t="shared" si="0"/>
        <v>31</v>
      </c>
      <c r="AI18" s="20">
        <f t="shared" si="0"/>
        <v>32</v>
      </c>
      <c r="AJ18" s="20">
        <f t="shared" si="0"/>
        <v>33</v>
      </c>
      <c r="AK18" s="20">
        <f t="shared" si="0"/>
        <v>34</v>
      </c>
      <c r="AL18" s="20">
        <f t="shared" si="0"/>
        <v>35</v>
      </c>
      <c r="AM18" s="20">
        <f t="shared" si="0"/>
        <v>36</v>
      </c>
      <c r="AN18" s="20">
        <f t="shared" si="0"/>
        <v>37</v>
      </c>
      <c r="AO18" s="20">
        <f t="shared" si="0"/>
        <v>38</v>
      </c>
      <c r="AP18" s="20">
        <f t="shared" si="0"/>
        <v>39</v>
      </c>
      <c r="AQ18" s="20">
        <f t="shared" si="0"/>
        <v>40</v>
      </c>
      <c r="AR18" s="20">
        <f t="shared" si="0"/>
        <v>41</v>
      </c>
      <c r="AS18" s="20">
        <f t="shared" si="0"/>
        <v>42</v>
      </c>
      <c r="AT18" s="20">
        <f t="shared" si="0"/>
        <v>43</v>
      </c>
      <c r="AU18" s="20">
        <f t="shared" si="0"/>
        <v>44</v>
      </c>
      <c r="AV18" s="20">
        <f t="shared" si="0"/>
        <v>45</v>
      </c>
      <c r="AW18" s="20">
        <f t="shared" si="0"/>
        <v>46</v>
      </c>
      <c r="AX18" s="20">
        <f t="shared" si="0"/>
        <v>47</v>
      </c>
      <c r="AY18" s="20">
        <f t="shared" si="0"/>
        <v>48</v>
      </c>
      <c r="AZ18" s="20">
        <f t="shared" si="0"/>
        <v>49</v>
      </c>
      <c r="BA18" s="20">
        <f t="shared" si="0"/>
        <v>50</v>
      </c>
      <c r="BB18" s="20">
        <f t="shared" si="0"/>
        <v>51</v>
      </c>
      <c r="BC18" s="20">
        <f t="shared" si="0"/>
        <v>52</v>
      </c>
      <c r="BD18" s="20">
        <f t="shared" si="0"/>
        <v>53</v>
      </c>
      <c r="BE18" s="20">
        <f t="shared" si="0"/>
        <v>54</v>
      </c>
      <c r="BF18" s="20">
        <f t="shared" si="0"/>
        <v>55</v>
      </c>
      <c r="BG18" s="20">
        <f t="shared" si="0"/>
        <v>56</v>
      </c>
      <c r="BH18" s="20">
        <f t="shared" si="0"/>
        <v>57</v>
      </c>
      <c r="BI18" s="20">
        <f t="shared" si="0"/>
        <v>58</v>
      </c>
      <c r="BJ18" s="20">
        <f>BI18+1</f>
        <v>59</v>
      </c>
      <c r="BK18" s="20">
        <f>BJ18+1</f>
        <v>60</v>
      </c>
      <c r="BL18" s="20">
        <f>BK18+1</f>
        <v>61</v>
      </c>
      <c r="BM18" s="20">
        <f>BL18+1</f>
        <v>62</v>
      </c>
    </row>
    <row r="19" spans="1:65" s="7" customFormat="1" ht="24" customHeight="1" x14ac:dyDescent="0.2">
      <c r="A19" s="21"/>
      <c r="B19" s="560" t="s">
        <v>99</v>
      </c>
      <c r="C19" s="561"/>
      <c r="D19" s="561"/>
      <c r="E19" s="562"/>
      <c r="F19" s="22"/>
      <c r="G19" s="23"/>
      <c r="H19" s="23"/>
      <c r="I19" s="23"/>
      <c r="J19" s="23"/>
      <c r="K19" s="23"/>
      <c r="L19" s="23"/>
      <c r="M19" s="23"/>
      <c r="N19" s="23"/>
      <c r="O19" s="23"/>
      <c r="P19" s="23"/>
      <c r="Q19" s="24"/>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5"/>
      <c r="AQ19" s="26"/>
      <c r="AR19" s="26"/>
      <c r="AS19" s="25"/>
      <c r="AT19" s="25"/>
      <c r="AU19" s="25"/>
      <c r="AV19" s="25"/>
      <c r="AW19" s="25"/>
      <c r="AX19" s="25"/>
      <c r="AY19" s="25"/>
      <c r="AZ19" s="25"/>
      <c r="BA19" s="25"/>
      <c r="BB19" s="25"/>
      <c r="BC19" s="25"/>
      <c r="BD19" s="25"/>
      <c r="BE19" s="25"/>
      <c r="BF19" s="25"/>
      <c r="BG19" s="25"/>
      <c r="BH19" s="25"/>
      <c r="BI19" s="25"/>
      <c r="BJ19" s="25"/>
      <c r="BK19" s="25"/>
      <c r="BL19" s="25"/>
      <c r="BM19" s="23"/>
    </row>
    <row r="20" spans="1:65" x14ac:dyDescent="0.2">
      <c r="A20" s="19">
        <v>1</v>
      </c>
      <c r="B20" s="27" t="s">
        <v>76</v>
      </c>
      <c r="C20" s="29">
        <v>2</v>
      </c>
      <c r="D20" s="30" t="s">
        <v>105</v>
      </c>
      <c r="E20" s="31" t="s">
        <v>198</v>
      </c>
      <c r="F20" s="28" t="s">
        <v>106</v>
      </c>
      <c r="G20" s="138">
        <f>D5</f>
        <v>100</v>
      </c>
      <c r="H20" s="76">
        <v>40374</v>
      </c>
      <c r="I20" s="76">
        <v>40377</v>
      </c>
      <c r="J20" s="78">
        <f>L20/M20</f>
        <v>16.666666666666668</v>
      </c>
      <c r="K20" s="32">
        <v>6</v>
      </c>
      <c r="L20" s="33">
        <f t="shared" ref="L20:L25" si="1">G20/K20</f>
        <v>16.666666666666668</v>
      </c>
      <c r="M20" s="34">
        <v>1</v>
      </c>
      <c r="N20" s="34"/>
      <c r="O20" s="35">
        <f t="shared" ref="O20:O25" si="2">IF(M20=0,0,L20*$O$15)</f>
        <v>116.66666666666667</v>
      </c>
      <c r="P20" s="35">
        <f t="shared" ref="P20:P25" si="3">IF(N20=0,0,L20*$O$15)</f>
        <v>0</v>
      </c>
      <c r="Q20" s="34">
        <v>4</v>
      </c>
      <c r="R20" s="78">
        <f>IF(AND(O20&gt;0,Q20&gt;0),SUMIF('Исходные данные'!$C$14:H14,Q20,'Исходные данные'!$C$18:$H$18),IF(O20=0,0,IF(Q20=0,"РОТ")))</f>
        <v>156.08125696908263</v>
      </c>
      <c r="S20" s="34"/>
      <c r="T20" s="33"/>
      <c r="U20" s="125">
        <f>O20*R20*'Исходные данные'!$C$39%</f>
        <v>0</v>
      </c>
      <c r="V20" s="125">
        <f>P20*T20*'Исходные данные'!$C$40%</f>
        <v>0</v>
      </c>
      <c r="W20" s="125">
        <f t="shared" ref="W20:W25" si="4">O20*R20*$W$15</f>
        <v>7283.7919918905236</v>
      </c>
      <c r="X20" s="126">
        <f t="shared" ref="X20:X25" si="5">P20*T20*$W$15</f>
        <v>0</v>
      </c>
      <c r="Y20" s="125">
        <f t="shared" ref="Y20:Y25" si="6">(O20*R20+U20+W20)*$Y$15</f>
        <v>2549.3271971616832</v>
      </c>
      <c r="Z20" s="126">
        <f t="shared" ref="Z20:Z25" si="7">(P20*T20+V20+X20)*$Z$15</f>
        <v>0</v>
      </c>
      <c r="AA20" s="125">
        <f t="shared" ref="AA20:AA25" si="8">(O20*R20+U20)*$AA$15</f>
        <v>1820.9479979726309</v>
      </c>
      <c r="AB20" s="126">
        <f t="shared" ref="AB20:AB25" si="9">(P20*T20+V20)*$AA$15</f>
        <v>0</v>
      </c>
      <c r="AC20" s="124">
        <v>2.5</v>
      </c>
      <c r="AD20" s="125">
        <f t="shared" ref="AD20:AD25" si="10">(O20*R20+U20+W20+Y20+AA20)*AC20</f>
        <v>74658.867916877862</v>
      </c>
      <c r="AE20" s="125">
        <f t="shared" ref="AE20:AE25" si="11">(P20*T20+V20+X20+Z20+AB20)*AC20</f>
        <v>0</v>
      </c>
      <c r="AF20" s="35">
        <f t="shared" ref="AF20:AG25" ca="1" si="12">AD20*$AF$15</f>
        <v>11155.922792177151</v>
      </c>
      <c r="AG20" s="70"/>
      <c r="AH20" s="35">
        <f t="shared" ref="AH20:AI25" ca="1" si="13">AD20+AF20</f>
        <v>85814.790709055014</v>
      </c>
      <c r="AI20" s="35"/>
      <c r="AJ20" s="35">
        <f t="shared" ref="AJ20:AK25" ca="1" si="14">AH20*$AJ$15</f>
        <v>25744.437212716504</v>
      </c>
      <c r="AK20" s="70"/>
      <c r="AL20" s="35">
        <f t="shared" ref="AL20:AL25" ca="1" si="15">AH20+AJ20</f>
        <v>111559.22792177153</v>
      </c>
      <c r="AM20" s="70"/>
      <c r="AN20" s="32">
        <v>6.5</v>
      </c>
      <c r="AO20" s="33">
        <f>'Исходные данные'!$C$55</f>
        <v>0.84</v>
      </c>
      <c r="AP20" s="74">
        <f>(G20*AN20)*AO20/100</f>
        <v>5.46</v>
      </c>
      <c r="AQ20" s="33" t="s">
        <v>152</v>
      </c>
      <c r="AR20" s="78" t="e">
        <f>'Исходные данные'!#REF!</f>
        <v>#REF!</v>
      </c>
      <c r="AS20" s="36" t="e">
        <f>AP20*AR20</f>
        <v>#REF!</v>
      </c>
      <c r="AT20" s="36"/>
      <c r="AU20" s="36"/>
      <c r="AV20" s="36"/>
      <c r="AW20" s="36"/>
      <c r="AX20" s="36">
        <f>аморт!$G$11</f>
        <v>181.91312849162011</v>
      </c>
      <c r="AY20" s="36">
        <f t="shared" ref="AY20:AY25" si="16">AX20*L20</f>
        <v>3031.8854748603353</v>
      </c>
      <c r="AZ20" s="36">
        <f>аморт!$G$54</f>
        <v>43.453374999999994</v>
      </c>
      <c r="BA20" s="36">
        <f t="shared" ref="BA20:BA25" si="17">AZ20*L20</f>
        <v>724.22291666666661</v>
      </c>
      <c r="BB20" s="38">
        <v>82.4</v>
      </c>
      <c r="BC20" s="36">
        <f t="shared" ref="BC20:BC25" si="18">BB20*BM20</f>
        <v>7004.0000000000009</v>
      </c>
      <c r="BD20" s="38">
        <v>13.9</v>
      </c>
      <c r="BE20" s="36">
        <f t="shared" ref="BE20:BE25" si="19">BD20*BM20</f>
        <v>1181.5</v>
      </c>
      <c r="BF20" s="38">
        <f>4.8*1.045*1.054</f>
        <v>5.2868639999999996</v>
      </c>
      <c r="BG20" s="36">
        <f t="shared" ref="BG20:BG25" si="20">BF20*BM20</f>
        <v>449.38343999999995</v>
      </c>
      <c r="BH20" s="36">
        <f>аморт!$C$54*10%/аморт!$E$54*L20*7</f>
        <v>64890.373333333344</v>
      </c>
      <c r="BI20" s="36" t="e">
        <f t="shared" ref="BI20:BI25" ca="1" si="21">AL20+AM20+AS20+AY20+BA20+BC20+BE20+BG20+BH20+AW20</f>
        <v>#REF!</v>
      </c>
      <c r="BJ20" s="36" t="e">
        <f t="shared" ref="BJ20:BJ25" ca="1" si="22">BI20/$D$5</f>
        <v>#REF!</v>
      </c>
      <c r="BK20" s="38">
        <f t="shared" ref="BK20:BK25" si="23">(O20+P20)/$D$5</f>
        <v>1.1666666666666667</v>
      </c>
      <c r="BL20" s="38">
        <v>5.0999999999999996</v>
      </c>
      <c r="BM20" s="39">
        <f t="shared" ref="BM20:BM25" si="24">BL20*L20</f>
        <v>85</v>
      </c>
    </row>
    <row r="21" spans="1:65" x14ac:dyDescent="0.2">
      <c r="A21" s="20">
        <f>A20+1</f>
        <v>2</v>
      </c>
      <c r="B21" s="27" t="s">
        <v>84</v>
      </c>
      <c r="C21" s="29">
        <v>1</v>
      </c>
      <c r="D21" s="30" t="s">
        <v>105</v>
      </c>
      <c r="E21" s="31" t="s">
        <v>199</v>
      </c>
      <c r="F21" s="28" t="s">
        <v>106</v>
      </c>
      <c r="G21" s="138">
        <f>G20/5</f>
        <v>20</v>
      </c>
      <c r="H21" s="76">
        <v>40376</v>
      </c>
      <c r="I21" s="76">
        <v>40378</v>
      </c>
      <c r="J21" s="78">
        <f>L21/M21</f>
        <v>1.25</v>
      </c>
      <c r="K21" s="32">
        <v>16</v>
      </c>
      <c r="L21" s="33">
        <f t="shared" si="1"/>
        <v>1.25</v>
      </c>
      <c r="M21" s="34">
        <v>1</v>
      </c>
      <c r="N21" s="34"/>
      <c r="O21" s="35">
        <f t="shared" si="2"/>
        <v>8.75</v>
      </c>
      <c r="P21" s="35">
        <f t="shared" si="3"/>
        <v>0</v>
      </c>
      <c r="Q21" s="34">
        <v>2</v>
      </c>
      <c r="R21" s="78">
        <f ca="1">IF(AND(O21&gt;0,Q21&gt;0),SUMIF('Исходные данные'!$C$14:H15,Q21,'Исходные данные'!$C$18:$H$18),IF(O21=0,0,IF(Q21=0,"РОТ")))</f>
        <v>126.44557526609226</v>
      </c>
      <c r="S21" s="34"/>
      <c r="T21" s="33"/>
      <c r="U21" s="125">
        <f ca="1">O21*R21*'Исходные данные'!$C$39%</f>
        <v>0</v>
      </c>
      <c r="V21" s="125">
        <f>P21*T21*'Исходные данные'!$C$40%</f>
        <v>0</v>
      </c>
      <c r="W21" s="125">
        <f t="shared" ca="1" si="4"/>
        <v>442.55951343132296</v>
      </c>
      <c r="X21" s="126">
        <f t="shared" si="5"/>
        <v>0</v>
      </c>
      <c r="Y21" s="125">
        <f t="shared" ca="1" si="6"/>
        <v>154.89582970096305</v>
      </c>
      <c r="Z21" s="126">
        <f t="shared" si="7"/>
        <v>0</v>
      </c>
      <c r="AA21" s="125">
        <f t="shared" ca="1" si="8"/>
        <v>110.63987835783074</v>
      </c>
      <c r="AB21" s="126">
        <f t="shared" si="9"/>
        <v>0</v>
      </c>
      <c r="AC21" s="124">
        <v>2.5</v>
      </c>
      <c r="AD21" s="125">
        <f t="shared" ca="1" si="10"/>
        <v>4536.2350126710598</v>
      </c>
      <c r="AE21" s="125">
        <f t="shared" si="11"/>
        <v>0</v>
      </c>
      <c r="AF21" s="35">
        <f t="shared" ca="1" si="12"/>
        <v>677.82822028418127</v>
      </c>
      <c r="AG21" s="70"/>
      <c r="AH21" s="35">
        <f t="shared" ca="1" si="13"/>
        <v>5214.0632329552409</v>
      </c>
      <c r="AI21" s="35"/>
      <c r="AJ21" s="35">
        <f t="shared" ca="1" si="14"/>
        <v>1564.2189698865723</v>
      </c>
      <c r="AK21" s="70"/>
      <c r="AL21" s="35">
        <f t="shared" ca="1" si="15"/>
        <v>6778.2822028418132</v>
      </c>
      <c r="AM21" s="70"/>
      <c r="AN21" s="33">
        <v>1.8</v>
      </c>
      <c r="AO21" s="33">
        <f>'Исходные данные'!$C$55</f>
        <v>0.84</v>
      </c>
      <c r="AP21" s="74">
        <f>(G21*AN21)*AO21/100</f>
        <v>0.3024</v>
      </c>
      <c r="AQ21" s="33" t="s">
        <v>152</v>
      </c>
      <c r="AR21" s="78" t="e">
        <f>AR20</f>
        <v>#REF!</v>
      </c>
      <c r="AS21" s="36" t="e">
        <f>AP21*AR21</f>
        <v>#REF!</v>
      </c>
      <c r="AT21" s="36"/>
      <c r="AU21" s="36"/>
      <c r="AV21" s="36"/>
      <c r="AW21" s="36"/>
      <c r="AX21" s="36">
        <f>аморт!$G$11</f>
        <v>181.91312849162011</v>
      </c>
      <c r="AY21" s="36">
        <f t="shared" si="16"/>
        <v>227.39141061452514</v>
      </c>
      <c r="AZ21" s="36">
        <f>аморт!$G$38</f>
        <v>144.06779999999998</v>
      </c>
      <c r="BA21" s="36">
        <f t="shared" si="17"/>
        <v>180.08474999999999</v>
      </c>
      <c r="BB21" s="38">
        <v>82.4</v>
      </c>
      <c r="BC21" s="36">
        <f t="shared" si="18"/>
        <v>525.30000000000007</v>
      </c>
      <c r="BD21" s="38">
        <v>13.9</v>
      </c>
      <c r="BE21" s="36">
        <f t="shared" si="19"/>
        <v>88.612499999999997</v>
      </c>
      <c r="BF21" s="38">
        <f>4.8*1.045*1.054</f>
        <v>5.2868639999999996</v>
      </c>
      <c r="BG21" s="36">
        <f t="shared" si="20"/>
        <v>33.703758000000001</v>
      </c>
      <c r="BH21" s="36">
        <f>аморт!$C$38*10%/аморт!$E$38*L21*7</f>
        <v>3025.4237999999996</v>
      </c>
      <c r="BI21" s="36" t="e">
        <f t="shared" ca="1" si="21"/>
        <v>#REF!</v>
      </c>
      <c r="BJ21" s="36" t="e">
        <f t="shared" ca="1" si="22"/>
        <v>#REF!</v>
      </c>
      <c r="BK21" s="38">
        <f t="shared" si="23"/>
        <v>8.7499999999999994E-2</v>
      </c>
      <c r="BL21" s="38">
        <v>5.0999999999999996</v>
      </c>
      <c r="BM21" s="39">
        <f t="shared" si="24"/>
        <v>6.375</v>
      </c>
    </row>
    <row r="22" spans="1:65" x14ac:dyDescent="0.2">
      <c r="A22" s="20">
        <f>A21+1</f>
        <v>3</v>
      </c>
      <c r="B22" s="27" t="s">
        <v>85</v>
      </c>
      <c r="C22" s="29">
        <v>2</v>
      </c>
      <c r="D22" s="30" t="s">
        <v>105</v>
      </c>
      <c r="E22" s="31" t="s">
        <v>199</v>
      </c>
      <c r="F22" s="28" t="s">
        <v>106</v>
      </c>
      <c r="G22" s="138">
        <f>D5</f>
        <v>100</v>
      </c>
      <c r="H22" s="76">
        <v>40377</v>
      </c>
      <c r="I22" s="76">
        <v>40379</v>
      </c>
      <c r="J22" s="78">
        <f>L22/M22</f>
        <v>7.1428571428571432</v>
      </c>
      <c r="K22" s="32">
        <v>14</v>
      </c>
      <c r="L22" s="33">
        <f t="shared" si="1"/>
        <v>7.1428571428571432</v>
      </c>
      <c r="M22" s="34">
        <v>1</v>
      </c>
      <c r="N22" s="34"/>
      <c r="O22" s="35">
        <f t="shared" si="2"/>
        <v>50</v>
      </c>
      <c r="P22" s="35">
        <f t="shared" si="3"/>
        <v>0</v>
      </c>
      <c r="Q22" s="34">
        <v>2</v>
      </c>
      <c r="R22" s="78">
        <f ca="1">IF(AND(O22&gt;0,Q22&gt;0),SUMIF('Исходные данные'!$C$14:H16,Q22,'Исходные данные'!$C$18:$H$18),IF(O22=0,0,IF(Q22=0,"РОТ")))</f>
        <v>126.44557526609226</v>
      </c>
      <c r="S22" s="34"/>
      <c r="T22" s="33"/>
      <c r="U22" s="125">
        <f ca="1">O22*R22*'Исходные данные'!$C$39%</f>
        <v>0</v>
      </c>
      <c r="V22" s="125">
        <f>P22*T22*'Исходные данные'!$C$40%</f>
        <v>0</v>
      </c>
      <c r="W22" s="125">
        <f t="shared" ca="1" si="4"/>
        <v>2528.9115053218452</v>
      </c>
      <c r="X22" s="126">
        <f t="shared" si="5"/>
        <v>0</v>
      </c>
      <c r="Y22" s="125">
        <f t="shared" ca="1" si="6"/>
        <v>885.11902686264591</v>
      </c>
      <c r="Z22" s="126">
        <f t="shared" si="7"/>
        <v>0</v>
      </c>
      <c r="AA22" s="125">
        <f t="shared" ca="1" si="8"/>
        <v>632.2278763304613</v>
      </c>
      <c r="AB22" s="126">
        <f t="shared" si="9"/>
        <v>0</v>
      </c>
      <c r="AC22" s="124">
        <v>2.5</v>
      </c>
      <c r="AD22" s="125">
        <f t="shared" ca="1" si="10"/>
        <v>25921.342929548915</v>
      </c>
      <c r="AE22" s="125">
        <f t="shared" si="11"/>
        <v>0</v>
      </c>
      <c r="AF22" s="35">
        <f t="shared" ca="1" si="12"/>
        <v>3873.3041159096074</v>
      </c>
      <c r="AG22" s="70"/>
      <c r="AH22" s="35">
        <f t="shared" ca="1" si="13"/>
        <v>29794.647045458521</v>
      </c>
      <c r="AI22" s="35"/>
      <c r="AJ22" s="35">
        <f t="shared" ca="1" si="14"/>
        <v>8938.3941136375561</v>
      </c>
      <c r="AK22" s="70"/>
      <c r="AL22" s="35">
        <f t="shared" ca="1" si="15"/>
        <v>38733.041159096079</v>
      </c>
      <c r="AM22" s="70"/>
      <c r="AN22" s="32">
        <v>2.8</v>
      </c>
      <c r="AO22" s="33">
        <f>'Исходные данные'!$C$55</f>
        <v>0.84</v>
      </c>
      <c r="AP22" s="74">
        <f>(G22*AN22)*AO22/100</f>
        <v>2.3519999999999999</v>
      </c>
      <c r="AQ22" s="33" t="s">
        <v>152</v>
      </c>
      <c r="AR22" s="78" t="e">
        <f>AR20</f>
        <v>#REF!</v>
      </c>
      <c r="AS22" s="36" t="e">
        <f>AP22*AR22</f>
        <v>#REF!</v>
      </c>
      <c r="AT22" s="36"/>
      <c r="AU22" s="36"/>
      <c r="AV22" s="36"/>
      <c r="AW22" s="36"/>
      <c r="AX22" s="36">
        <f>аморт!$G$11</f>
        <v>181.91312849162011</v>
      </c>
      <c r="AY22" s="36">
        <f t="shared" si="16"/>
        <v>1299.3794892258579</v>
      </c>
      <c r="AZ22" s="36">
        <f>аморт!$G$38</f>
        <v>144.06779999999998</v>
      </c>
      <c r="BA22" s="36">
        <f t="shared" si="17"/>
        <v>1029.0557142857142</v>
      </c>
      <c r="BB22" s="38">
        <v>82.4</v>
      </c>
      <c r="BC22" s="36">
        <f t="shared" si="18"/>
        <v>3001.7142857142862</v>
      </c>
      <c r="BD22" s="38">
        <v>13.9</v>
      </c>
      <c r="BE22" s="36">
        <f t="shared" si="19"/>
        <v>506.35714285714289</v>
      </c>
      <c r="BF22" s="38">
        <f>4.8*1.045*1.054</f>
        <v>5.2868639999999996</v>
      </c>
      <c r="BG22" s="36">
        <f t="shared" si="20"/>
        <v>192.59290285714286</v>
      </c>
      <c r="BH22" s="36">
        <f>аморт!$C$38*10%/аморт!$E$38*L22*7</f>
        <v>17288.135999999999</v>
      </c>
      <c r="BI22" s="36" t="e">
        <f t="shared" ca="1" si="21"/>
        <v>#REF!</v>
      </c>
      <c r="BJ22" s="36" t="e">
        <f t="shared" ca="1" si="22"/>
        <v>#REF!</v>
      </c>
      <c r="BK22" s="38">
        <f t="shared" si="23"/>
        <v>0.5</v>
      </c>
      <c r="BL22" s="38">
        <v>5.0999999999999996</v>
      </c>
      <c r="BM22" s="39">
        <f t="shared" si="24"/>
        <v>36.428571428571431</v>
      </c>
    </row>
    <row r="23" spans="1:65" ht="22.5" x14ac:dyDescent="0.2">
      <c r="A23" s="20">
        <f>A22+1</f>
        <v>4</v>
      </c>
      <c r="B23" s="27" t="s">
        <v>200</v>
      </c>
      <c r="C23" s="29">
        <v>1</v>
      </c>
      <c r="D23" s="30" t="s">
        <v>105</v>
      </c>
      <c r="E23" s="31" t="s">
        <v>201</v>
      </c>
      <c r="F23" s="28" t="s">
        <v>106</v>
      </c>
      <c r="G23" s="138">
        <f>G22</f>
        <v>100</v>
      </c>
      <c r="H23" s="76">
        <v>40378</v>
      </c>
      <c r="I23" s="76">
        <v>40380</v>
      </c>
      <c r="J23" s="78">
        <f>L23/N23</f>
        <v>13.888888888888889</v>
      </c>
      <c r="K23" s="32">
        <v>7.2</v>
      </c>
      <c r="L23" s="33">
        <f t="shared" si="1"/>
        <v>13.888888888888889</v>
      </c>
      <c r="M23" s="34">
        <v>1</v>
      </c>
      <c r="N23" s="34">
        <v>1</v>
      </c>
      <c r="O23" s="35">
        <f t="shared" si="2"/>
        <v>97.222222222222229</v>
      </c>
      <c r="P23" s="35">
        <f t="shared" si="3"/>
        <v>97.222222222222229</v>
      </c>
      <c r="Q23" s="34">
        <v>5</v>
      </c>
      <c r="R23" s="78">
        <f>'Исходные данные'!$G$26</f>
        <v>219.30404460212878</v>
      </c>
      <c r="S23" s="34">
        <v>4</v>
      </c>
      <c r="T23" s="78">
        <f ca="1">IF(AND(N23&gt;0,P23&gt;0),SUMIF('Исходные данные'!$C$14:$J$30,S23,'Исходные данные'!$C$34:$J$41),IF(N23=0,0,IF(S23=0,"РОТ")))</f>
        <v>123.48200709579322</v>
      </c>
      <c r="U23" s="125">
        <f>O23*R23*'Исходные данные'!$C$39%</f>
        <v>0</v>
      </c>
      <c r="V23" s="125">
        <f ca="1">P23*T23*'Исходные данные'!$C$40%</f>
        <v>0</v>
      </c>
      <c r="W23" s="125">
        <f t="shared" si="4"/>
        <v>8528.4906234161208</v>
      </c>
      <c r="X23" s="126">
        <f t="shared" ca="1" si="5"/>
        <v>4802.0780537252931</v>
      </c>
      <c r="Y23" s="125">
        <f t="shared" si="6"/>
        <v>2984.9717181956421</v>
      </c>
      <c r="Z23" s="126">
        <f t="shared" ca="1" si="7"/>
        <v>840.36365940192627</v>
      </c>
      <c r="AA23" s="125">
        <f t="shared" si="8"/>
        <v>2132.1226558540302</v>
      </c>
      <c r="AB23" s="126">
        <f t="shared" ca="1" si="9"/>
        <v>1200.5195134313233</v>
      </c>
      <c r="AC23" s="124">
        <v>2.5</v>
      </c>
      <c r="AD23" s="125">
        <f t="shared" si="10"/>
        <v>87417.028890015223</v>
      </c>
      <c r="AE23" s="125">
        <f t="shared" ca="1" si="11"/>
        <v>47120.390902179432</v>
      </c>
      <c r="AF23" s="35">
        <f t="shared" ca="1" si="12"/>
        <v>13062.314661726412</v>
      </c>
      <c r="AG23" s="70">
        <f t="shared" ca="1" si="12"/>
        <v>7040.9779509003738</v>
      </c>
      <c r="AH23" s="35">
        <f t="shared" ca="1" si="13"/>
        <v>100479.34355174164</v>
      </c>
      <c r="AI23" s="35">
        <f t="shared" ca="1" si="13"/>
        <v>54161.368853079803</v>
      </c>
      <c r="AJ23" s="35">
        <f t="shared" ca="1" si="14"/>
        <v>30143.80306552249</v>
      </c>
      <c r="AK23" s="70">
        <f t="shared" ca="1" si="14"/>
        <v>16248.410655923941</v>
      </c>
      <c r="AL23" s="35">
        <f t="shared" ca="1" si="15"/>
        <v>130623.14661726412</v>
      </c>
      <c r="AM23" s="70">
        <f ca="1">AK23+AI23</f>
        <v>70409.77950900374</v>
      </c>
      <c r="AN23" s="32">
        <v>7.5</v>
      </c>
      <c r="AO23" s="33">
        <f>'Исходные данные'!$C$55</f>
        <v>0.84</v>
      </c>
      <c r="AP23" s="74">
        <f>(G23*AN23)*AO23/100</f>
        <v>6.3</v>
      </c>
      <c r="AQ23" s="33" t="s">
        <v>152</v>
      </c>
      <c r="AR23" s="78" t="e">
        <f>AR20</f>
        <v>#REF!</v>
      </c>
      <c r="AS23" s="36" t="e">
        <f>AP23*AR23</f>
        <v>#REF!</v>
      </c>
      <c r="AT23" s="36"/>
      <c r="AU23" s="36"/>
      <c r="AV23" s="36"/>
      <c r="AW23" s="36"/>
      <c r="AX23" s="36">
        <f>аморт!$G$11</f>
        <v>181.91312849162011</v>
      </c>
      <c r="AY23" s="36">
        <f t="shared" si="16"/>
        <v>2526.5712290502793</v>
      </c>
      <c r="AZ23" s="36">
        <f>аморт!G92</f>
        <v>62.879082666666662</v>
      </c>
      <c r="BA23" s="36">
        <f t="shared" si="17"/>
        <v>873.32059259259256</v>
      </c>
      <c r="BB23" s="38">
        <v>82.4</v>
      </c>
      <c r="BC23" s="36">
        <f t="shared" si="18"/>
        <v>5836.666666666667</v>
      </c>
      <c r="BD23" s="38">
        <v>13.9</v>
      </c>
      <c r="BE23" s="36">
        <f t="shared" si="19"/>
        <v>984.58333333333326</v>
      </c>
      <c r="BF23" s="38">
        <f>4.8*1.045*1.054</f>
        <v>5.2868639999999996</v>
      </c>
      <c r="BG23" s="36">
        <f t="shared" si="20"/>
        <v>374.48619999999994</v>
      </c>
      <c r="BH23" s="36">
        <f>аморт!C92*10%/аморт!E92*L23*7</f>
        <v>334911.11111111112</v>
      </c>
      <c r="BI23" s="36" t="e">
        <f t="shared" ca="1" si="21"/>
        <v>#REF!</v>
      </c>
      <c r="BJ23" s="36" t="e">
        <f t="shared" ca="1" si="22"/>
        <v>#REF!</v>
      </c>
      <c r="BK23" s="38">
        <f t="shared" si="23"/>
        <v>1.9444444444444446</v>
      </c>
      <c r="BL23" s="38">
        <v>5.0999999999999996</v>
      </c>
      <c r="BM23" s="39">
        <f t="shared" si="24"/>
        <v>70.833333333333329</v>
      </c>
    </row>
    <row r="24" spans="1:65" ht="22.5" x14ac:dyDescent="0.2">
      <c r="A24" s="20">
        <f>A23+1</f>
        <v>5</v>
      </c>
      <c r="B24" s="27" t="s">
        <v>86</v>
      </c>
      <c r="C24" s="29">
        <v>5</v>
      </c>
      <c r="D24" s="127" t="s">
        <v>118</v>
      </c>
      <c r="E24" s="31" t="s">
        <v>202</v>
      </c>
      <c r="F24" s="28" t="s">
        <v>109</v>
      </c>
      <c r="G24" s="138">
        <f>H7/10</f>
        <v>108</v>
      </c>
      <c r="H24" s="76">
        <v>40378</v>
      </c>
      <c r="I24" s="76">
        <v>40380</v>
      </c>
      <c r="J24" s="78">
        <f>L24/N24</f>
        <v>8.3076923076923084</v>
      </c>
      <c r="K24" s="32">
        <v>13</v>
      </c>
      <c r="L24" s="33">
        <f t="shared" si="1"/>
        <v>8.3076923076923084</v>
      </c>
      <c r="M24" s="34">
        <v>1</v>
      </c>
      <c r="N24" s="34">
        <v>1</v>
      </c>
      <c r="O24" s="35">
        <f t="shared" si="2"/>
        <v>58.15384615384616</v>
      </c>
      <c r="P24" s="35">
        <f t="shared" si="3"/>
        <v>58.15384615384616</v>
      </c>
      <c r="Q24" s="34">
        <v>5</v>
      </c>
      <c r="R24" s="78">
        <f>'Исходные данные'!$G$26</f>
        <v>219.30404460212878</v>
      </c>
      <c r="S24" s="34">
        <v>4</v>
      </c>
      <c r="T24" s="78">
        <f ca="1">IF(AND(N24&gt;0,P24&gt;0),SUMIF('Исходные данные'!$C$14:$J$30,S24,'Исходные данные'!$C$34:$J$41),IF(N24=0,0,IF(S24=0,"РОТ")))</f>
        <v>123.48200709579322</v>
      </c>
      <c r="U24" s="125">
        <f>O24*R24*'Исходные данные'!$C$39%</f>
        <v>0</v>
      </c>
      <c r="V24" s="125">
        <f ca="1">P24*T24*'Исходные данные'!$C$40%</f>
        <v>0</v>
      </c>
      <c r="W24" s="125">
        <f t="shared" si="4"/>
        <v>5101.3494682833661</v>
      </c>
      <c r="X24" s="126">
        <f t="shared" ca="1" si="5"/>
        <v>2872.3814573667596</v>
      </c>
      <c r="Y24" s="125">
        <f t="shared" si="6"/>
        <v>1785.4723138991781</v>
      </c>
      <c r="Z24" s="126">
        <f t="shared" ca="1" si="7"/>
        <v>502.66675503918287</v>
      </c>
      <c r="AA24" s="125">
        <f t="shared" si="8"/>
        <v>1275.3373670708415</v>
      </c>
      <c r="AB24" s="126">
        <f t="shared" ca="1" si="9"/>
        <v>718.0953643416899</v>
      </c>
      <c r="AC24" s="124">
        <v>2.5</v>
      </c>
      <c r="AD24" s="125">
        <f t="shared" si="10"/>
        <v>52288.832049904508</v>
      </c>
      <c r="AE24" s="125">
        <f t="shared" ca="1" si="11"/>
        <v>28185.243050411329</v>
      </c>
      <c r="AF24" s="35">
        <f t="shared" ca="1" si="12"/>
        <v>7813.2737545834316</v>
      </c>
      <c r="AG24" s="70">
        <f t="shared" ca="1" si="12"/>
        <v>4211.5880420154854</v>
      </c>
      <c r="AH24" s="35">
        <f t="shared" ca="1" si="13"/>
        <v>60102.105804487939</v>
      </c>
      <c r="AI24" s="35">
        <f t="shared" ca="1" si="13"/>
        <v>32396.831092426815</v>
      </c>
      <c r="AJ24" s="35">
        <f t="shared" ca="1" si="14"/>
        <v>18030.63174134638</v>
      </c>
      <c r="AK24" s="70">
        <f t="shared" ca="1" si="14"/>
        <v>9719.0493277280439</v>
      </c>
      <c r="AL24" s="35">
        <f t="shared" ca="1" si="15"/>
        <v>78132.737545834316</v>
      </c>
      <c r="AM24" s="70">
        <f ca="1">AK24+AI24</f>
        <v>42115.880420154863</v>
      </c>
      <c r="AN24" s="32"/>
      <c r="AO24" s="33">
        <f>'Исходные данные'!$C$55</f>
        <v>0.84</v>
      </c>
      <c r="AP24" s="74"/>
      <c r="AQ24" s="33"/>
      <c r="AR24" s="78"/>
      <c r="AS24" s="36"/>
      <c r="AT24" s="36"/>
      <c r="AU24" s="36"/>
      <c r="AV24" s="36"/>
      <c r="AW24" s="36"/>
      <c r="AX24" s="36"/>
      <c r="AY24" s="36">
        <f t="shared" si="16"/>
        <v>0</v>
      </c>
      <c r="AZ24" s="36"/>
      <c r="BA24" s="36">
        <f t="shared" si="17"/>
        <v>0</v>
      </c>
      <c r="BB24" s="36"/>
      <c r="BC24" s="36">
        <f t="shared" si="18"/>
        <v>0</v>
      </c>
      <c r="BD24" s="36"/>
      <c r="BE24" s="36">
        <f t="shared" si="19"/>
        <v>0</v>
      </c>
      <c r="BF24" s="36"/>
      <c r="BG24" s="36">
        <f t="shared" si="20"/>
        <v>0</v>
      </c>
      <c r="BH24" s="36"/>
      <c r="BI24" s="36">
        <f t="shared" ca="1" si="21"/>
        <v>120248.61796598918</v>
      </c>
      <c r="BJ24" s="36">
        <f t="shared" ca="1" si="22"/>
        <v>1202.4861796598918</v>
      </c>
      <c r="BK24" s="38">
        <f t="shared" si="23"/>
        <v>1.1630769230769231</v>
      </c>
      <c r="BL24" s="38"/>
      <c r="BM24" s="39">
        <f t="shared" si="24"/>
        <v>0</v>
      </c>
    </row>
    <row r="25" spans="1:65" ht="22.5" x14ac:dyDescent="0.2">
      <c r="A25" s="20">
        <f>A24+1</f>
        <v>6</v>
      </c>
      <c r="B25" s="27" t="s">
        <v>87</v>
      </c>
      <c r="C25" s="29">
        <v>1</v>
      </c>
      <c r="D25" s="30" t="s">
        <v>105</v>
      </c>
      <c r="E25" s="31" t="s">
        <v>203</v>
      </c>
      <c r="F25" s="28" t="s">
        <v>106</v>
      </c>
      <c r="G25" s="138">
        <f>G20/5</f>
        <v>20</v>
      </c>
      <c r="H25" s="76">
        <v>40380</v>
      </c>
      <c r="I25" s="76">
        <v>40381</v>
      </c>
      <c r="J25" s="78">
        <f>L25/M25</f>
        <v>0.14054813773717498</v>
      </c>
      <c r="K25" s="32">
        <v>142.30000000000001</v>
      </c>
      <c r="L25" s="33">
        <f t="shared" si="1"/>
        <v>0.14054813773717498</v>
      </c>
      <c r="M25" s="34">
        <v>1</v>
      </c>
      <c r="N25" s="34"/>
      <c r="O25" s="35">
        <f t="shared" si="2"/>
        <v>0.98383696416022481</v>
      </c>
      <c r="P25" s="35">
        <f t="shared" si="3"/>
        <v>0</v>
      </c>
      <c r="Q25" s="34">
        <v>2</v>
      </c>
      <c r="R25" s="78">
        <f ca="1">IF(AND(O25&gt;0,Q25&gt;0),SUMIF('Исходные данные'!$C$14:H27,Q25,'Исходные данные'!$C$18:$H$18),IF(O25=0,0,IF(Q25=0,"РОТ")))</f>
        <v>128.66557526609228</v>
      </c>
      <c r="S25" s="34"/>
      <c r="T25" s="33"/>
      <c r="U25" s="125">
        <f ca="1">O25*R25*'Исходные данные'!$C$39%</f>
        <v>0</v>
      </c>
      <c r="V25" s="125">
        <f>P25*T25*'Исходные данные'!$C$40%</f>
        <v>0</v>
      </c>
      <c r="W25" s="125">
        <f t="shared" ca="1" si="4"/>
        <v>50.634379584688453</v>
      </c>
      <c r="X25" s="126">
        <f t="shared" si="5"/>
        <v>0</v>
      </c>
      <c r="Y25" s="125">
        <f t="shared" ca="1" si="6"/>
        <v>17.722032854640958</v>
      </c>
      <c r="Z25" s="126">
        <f t="shared" si="7"/>
        <v>0</v>
      </c>
      <c r="AA25" s="125">
        <f t="shared" ca="1" si="8"/>
        <v>12.658594896172113</v>
      </c>
      <c r="AB25" s="126">
        <f t="shared" si="9"/>
        <v>0</v>
      </c>
      <c r="AC25" s="124">
        <v>2.5</v>
      </c>
      <c r="AD25" s="125">
        <f t="shared" ca="1" si="10"/>
        <v>519.00239074305659</v>
      </c>
      <c r="AE25" s="125">
        <f t="shared" si="11"/>
        <v>0</v>
      </c>
      <c r="AF25" s="35">
        <f t="shared" ca="1" si="12"/>
        <v>77.552081375399254</v>
      </c>
      <c r="AG25" s="70"/>
      <c r="AH25" s="35">
        <f t="shared" ca="1" si="13"/>
        <v>596.55447211845581</v>
      </c>
      <c r="AI25" s="35">
        <f t="shared" si="13"/>
        <v>0</v>
      </c>
      <c r="AJ25" s="35">
        <f t="shared" ca="1" si="14"/>
        <v>178.96634163553674</v>
      </c>
      <c r="AK25" s="70"/>
      <c r="AL25" s="35">
        <f t="shared" ca="1" si="15"/>
        <v>775.52081375399257</v>
      </c>
      <c r="AM25" s="70">
        <f>AK25+AI25</f>
        <v>0</v>
      </c>
      <c r="AN25" s="32">
        <v>0.3</v>
      </c>
      <c r="AO25" s="33">
        <f>'Исходные данные'!$C$55</f>
        <v>0.84</v>
      </c>
      <c r="AP25" s="74">
        <f>(G25*AN25)*AO25/100</f>
        <v>5.04E-2</v>
      </c>
      <c r="AQ25" s="33" t="s">
        <v>152</v>
      </c>
      <c r="AR25" s="78" t="e">
        <f>AR20</f>
        <v>#REF!</v>
      </c>
      <c r="AS25" s="36" t="e">
        <f>AP25*AR25</f>
        <v>#REF!</v>
      </c>
      <c r="AT25" s="36"/>
      <c r="AU25" s="36"/>
      <c r="AV25" s="36"/>
      <c r="AW25" s="36"/>
      <c r="AX25" s="36">
        <f>аморт!$G$11</f>
        <v>181.91312849162011</v>
      </c>
      <c r="AY25" s="36">
        <f t="shared" si="16"/>
        <v>25.567551439440635</v>
      </c>
      <c r="AZ25" s="36">
        <f>аморт!$G$40</f>
        <v>39.779508196721316</v>
      </c>
      <c r="BA25" s="36">
        <f t="shared" si="17"/>
        <v>5.5909357971498688</v>
      </c>
      <c r="BB25" s="38">
        <v>82.4</v>
      </c>
      <c r="BC25" s="36">
        <f t="shared" si="18"/>
        <v>59.06394940267041</v>
      </c>
      <c r="BD25" s="38">
        <v>13.9</v>
      </c>
      <c r="BE25" s="36">
        <f t="shared" si="19"/>
        <v>9.9634574841883339</v>
      </c>
      <c r="BF25" s="38">
        <f>4.8*1.045*1.054</f>
        <v>5.2868639999999996</v>
      </c>
      <c r="BG25" s="36">
        <f t="shared" si="20"/>
        <v>3.7896003373155298</v>
      </c>
      <c r="BH25" s="36">
        <f>аморт!$C$40*10%/аморт!$E$40*L25*7</f>
        <v>171.88773014757555</v>
      </c>
      <c r="BI25" s="36" t="e">
        <f t="shared" ca="1" si="21"/>
        <v>#REF!</v>
      </c>
      <c r="BJ25" s="36" t="e">
        <f t="shared" ca="1" si="22"/>
        <v>#REF!</v>
      </c>
      <c r="BK25" s="38">
        <f t="shared" si="23"/>
        <v>9.8383696416022483E-3</v>
      </c>
      <c r="BL25" s="38">
        <v>5.0999999999999996</v>
      </c>
      <c r="BM25" s="39">
        <f t="shared" si="24"/>
        <v>0.71679550245959234</v>
      </c>
    </row>
    <row r="26" spans="1:65" s="54" customFormat="1" x14ac:dyDescent="0.2">
      <c r="A26" s="63"/>
      <c r="B26" s="53" t="s">
        <v>21</v>
      </c>
      <c r="C26" s="53"/>
      <c r="D26" s="53"/>
      <c r="E26" s="53"/>
      <c r="F26" s="55"/>
      <c r="G26" s="139"/>
      <c r="H26" s="64"/>
      <c r="I26" s="64"/>
      <c r="J26" s="57">
        <f>SUM(J20:J25)</f>
        <v>47.39665314384218</v>
      </c>
      <c r="K26" s="57"/>
      <c r="L26" s="57">
        <f>SUM(L20:L25)</f>
        <v>47.39665314384218</v>
      </c>
      <c r="M26" s="57">
        <f t="shared" ref="M26:BM26" si="25">SUM(M20:M25)</f>
        <v>6</v>
      </c>
      <c r="N26" s="57">
        <f t="shared" si="25"/>
        <v>2</v>
      </c>
      <c r="O26" s="57">
        <f t="shared" si="25"/>
        <v>331.77657200689532</v>
      </c>
      <c r="P26" s="57">
        <f t="shared" si="25"/>
        <v>155.37606837606839</v>
      </c>
      <c r="Q26" s="57"/>
      <c r="R26" s="57"/>
      <c r="S26" s="57"/>
      <c r="T26" s="57"/>
      <c r="U26" s="57">
        <f t="shared" ca="1" si="25"/>
        <v>0</v>
      </c>
      <c r="V26" s="57">
        <f t="shared" ca="1" si="25"/>
        <v>0</v>
      </c>
      <c r="W26" s="57">
        <f t="shared" ca="1" si="25"/>
        <v>23935.737481927867</v>
      </c>
      <c r="X26" s="57">
        <f t="shared" ca="1" si="25"/>
        <v>7674.4595110920527</v>
      </c>
      <c r="Y26" s="57">
        <f t="shared" ca="1" si="25"/>
        <v>8377.5081186747539</v>
      </c>
      <c r="Z26" s="57">
        <f t="shared" ca="1" si="25"/>
        <v>1343.0304144411091</v>
      </c>
      <c r="AA26" s="57">
        <f t="shared" ca="1" si="25"/>
        <v>5983.9343704819667</v>
      </c>
      <c r="AB26" s="57">
        <f t="shared" ca="1" si="25"/>
        <v>1918.6148777730132</v>
      </c>
      <c r="AC26" s="57"/>
      <c r="AD26" s="57">
        <f t="shared" ca="1" si="25"/>
        <v>245341.30918976065</v>
      </c>
      <c r="AE26" s="57">
        <f t="shared" ca="1" si="25"/>
        <v>75305.633952590753</v>
      </c>
      <c r="AF26" s="57">
        <f t="shared" ca="1" si="25"/>
        <v>36660.195626056178</v>
      </c>
      <c r="AG26" s="57">
        <f t="shared" ca="1" si="25"/>
        <v>11252.565992915859</v>
      </c>
      <c r="AH26" s="57">
        <f t="shared" ca="1" si="25"/>
        <v>282001.50481581682</v>
      </c>
      <c r="AI26" s="57">
        <f t="shared" ca="1" si="25"/>
        <v>86558.199945506611</v>
      </c>
      <c r="AJ26" s="57">
        <f t="shared" ca="1" si="25"/>
        <v>84600.451444745035</v>
      </c>
      <c r="AK26" s="57">
        <f t="shared" ca="1" si="25"/>
        <v>25967.459983651985</v>
      </c>
      <c r="AL26" s="57">
        <f t="shared" ca="1" si="25"/>
        <v>366601.95626056188</v>
      </c>
      <c r="AM26" s="57">
        <f t="shared" ca="1" si="25"/>
        <v>112525.6599291586</v>
      </c>
      <c r="AN26" s="57"/>
      <c r="AO26" s="57"/>
      <c r="AP26" s="57">
        <f t="shared" si="25"/>
        <v>14.4648</v>
      </c>
      <c r="AQ26" s="57"/>
      <c r="AR26" s="57"/>
      <c r="AS26" s="57" t="e">
        <f t="shared" si="25"/>
        <v>#REF!</v>
      </c>
      <c r="AT26" s="57"/>
      <c r="AU26" s="57"/>
      <c r="AV26" s="57"/>
      <c r="AW26" s="57"/>
      <c r="AX26" s="57"/>
      <c r="AY26" s="57">
        <f t="shared" si="25"/>
        <v>7110.7951551904389</v>
      </c>
      <c r="AZ26" s="57"/>
      <c r="BA26" s="57">
        <f t="shared" si="25"/>
        <v>2812.2749093421235</v>
      </c>
      <c r="BB26" s="57"/>
      <c r="BC26" s="57">
        <f t="shared" si="25"/>
        <v>16426.744901783622</v>
      </c>
      <c r="BD26" s="57"/>
      <c r="BE26" s="57">
        <f t="shared" si="25"/>
        <v>2771.0164336746648</v>
      </c>
      <c r="BF26" s="57"/>
      <c r="BG26" s="57">
        <f t="shared" si="25"/>
        <v>1053.9559011944582</v>
      </c>
      <c r="BH26" s="57">
        <f t="shared" si="25"/>
        <v>420286.93197459204</v>
      </c>
      <c r="BI26" s="57" t="e">
        <f t="shared" ca="1" si="25"/>
        <v>#REF!</v>
      </c>
      <c r="BJ26" s="57"/>
      <c r="BK26" s="57"/>
      <c r="BL26" s="57"/>
      <c r="BM26" s="57">
        <f t="shared" si="25"/>
        <v>199.35370026436436</v>
      </c>
    </row>
    <row r="27" spans="1:65" ht="22.5" customHeight="1" x14ac:dyDescent="0.2">
      <c r="A27" s="20"/>
      <c r="B27" s="560" t="s">
        <v>98</v>
      </c>
      <c r="C27" s="561"/>
      <c r="D27" s="561"/>
      <c r="E27" s="562"/>
      <c r="F27" s="28"/>
      <c r="G27" s="138"/>
      <c r="H27" s="29"/>
      <c r="I27" s="29"/>
      <c r="J27" s="29"/>
      <c r="K27" s="32"/>
      <c r="L27" s="33"/>
      <c r="M27" s="34"/>
      <c r="N27" s="34"/>
      <c r="O27" s="35"/>
      <c r="P27" s="35"/>
      <c r="Q27" s="34"/>
      <c r="R27" s="33"/>
      <c r="S27" s="34"/>
      <c r="T27" s="33"/>
      <c r="U27" s="33"/>
      <c r="V27" s="33"/>
      <c r="W27" s="33"/>
      <c r="X27" s="33"/>
      <c r="Y27" s="33"/>
      <c r="Z27" s="33"/>
      <c r="AA27" s="33"/>
      <c r="AB27" s="33"/>
      <c r="AC27" s="33"/>
      <c r="AD27" s="33"/>
      <c r="AE27" s="33"/>
      <c r="AF27" s="33"/>
      <c r="AG27" s="33"/>
      <c r="AH27" s="33"/>
      <c r="AI27" s="33"/>
      <c r="AJ27" s="33"/>
      <c r="AK27" s="33"/>
      <c r="AL27" s="33"/>
      <c r="AM27" s="32"/>
      <c r="AN27" s="32"/>
      <c r="AO27" s="32"/>
      <c r="AP27" s="74"/>
      <c r="AQ27" s="37"/>
      <c r="AR27" s="37"/>
      <c r="AS27" s="36"/>
      <c r="AT27" s="36"/>
      <c r="AU27" s="36"/>
      <c r="AV27" s="36"/>
      <c r="AW27" s="36"/>
      <c r="AX27" s="36"/>
      <c r="AY27" s="36"/>
      <c r="AZ27" s="36"/>
      <c r="BA27" s="36"/>
      <c r="BB27" s="36"/>
      <c r="BC27" s="36"/>
      <c r="BD27" s="36"/>
      <c r="BE27" s="36"/>
      <c r="BF27" s="36"/>
      <c r="BG27" s="36"/>
      <c r="BH27" s="36"/>
      <c r="BI27" s="36"/>
      <c r="BJ27" s="36"/>
      <c r="BK27" s="36"/>
      <c r="BL27" s="38"/>
      <c r="BM27" s="39"/>
    </row>
    <row r="28" spans="1:65" x14ac:dyDescent="0.2">
      <c r="A28" s="20">
        <f>A27+1</f>
        <v>1</v>
      </c>
      <c r="B28" s="27" t="s">
        <v>76</v>
      </c>
      <c r="C28" s="29">
        <v>2</v>
      </c>
      <c r="D28" s="30" t="s">
        <v>105</v>
      </c>
      <c r="E28" s="31" t="s">
        <v>198</v>
      </c>
      <c r="F28" s="28" t="s">
        <v>106</v>
      </c>
      <c r="G28" s="138">
        <f>D5</f>
        <v>100</v>
      </c>
      <c r="H28" s="76">
        <v>40374</v>
      </c>
      <c r="I28" s="76">
        <v>40379</v>
      </c>
      <c r="J28" s="78">
        <f t="shared" ref="J28:J33" si="26">L28/M28</f>
        <v>16.666666666666668</v>
      </c>
      <c r="K28" s="32">
        <v>6</v>
      </c>
      <c r="L28" s="33">
        <f t="shared" ref="L28:L35" si="27">G28/K28</f>
        <v>16.666666666666668</v>
      </c>
      <c r="M28" s="34">
        <v>1</v>
      </c>
      <c r="N28" s="34"/>
      <c r="O28" s="35">
        <f t="shared" ref="O28:O35" si="28">IF(M28=0,0,L28*$O$15)</f>
        <v>116.66666666666667</v>
      </c>
      <c r="P28" s="35">
        <f t="shared" ref="P28:P35" si="29">IF(N28=0,0,L28*$O$15)</f>
        <v>0</v>
      </c>
      <c r="Q28" s="34">
        <v>4</v>
      </c>
      <c r="R28" s="78">
        <f ca="1">IF(AND(O28&gt;0,Q28&gt;0),SUMIF('Исходные данные'!$C$14:H30,Q28,'Исходные данные'!$C$18:$H$18),IF(O28=0,0,IF(Q28=0,"РОТ")))</f>
        <v>156.08125696908263</v>
      </c>
      <c r="S28" s="34"/>
      <c r="T28" s="33"/>
      <c r="U28" s="125">
        <f ca="1">O28*R28*'Исходные данные'!$C$39%</f>
        <v>0</v>
      </c>
      <c r="V28" s="125">
        <f>P28*T28*'Исходные данные'!$C$40%</f>
        <v>0</v>
      </c>
      <c r="W28" s="125">
        <f t="shared" ref="W28:W35" ca="1" si="30">O28*R28*$W$15</f>
        <v>7283.7919918905236</v>
      </c>
      <c r="X28" s="126">
        <f t="shared" ref="X28:X35" si="31">P28*T28*$W$15</f>
        <v>0</v>
      </c>
      <c r="Y28" s="125">
        <f t="shared" ref="Y28:Y35" ca="1" si="32">(O28*R28+U28+W28)*$Y$15</f>
        <v>2549.3271971616832</v>
      </c>
      <c r="Z28" s="126">
        <f t="shared" ref="Z28:Z35" si="33">(P28*T28+V28+X28)*$Z$15</f>
        <v>0</v>
      </c>
      <c r="AA28" s="125">
        <f t="shared" ref="AA28:AA35" ca="1" si="34">(O28*R28+U28)*$AA$15</f>
        <v>1820.9479979726309</v>
      </c>
      <c r="AB28" s="126">
        <f t="shared" ref="AB28:AB35" si="35">(P28*T28+V28)*$AA$15</f>
        <v>0</v>
      </c>
      <c r="AC28" s="124">
        <v>2.5</v>
      </c>
      <c r="AD28" s="125">
        <f t="shared" ref="AD28:AD35" ca="1" si="36">(O28*R28+U28+W28+Y28+AA28)*AC28</f>
        <v>74658.867916877862</v>
      </c>
      <c r="AE28" s="125">
        <f t="shared" ref="AE28:AE35" si="37">(P28*T28+V28+X28+Z28+AB28)*AC28</f>
        <v>0</v>
      </c>
      <c r="AF28" s="35">
        <f t="shared" ref="AF28:AF35" ca="1" si="38">AD28*$AF$15</f>
        <v>11155.922792177151</v>
      </c>
      <c r="AG28" s="70"/>
      <c r="AH28" s="35">
        <f t="shared" ref="AH28:AH35" ca="1" si="39">AD28+AF28</f>
        <v>85814.790709055014</v>
      </c>
      <c r="AI28" s="35"/>
      <c r="AJ28" s="35">
        <f t="shared" ref="AJ28:AJ35" ca="1" si="40">AH28*$AJ$15</f>
        <v>25744.437212716504</v>
      </c>
      <c r="AK28" s="70"/>
      <c r="AL28" s="35">
        <f t="shared" ref="AL28:AL35" ca="1" si="41">AH28+AJ28</f>
        <v>111559.22792177153</v>
      </c>
      <c r="AM28" s="70"/>
      <c r="AN28" s="32">
        <v>6.5</v>
      </c>
      <c r="AO28" s="33">
        <f>'Исходные данные'!$C$55</f>
        <v>0.84</v>
      </c>
      <c r="AP28" s="74">
        <f t="shared" ref="AP28:AP35" si="42">(G28*AN28)*AO28/100</f>
        <v>5.46</v>
      </c>
      <c r="AQ28" s="33" t="s">
        <v>152</v>
      </c>
      <c r="AR28" s="78" t="e">
        <f>AR20</f>
        <v>#REF!</v>
      </c>
      <c r="AS28" s="36" t="e">
        <f t="shared" ref="AS28:AS35" si="43">AP28*AR28</f>
        <v>#REF!</v>
      </c>
      <c r="AT28" s="36"/>
      <c r="AU28" s="36"/>
      <c r="AV28" s="36"/>
      <c r="AW28" s="36"/>
      <c r="AX28" s="36">
        <f>аморт!$G$11</f>
        <v>181.91312849162011</v>
      </c>
      <c r="AY28" s="36">
        <f t="shared" ref="AY28:AY35" si="44">AX28*L28</f>
        <v>3031.8854748603353</v>
      </c>
      <c r="AZ28" s="36">
        <f>аморт!$G$54</f>
        <v>43.453374999999994</v>
      </c>
      <c r="BA28" s="36">
        <f t="shared" ref="BA28:BA35" si="45">AZ28*L28</f>
        <v>724.22291666666661</v>
      </c>
      <c r="BB28" s="38">
        <v>82.4</v>
      </c>
      <c r="BC28" s="36">
        <f t="shared" ref="BC28:BC35" si="46">BB28*BM28</f>
        <v>7004.0000000000009</v>
      </c>
      <c r="BD28" s="38">
        <v>13.9</v>
      </c>
      <c r="BE28" s="36">
        <f t="shared" ref="BE28:BE35" si="47">BD28*BM28</f>
        <v>1181.5</v>
      </c>
      <c r="BF28" s="38">
        <f t="shared" ref="BF28:BF35" si="48">4.8*1.045*1.054</f>
        <v>5.2868639999999996</v>
      </c>
      <c r="BG28" s="36">
        <f t="shared" ref="BG28:BG35" si="49">BF28*BM28</f>
        <v>449.38343999999995</v>
      </c>
      <c r="BH28" s="36">
        <f>аморт!$C$54*10%/аморт!$E$54*L28*7</f>
        <v>64890.373333333344</v>
      </c>
      <c r="BI28" s="36" t="e">
        <f t="shared" ref="BI28:BI35" ca="1" si="50">AL28+AM28+AS28+AY28+BA28+BC28+BE28+BG28+BH28+AW28</f>
        <v>#REF!</v>
      </c>
      <c r="BJ28" s="36" t="e">
        <f t="shared" ref="BJ28:BJ35" ca="1" si="51">BI28/$D$5</f>
        <v>#REF!</v>
      </c>
      <c r="BK28" s="38">
        <f t="shared" ref="BK28:BK35" si="52">(O28+P28)/$D$5</f>
        <v>1.1666666666666667</v>
      </c>
      <c r="BL28" s="38">
        <v>5.0999999999999996</v>
      </c>
      <c r="BM28" s="39">
        <f t="shared" ref="BM28:BM35" si="53">BL28*L28</f>
        <v>85</v>
      </c>
    </row>
    <row r="29" spans="1:65" x14ac:dyDescent="0.2">
      <c r="A29" s="20">
        <f>A28+1</f>
        <v>2</v>
      </c>
      <c r="B29" s="27" t="s">
        <v>84</v>
      </c>
      <c r="C29" s="29">
        <v>1</v>
      </c>
      <c r="D29" s="30" t="s">
        <v>105</v>
      </c>
      <c r="E29" s="31" t="s">
        <v>199</v>
      </c>
      <c r="F29" s="28" t="s">
        <v>106</v>
      </c>
      <c r="G29" s="138">
        <f>G28/5</f>
        <v>20</v>
      </c>
      <c r="H29" s="76">
        <v>40376</v>
      </c>
      <c r="I29" s="76">
        <v>40381</v>
      </c>
      <c r="J29" s="78">
        <f t="shared" si="26"/>
        <v>1.25</v>
      </c>
      <c r="K29" s="32">
        <v>16</v>
      </c>
      <c r="L29" s="33">
        <f t="shared" si="27"/>
        <v>1.25</v>
      </c>
      <c r="M29" s="34">
        <v>1</v>
      </c>
      <c r="N29" s="34"/>
      <c r="O29" s="35">
        <f t="shared" si="28"/>
        <v>8.75</v>
      </c>
      <c r="P29" s="35">
        <f t="shared" si="29"/>
        <v>0</v>
      </c>
      <c r="Q29" s="34">
        <v>2</v>
      </c>
      <c r="R29" s="78">
        <f ca="1">IF(AND(O29&gt;0,Q29&gt;0),SUMIF('Исходные данные'!$C$14:H30,Q29,'Исходные данные'!$C$18:$H$18),IF(O29=0,0,IF(Q29=0,"РОТ")))</f>
        <v>128.66557526609228</v>
      </c>
      <c r="S29" s="34"/>
      <c r="T29" s="33"/>
      <c r="U29" s="125">
        <f ca="1">O29*R29*'Исходные данные'!$C$39%</f>
        <v>0</v>
      </c>
      <c r="V29" s="125">
        <f>P29*T29*'Исходные данные'!$C$40%</f>
        <v>0</v>
      </c>
      <c r="W29" s="125">
        <f t="shared" ca="1" si="30"/>
        <v>450.32951343132299</v>
      </c>
      <c r="X29" s="126">
        <f t="shared" si="31"/>
        <v>0</v>
      </c>
      <c r="Y29" s="125">
        <f t="shared" ca="1" si="32"/>
        <v>157.61532970096306</v>
      </c>
      <c r="Z29" s="126">
        <f t="shared" si="33"/>
        <v>0</v>
      </c>
      <c r="AA29" s="125">
        <f t="shared" ca="1" si="34"/>
        <v>112.58237835783075</v>
      </c>
      <c r="AB29" s="126">
        <f t="shared" si="35"/>
        <v>0</v>
      </c>
      <c r="AC29" s="124">
        <v>2.5</v>
      </c>
      <c r="AD29" s="125">
        <f t="shared" ca="1" si="36"/>
        <v>4615.8775126710607</v>
      </c>
      <c r="AE29" s="125">
        <f t="shared" si="37"/>
        <v>0</v>
      </c>
      <c r="AF29" s="35">
        <f t="shared" ca="1" si="38"/>
        <v>689.72882373245727</v>
      </c>
      <c r="AG29" s="70"/>
      <c r="AH29" s="35">
        <f t="shared" ca="1" si="39"/>
        <v>5305.6063364035181</v>
      </c>
      <c r="AI29" s="35"/>
      <c r="AJ29" s="35">
        <f t="shared" ca="1" si="40"/>
        <v>1591.6819009210553</v>
      </c>
      <c r="AK29" s="70"/>
      <c r="AL29" s="35">
        <f t="shared" ca="1" si="41"/>
        <v>6897.2882373245739</v>
      </c>
      <c r="AM29" s="70"/>
      <c r="AN29" s="33">
        <v>1.8</v>
      </c>
      <c r="AO29" s="33">
        <f>'Исходные данные'!$C$55</f>
        <v>0.84</v>
      </c>
      <c r="AP29" s="74">
        <f t="shared" si="42"/>
        <v>0.3024</v>
      </c>
      <c r="AQ29" s="33" t="s">
        <v>152</v>
      </c>
      <c r="AR29" s="78" t="e">
        <f>AR20</f>
        <v>#REF!</v>
      </c>
      <c r="AS29" s="36" t="e">
        <f t="shared" si="43"/>
        <v>#REF!</v>
      </c>
      <c r="AT29" s="36"/>
      <c r="AU29" s="36"/>
      <c r="AV29" s="36"/>
      <c r="AW29" s="36"/>
      <c r="AX29" s="36">
        <f>аморт!$G$11</f>
        <v>181.91312849162011</v>
      </c>
      <c r="AY29" s="36">
        <f t="shared" si="44"/>
        <v>227.39141061452514</v>
      </c>
      <c r="AZ29" s="36">
        <f>аморт!$G$38</f>
        <v>144.06779999999998</v>
      </c>
      <c r="BA29" s="36">
        <f t="shared" si="45"/>
        <v>180.08474999999999</v>
      </c>
      <c r="BB29" s="38">
        <v>82.4</v>
      </c>
      <c r="BC29" s="36">
        <f t="shared" si="46"/>
        <v>525.30000000000007</v>
      </c>
      <c r="BD29" s="38">
        <v>13.9</v>
      </c>
      <c r="BE29" s="36">
        <f t="shared" si="47"/>
        <v>88.612499999999997</v>
      </c>
      <c r="BF29" s="38">
        <f t="shared" si="48"/>
        <v>5.2868639999999996</v>
      </c>
      <c r="BG29" s="36">
        <f t="shared" si="49"/>
        <v>33.703758000000001</v>
      </c>
      <c r="BH29" s="36">
        <f>аморт!$C$38*10%/аморт!$E$38*L29*7</f>
        <v>3025.4237999999996</v>
      </c>
      <c r="BI29" s="36" t="e">
        <f t="shared" ca="1" si="50"/>
        <v>#REF!</v>
      </c>
      <c r="BJ29" s="36" t="e">
        <f t="shared" ca="1" si="51"/>
        <v>#REF!</v>
      </c>
      <c r="BK29" s="38">
        <f t="shared" si="52"/>
        <v>8.7499999999999994E-2</v>
      </c>
      <c r="BL29" s="38">
        <v>5.0999999999999996</v>
      </c>
      <c r="BM29" s="39">
        <f t="shared" si="53"/>
        <v>6.375</v>
      </c>
    </row>
    <row r="30" spans="1:65" x14ac:dyDescent="0.2">
      <c r="A30" s="20">
        <f>A29+1</f>
        <v>3</v>
      </c>
      <c r="B30" s="27" t="s">
        <v>85</v>
      </c>
      <c r="C30" s="29">
        <v>2</v>
      </c>
      <c r="D30" s="30" t="s">
        <v>105</v>
      </c>
      <c r="E30" s="31" t="s">
        <v>199</v>
      </c>
      <c r="F30" s="28" t="s">
        <v>106</v>
      </c>
      <c r="G30" s="138">
        <f>D5</f>
        <v>100</v>
      </c>
      <c r="H30" s="76">
        <v>40377</v>
      </c>
      <c r="I30" s="76">
        <v>40382</v>
      </c>
      <c r="J30" s="78">
        <f t="shared" si="26"/>
        <v>7.1428571428571432</v>
      </c>
      <c r="K30" s="32">
        <v>14</v>
      </c>
      <c r="L30" s="33">
        <f t="shared" si="27"/>
        <v>7.1428571428571432</v>
      </c>
      <c r="M30" s="34">
        <v>1</v>
      </c>
      <c r="N30" s="34"/>
      <c r="O30" s="35">
        <f t="shared" si="28"/>
        <v>50</v>
      </c>
      <c r="P30" s="35">
        <f t="shared" si="29"/>
        <v>0</v>
      </c>
      <c r="Q30" s="34">
        <v>2</v>
      </c>
      <c r="R30" s="78">
        <f ca="1">IF(AND(O30&gt;0,Q30&gt;0),SUMIF('Исходные данные'!$C$14:H30,Q30,'Исходные данные'!$C$18:$H$18),IF(O30=0,0,IF(Q30=0,"РОТ")))</f>
        <v>128.66557526609228</v>
      </c>
      <c r="S30" s="34"/>
      <c r="T30" s="33"/>
      <c r="U30" s="125">
        <f ca="1">O30*R30*'Исходные данные'!$C$39%</f>
        <v>0</v>
      </c>
      <c r="V30" s="125">
        <f>P30*T30*'Исходные данные'!$C$40%</f>
        <v>0</v>
      </c>
      <c r="W30" s="125">
        <f t="shared" ca="1" si="30"/>
        <v>2573.3115053218457</v>
      </c>
      <c r="X30" s="126">
        <f t="shared" si="31"/>
        <v>0</v>
      </c>
      <c r="Y30" s="125">
        <f t="shared" ca="1" si="32"/>
        <v>900.65902686264599</v>
      </c>
      <c r="Z30" s="126">
        <f t="shared" si="33"/>
        <v>0</v>
      </c>
      <c r="AA30" s="125">
        <f t="shared" ca="1" si="34"/>
        <v>643.32787633046144</v>
      </c>
      <c r="AB30" s="126">
        <f t="shared" si="35"/>
        <v>0</v>
      </c>
      <c r="AC30" s="124">
        <v>2.5</v>
      </c>
      <c r="AD30" s="125">
        <f t="shared" ca="1" si="36"/>
        <v>26376.442929548917</v>
      </c>
      <c r="AE30" s="125">
        <f t="shared" si="37"/>
        <v>0</v>
      </c>
      <c r="AF30" s="35">
        <f t="shared" ca="1" si="38"/>
        <v>3941.3075641854698</v>
      </c>
      <c r="AG30" s="70"/>
      <c r="AH30" s="35">
        <f t="shared" ca="1" si="39"/>
        <v>30317.750493734387</v>
      </c>
      <c r="AI30" s="35"/>
      <c r="AJ30" s="35">
        <f t="shared" ca="1" si="40"/>
        <v>9095.3251481203151</v>
      </c>
      <c r="AK30" s="70"/>
      <c r="AL30" s="35">
        <f t="shared" ca="1" si="41"/>
        <v>39413.075641854703</v>
      </c>
      <c r="AM30" s="70"/>
      <c r="AN30" s="32">
        <v>2.8</v>
      </c>
      <c r="AO30" s="33">
        <f>'Исходные данные'!$C$55</f>
        <v>0.84</v>
      </c>
      <c r="AP30" s="74">
        <f t="shared" si="42"/>
        <v>2.3519999999999999</v>
      </c>
      <c r="AQ30" s="33" t="s">
        <v>152</v>
      </c>
      <c r="AR30" s="78" t="e">
        <f>AR20</f>
        <v>#REF!</v>
      </c>
      <c r="AS30" s="36" t="e">
        <f t="shared" si="43"/>
        <v>#REF!</v>
      </c>
      <c r="AT30" s="36"/>
      <c r="AU30" s="36"/>
      <c r="AV30" s="36"/>
      <c r="AW30" s="36"/>
      <c r="AX30" s="36">
        <f>аморт!$G$11</f>
        <v>181.91312849162011</v>
      </c>
      <c r="AY30" s="36">
        <f t="shared" si="44"/>
        <v>1299.3794892258579</v>
      </c>
      <c r="AZ30" s="36">
        <f>аморт!$G$38</f>
        <v>144.06779999999998</v>
      </c>
      <c r="BA30" s="36">
        <f t="shared" si="45"/>
        <v>1029.0557142857142</v>
      </c>
      <c r="BB30" s="38">
        <v>82.4</v>
      </c>
      <c r="BC30" s="36">
        <f t="shared" si="46"/>
        <v>3001.7142857142862</v>
      </c>
      <c r="BD30" s="38">
        <v>13.9</v>
      </c>
      <c r="BE30" s="36">
        <f t="shared" si="47"/>
        <v>506.35714285714289</v>
      </c>
      <c r="BF30" s="38">
        <f t="shared" si="48"/>
        <v>5.2868639999999996</v>
      </c>
      <c r="BG30" s="36">
        <f t="shared" si="49"/>
        <v>192.59290285714286</v>
      </c>
      <c r="BH30" s="36">
        <f>аморт!$C$38*10%/аморт!$E$38*L30*7</f>
        <v>17288.135999999999</v>
      </c>
      <c r="BI30" s="36" t="e">
        <f t="shared" ca="1" si="50"/>
        <v>#REF!</v>
      </c>
      <c r="BJ30" s="36" t="e">
        <f t="shared" ca="1" si="51"/>
        <v>#REF!</v>
      </c>
      <c r="BK30" s="38">
        <f t="shared" si="52"/>
        <v>0.5</v>
      </c>
      <c r="BL30" s="38">
        <v>5.0999999999999996</v>
      </c>
      <c r="BM30" s="39">
        <f t="shared" si="53"/>
        <v>36.428571428571431</v>
      </c>
    </row>
    <row r="31" spans="1:65" x14ac:dyDescent="0.2">
      <c r="A31" s="20">
        <f>A30+1</f>
        <v>4</v>
      </c>
      <c r="B31" s="27" t="s">
        <v>88</v>
      </c>
      <c r="C31" s="29">
        <v>2</v>
      </c>
      <c r="D31" s="30" t="s">
        <v>105</v>
      </c>
      <c r="E31" s="31" t="s">
        <v>204</v>
      </c>
      <c r="F31" s="28" t="s">
        <v>106</v>
      </c>
      <c r="G31" s="138">
        <f>G30</f>
        <v>100</v>
      </c>
      <c r="H31" s="76">
        <v>40380</v>
      </c>
      <c r="I31" s="76">
        <v>40384</v>
      </c>
      <c r="J31" s="78">
        <f t="shared" si="26"/>
        <v>6.25</v>
      </c>
      <c r="K31" s="32">
        <v>16</v>
      </c>
      <c r="L31" s="33">
        <f t="shared" si="27"/>
        <v>6.25</v>
      </c>
      <c r="M31" s="34">
        <v>1</v>
      </c>
      <c r="N31" s="34"/>
      <c r="O31" s="35">
        <f t="shared" si="28"/>
        <v>43.75</v>
      </c>
      <c r="P31" s="35">
        <f t="shared" si="29"/>
        <v>0</v>
      </c>
      <c r="Q31" s="34">
        <v>5</v>
      </c>
      <c r="R31" s="78">
        <f ca="1">IF(AND(O31&gt;0,Q31&gt;0),SUMIF('Исходные данные'!$C$14:H31,Q31,'Исходные данные'!$C$18:$H$18),IF(O31=0,0,IF(Q31=0,"РОТ")))</f>
        <v>179.78980233147493</v>
      </c>
      <c r="S31" s="34"/>
      <c r="T31" s="33"/>
      <c r="U31" s="125">
        <f ca="1">O31*R31*'Исходные данные'!$C$39%</f>
        <v>0</v>
      </c>
      <c r="V31" s="125">
        <f>P31*T31*'Исходные данные'!$C$40%</f>
        <v>0</v>
      </c>
      <c r="W31" s="125">
        <f t="shared" ca="1" si="30"/>
        <v>3146.3215408008114</v>
      </c>
      <c r="X31" s="126">
        <f t="shared" si="31"/>
        <v>0</v>
      </c>
      <c r="Y31" s="125">
        <f t="shared" ca="1" si="32"/>
        <v>1101.2125392802841</v>
      </c>
      <c r="Z31" s="126">
        <f t="shared" si="33"/>
        <v>0</v>
      </c>
      <c r="AA31" s="125">
        <f t="shared" ca="1" si="34"/>
        <v>786.58038520020284</v>
      </c>
      <c r="AB31" s="126">
        <f t="shared" si="35"/>
        <v>0</v>
      </c>
      <c r="AC31" s="124">
        <v>2.5</v>
      </c>
      <c r="AD31" s="125">
        <f t="shared" ca="1" si="36"/>
        <v>32249.795793208319</v>
      </c>
      <c r="AE31" s="125">
        <f t="shared" si="37"/>
        <v>0</v>
      </c>
      <c r="AF31" s="35">
        <f t="shared" ca="1" si="38"/>
        <v>4818.935003582852</v>
      </c>
      <c r="AG31" s="70"/>
      <c r="AH31" s="35">
        <f t="shared" ca="1" si="39"/>
        <v>37068.730796791169</v>
      </c>
      <c r="AI31" s="35"/>
      <c r="AJ31" s="35">
        <f t="shared" ca="1" si="40"/>
        <v>11120.619239037351</v>
      </c>
      <c r="AK31" s="70"/>
      <c r="AL31" s="35">
        <f t="shared" ca="1" si="41"/>
        <v>48189.350035828524</v>
      </c>
      <c r="AM31" s="70"/>
      <c r="AN31" s="32">
        <v>3.6</v>
      </c>
      <c r="AO31" s="33">
        <f>'Исходные данные'!$C$55</f>
        <v>0.84</v>
      </c>
      <c r="AP31" s="74">
        <f t="shared" si="42"/>
        <v>3.0239999999999996</v>
      </c>
      <c r="AQ31" s="33" t="s">
        <v>152</v>
      </c>
      <c r="AR31" s="78" t="e">
        <f>AR20</f>
        <v>#REF!</v>
      </c>
      <c r="AS31" s="36" t="e">
        <f t="shared" si="43"/>
        <v>#REF!</v>
      </c>
      <c r="AT31" s="145">
        <f>(1000/215*120)/2000</f>
        <v>0.27906976744186052</v>
      </c>
      <c r="AU31" s="74">
        <f>AT31*G31*D8</f>
        <v>301.39534883720938</v>
      </c>
      <c r="AV31" s="36">
        <f>5*200</f>
        <v>1000</v>
      </c>
      <c r="AW31" s="36">
        <f>AU31*AV31</f>
        <v>301395.3488372094</v>
      </c>
      <c r="AX31" s="36">
        <f>аморт!$G$11</f>
        <v>181.91312849162011</v>
      </c>
      <c r="AY31" s="36">
        <f t="shared" si="44"/>
        <v>1136.9570530726257</v>
      </c>
      <c r="AZ31" s="36">
        <f>аморт!G75</f>
        <v>91.807777777777801</v>
      </c>
      <c r="BA31" s="36">
        <f t="shared" si="45"/>
        <v>573.79861111111131</v>
      </c>
      <c r="BB31" s="38">
        <v>82.4</v>
      </c>
      <c r="BC31" s="36">
        <f t="shared" si="46"/>
        <v>2626.5</v>
      </c>
      <c r="BD31" s="38">
        <v>13.9</v>
      </c>
      <c r="BE31" s="36">
        <f t="shared" si="47"/>
        <v>443.06249999999994</v>
      </c>
      <c r="BF31" s="38">
        <f t="shared" si="48"/>
        <v>5.2868639999999996</v>
      </c>
      <c r="BG31" s="36">
        <f t="shared" si="49"/>
        <v>168.51878999999997</v>
      </c>
      <c r="BH31" s="36">
        <f>аморт!C75*10%/аморт!E75*L31*7</f>
        <v>17351.669999999998</v>
      </c>
      <c r="BI31" s="36" t="e">
        <f t="shared" ca="1" si="50"/>
        <v>#REF!</v>
      </c>
      <c r="BJ31" s="36" t="e">
        <f t="shared" ca="1" si="51"/>
        <v>#REF!</v>
      </c>
      <c r="BK31" s="38">
        <f t="shared" si="52"/>
        <v>0.4375</v>
      </c>
      <c r="BL31" s="38">
        <v>5.0999999999999996</v>
      </c>
      <c r="BM31" s="39">
        <f t="shared" si="53"/>
        <v>31.874999999999996</v>
      </c>
    </row>
    <row r="32" spans="1:65" ht="22.5" x14ac:dyDescent="0.2">
      <c r="A32" s="20">
        <f>A31+1</f>
        <v>5</v>
      </c>
      <c r="B32" s="27" t="s">
        <v>89</v>
      </c>
      <c r="C32" s="29">
        <v>1</v>
      </c>
      <c r="D32" s="30" t="s">
        <v>105</v>
      </c>
      <c r="E32" s="31" t="s">
        <v>203</v>
      </c>
      <c r="F32" s="28" t="s">
        <v>106</v>
      </c>
      <c r="G32" s="138">
        <f>G28/5</f>
        <v>20</v>
      </c>
      <c r="H32" s="76">
        <v>40385</v>
      </c>
      <c r="I32" s="76">
        <v>40386</v>
      </c>
      <c r="J32" s="78">
        <f t="shared" si="26"/>
        <v>0.14054813773717498</v>
      </c>
      <c r="K32" s="32">
        <v>142.30000000000001</v>
      </c>
      <c r="L32" s="33">
        <f t="shared" si="27"/>
        <v>0.14054813773717498</v>
      </c>
      <c r="M32" s="34">
        <v>1</v>
      </c>
      <c r="N32" s="34"/>
      <c r="O32" s="35">
        <f t="shared" si="28"/>
        <v>0.98383696416022481</v>
      </c>
      <c r="P32" s="35">
        <f t="shared" si="29"/>
        <v>0</v>
      </c>
      <c r="Q32" s="34">
        <v>2</v>
      </c>
      <c r="R32" s="78">
        <f ca="1">IF(AND(O32&gt;0,Q32&gt;0),SUMIF('Исходные данные'!$C$14:H32,Q32,'Исходные данные'!$C$18:$H$18),IF(O32=0,0,IF(Q32=0,"РОТ")))</f>
        <v>128.66557526609228</v>
      </c>
      <c r="S32" s="34"/>
      <c r="T32" s="33"/>
      <c r="U32" s="125">
        <f ca="1">O32*R32*'Исходные данные'!$C$39%</f>
        <v>0</v>
      </c>
      <c r="V32" s="125">
        <f>P32*T32*'Исходные данные'!$C$40%</f>
        <v>0</v>
      </c>
      <c r="W32" s="125">
        <f t="shared" ca="1" si="30"/>
        <v>50.634379584688453</v>
      </c>
      <c r="X32" s="126">
        <f t="shared" si="31"/>
        <v>0</v>
      </c>
      <c r="Y32" s="125">
        <f t="shared" ca="1" si="32"/>
        <v>17.722032854640958</v>
      </c>
      <c r="Z32" s="126">
        <f t="shared" si="33"/>
        <v>0</v>
      </c>
      <c r="AA32" s="125">
        <f t="shared" ca="1" si="34"/>
        <v>12.658594896172113</v>
      </c>
      <c r="AB32" s="126">
        <f t="shared" si="35"/>
        <v>0</v>
      </c>
      <c r="AC32" s="124">
        <v>2.5</v>
      </c>
      <c r="AD32" s="125">
        <f t="shared" ca="1" si="36"/>
        <v>519.00239074305659</v>
      </c>
      <c r="AE32" s="125">
        <f t="shared" si="37"/>
        <v>0</v>
      </c>
      <c r="AF32" s="35">
        <f t="shared" ca="1" si="38"/>
        <v>77.552081375399254</v>
      </c>
      <c r="AG32" s="70"/>
      <c r="AH32" s="35">
        <f t="shared" ca="1" si="39"/>
        <v>596.55447211845581</v>
      </c>
      <c r="AI32" s="35"/>
      <c r="AJ32" s="35">
        <f t="shared" ca="1" si="40"/>
        <v>178.96634163553674</v>
      </c>
      <c r="AK32" s="70"/>
      <c r="AL32" s="35">
        <f t="shared" ca="1" si="41"/>
        <v>775.52081375399257</v>
      </c>
      <c r="AM32" s="70"/>
      <c r="AN32" s="32">
        <v>0.3</v>
      </c>
      <c r="AO32" s="33">
        <f>'Исходные данные'!$C$55</f>
        <v>0.84</v>
      </c>
      <c r="AP32" s="74">
        <f t="shared" si="42"/>
        <v>5.04E-2</v>
      </c>
      <c r="AQ32" s="33" t="s">
        <v>152</v>
      </c>
      <c r="AR32" s="78" t="e">
        <f>AR20</f>
        <v>#REF!</v>
      </c>
      <c r="AS32" s="36" t="e">
        <f t="shared" si="43"/>
        <v>#REF!</v>
      </c>
      <c r="AT32" s="36"/>
      <c r="AU32" s="36"/>
      <c r="AV32" s="36"/>
      <c r="AW32" s="36"/>
      <c r="AX32" s="36">
        <f>аморт!$G$11</f>
        <v>181.91312849162011</v>
      </c>
      <c r="AY32" s="36">
        <f t="shared" si="44"/>
        <v>25.567551439440635</v>
      </c>
      <c r="AZ32" s="36">
        <f>аморт!$G$40</f>
        <v>39.779508196721316</v>
      </c>
      <c r="BA32" s="36">
        <f t="shared" si="45"/>
        <v>5.5909357971498688</v>
      </c>
      <c r="BB32" s="38">
        <v>82.4</v>
      </c>
      <c r="BC32" s="36">
        <f t="shared" si="46"/>
        <v>59.06394940267041</v>
      </c>
      <c r="BD32" s="38">
        <v>13.9</v>
      </c>
      <c r="BE32" s="36">
        <f t="shared" si="47"/>
        <v>9.9634574841883339</v>
      </c>
      <c r="BF32" s="38">
        <f t="shared" si="48"/>
        <v>5.2868639999999996</v>
      </c>
      <c r="BG32" s="36">
        <f t="shared" si="49"/>
        <v>3.7896003373155298</v>
      </c>
      <c r="BH32" s="36">
        <f>аморт!$C$40*10%/аморт!$E$40*L32*7</f>
        <v>171.88773014757555</v>
      </c>
      <c r="BI32" s="36" t="e">
        <f t="shared" ca="1" si="50"/>
        <v>#REF!</v>
      </c>
      <c r="BJ32" s="36" t="e">
        <f t="shared" ca="1" si="51"/>
        <v>#REF!</v>
      </c>
      <c r="BK32" s="38">
        <f t="shared" si="52"/>
        <v>9.8383696416022483E-3</v>
      </c>
      <c r="BL32" s="38">
        <v>5.0999999999999996</v>
      </c>
      <c r="BM32" s="39">
        <f t="shared" si="53"/>
        <v>0.71679550245959234</v>
      </c>
    </row>
    <row r="33" spans="1:65" ht="22.5" x14ac:dyDescent="0.2">
      <c r="A33" s="20">
        <v>6</v>
      </c>
      <c r="B33" s="27" t="s">
        <v>90</v>
      </c>
      <c r="C33" s="29">
        <v>2</v>
      </c>
      <c r="D33" s="30" t="s">
        <v>105</v>
      </c>
      <c r="E33" s="31" t="s">
        <v>205</v>
      </c>
      <c r="F33" s="28" t="s">
        <v>109</v>
      </c>
      <c r="G33" s="138">
        <v>116.23529411764707</v>
      </c>
      <c r="H33" s="76">
        <v>40387</v>
      </c>
      <c r="I33" s="76">
        <v>40389</v>
      </c>
      <c r="J33" s="78">
        <f t="shared" si="26"/>
        <v>4.9525050753151714</v>
      </c>
      <c r="K33" s="32">
        <v>23.47</v>
      </c>
      <c r="L33" s="33">
        <f t="shared" si="27"/>
        <v>4.9525050753151714</v>
      </c>
      <c r="M33" s="34">
        <v>1</v>
      </c>
      <c r="N33" s="34"/>
      <c r="O33" s="35">
        <f t="shared" si="28"/>
        <v>34.667535527206198</v>
      </c>
      <c r="P33" s="35">
        <f t="shared" si="29"/>
        <v>0</v>
      </c>
      <c r="Q33" s="132">
        <v>3</v>
      </c>
      <c r="R33" s="78">
        <f ca="1">IF(AND(O33&gt;0,Q33&gt;0),SUMIF('Исходные данные'!$C$14:H33,Q33,'Исходные данные'!$C$18:$H$18),IF(O33=0,0,IF(Q33=0,"РОТ")))</f>
        <v>138.29984794728838</v>
      </c>
      <c r="S33" s="34"/>
      <c r="T33" s="33"/>
      <c r="U33" s="125">
        <f ca="1">O33*R33*'Исходные данные'!$C$39%</f>
        <v>0</v>
      </c>
      <c r="V33" s="125">
        <f>P33*T33*'Исходные данные'!$C$40%</f>
        <v>0</v>
      </c>
      <c r="W33" s="125">
        <f t="shared" ca="1" si="30"/>
        <v>1917.8059568479341</v>
      </c>
      <c r="X33" s="126">
        <f t="shared" si="31"/>
        <v>0</v>
      </c>
      <c r="Y33" s="125">
        <f t="shared" ca="1" si="32"/>
        <v>671.232084896777</v>
      </c>
      <c r="Z33" s="126">
        <f t="shared" si="33"/>
        <v>0</v>
      </c>
      <c r="AA33" s="125">
        <f t="shared" ca="1" si="34"/>
        <v>479.45148921198353</v>
      </c>
      <c r="AB33" s="126">
        <f t="shared" si="35"/>
        <v>0</v>
      </c>
      <c r="AC33" s="124">
        <v>2.5</v>
      </c>
      <c r="AD33" s="125">
        <f t="shared" ca="1" si="36"/>
        <v>19657.511057691325</v>
      </c>
      <c r="AE33" s="125">
        <f t="shared" si="37"/>
        <v>0</v>
      </c>
      <c r="AF33" s="35">
        <f t="shared" ca="1" si="38"/>
        <v>2937.3292385055997</v>
      </c>
      <c r="AG33" s="70"/>
      <c r="AH33" s="35">
        <f t="shared" ca="1" si="39"/>
        <v>22594.840296196926</v>
      </c>
      <c r="AI33" s="35"/>
      <c r="AJ33" s="35">
        <f t="shared" ca="1" si="40"/>
        <v>6778.4520888590778</v>
      </c>
      <c r="AK33" s="70"/>
      <c r="AL33" s="35">
        <f t="shared" ca="1" si="41"/>
        <v>29373.292385056004</v>
      </c>
      <c r="AM33" s="70"/>
      <c r="AN33" s="32">
        <v>1.4</v>
      </c>
      <c r="AO33" s="33">
        <f>'Исходные данные'!$C$55</f>
        <v>0.84</v>
      </c>
      <c r="AP33" s="74">
        <f t="shared" si="42"/>
        <v>1.3669270588235296</v>
      </c>
      <c r="AQ33" s="33" t="s">
        <v>152</v>
      </c>
      <c r="AR33" s="78" t="e">
        <f>AR20</f>
        <v>#REF!</v>
      </c>
      <c r="AS33" s="36" t="e">
        <f t="shared" si="43"/>
        <v>#REF!</v>
      </c>
      <c r="AT33" s="36"/>
      <c r="AU33" s="36"/>
      <c r="AV33" s="36"/>
      <c r="AW33" s="36"/>
      <c r="AX33" s="36">
        <f>аморт!$G$11</f>
        <v>181.91312849162011</v>
      </c>
      <c r="AY33" s="36">
        <f t="shared" si="44"/>
        <v>900.92569212120952</v>
      </c>
      <c r="AZ33" s="36">
        <f>аморт!G69</f>
        <v>19.673123809523812</v>
      </c>
      <c r="BA33" s="36">
        <f t="shared" si="45"/>
        <v>97.431245513970424</v>
      </c>
      <c r="BB33" s="38">
        <v>82.4</v>
      </c>
      <c r="BC33" s="36">
        <f t="shared" si="46"/>
        <v>2081.2407328504473</v>
      </c>
      <c r="BD33" s="38">
        <v>13.9</v>
      </c>
      <c r="BE33" s="36">
        <f t="shared" si="47"/>
        <v>351.08308478909248</v>
      </c>
      <c r="BF33" s="38">
        <f t="shared" si="48"/>
        <v>5.2868639999999996</v>
      </c>
      <c r="BG33" s="36">
        <f t="shared" si="49"/>
        <v>133.53442604175541</v>
      </c>
      <c r="BH33" s="36">
        <f>аморт!C69*10%/аморт!E69*L33*7</f>
        <v>20051.350326775108</v>
      </c>
      <c r="BI33" s="36" t="e">
        <f t="shared" ca="1" si="50"/>
        <v>#REF!</v>
      </c>
      <c r="BJ33" s="36" t="e">
        <f t="shared" ca="1" si="51"/>
        <v>#REF!</v>
      </c>
      <c r="BK33" s="38">
        <f t="shared" si="52"/>
        <v>0.346675355272062</v>
      </c>
      <c r="BL33" s="38">
        <v>5.0999999999999996</v>
      </c>
      <c r="BM33" s="39">
        <f t="shared" si="53"/>
        <v>25.257775884107371</v>
      </c>
    </row>
    <row r="34" spans="1:65" ht="22.5" x14ac:dyDescent="0.2">
      <c r="A34" s="20">
        <v>7</v>
      </c>
      <c r="B34" s="27" t="s">
        <v>91</v>
      </c>
      <c r="C34" s="29">
        <v>2</v>
      </c>
      <c r="D34" s="30" t="s">
        <v>105</v>
      </c>
      <c r="E34" s="31" t="s">
        <v>115</v>
      </c>
      <c r="F34" s="28" t="s">
        <v>109</v>
      </c>
      <c r="G34" s="138">
        <v>116.23529411764707</v>
      </c>
      <c r="H34" s="76">
        <v>40389</v>
      </c>
      <c r="I34" s="76">
        <v>40395</v>
      </c>
      <c r="J34" s="78">
        <f>L34/N34</f>
        <v>5.8117647058823536</v>
      </c>
      <c r="K34" s="32">
        <v>20</v>
      </c>
      <c r="L34" s="33">
        <f t="shared" si="27"/>
        <v>5.8117647058823536</v>
      </c>
      <c r="M34" s="34">
        <v>1</v>
      </c>
      <c r="N34" s="34">
        <v>1</v>
      </c>
      <c r="O34" s="35">
        <f t="shared" si="28"/>
        <v>40.682352941176475</v>
      </c>
      <c r="P34" s="35">
        <f t="shared" si="29"/>
        <v>40.682352941176475</v>
      </c>
      <c r="Q34" s="34">
        <v>4</v>
      </c>
      <c r="R34" s="78">
        <f ca="1">IF(AND(O34&gt;0,Q34&gt;0),SUMIF('Исходные данные'!$C$14:H34,Q34,'Исходные данные'!$C$18:$H$18),IF(O34=0,0,IF(Q34=0,"РОТ")))</f>
        <v>156.08125696908263</v>
      </c>
      <c r="S34" s="34">
        <v>4</v>
      </c>
      <c r="T34" s="78">
        <f ca="1">IF(AND(N34&gt;0,P34&gt;0),SUMIF('Исходные данные'!$C$14:$J$30,S34,'Исходные данные'!$C$34:$J$41),IF(N34=0,0,IF(S34=0,"РОТ")))</f>
        <v>123.48200709579322</v>
      </c>
      <c r="U34" s="125">
        <f ca="1">O34*R34*'Исходные данные'!$C$39%</f>
        <v>0</v>
      </c>
      <c r="V34" s="125">
        <f ca="1">P34*T34*'Исходные данные'!$C$40%</f>
        <v>0</v>
      </c>
      <c r="W34" s="125">
        <f t="shared" ca="1" si="30"/>
        <v>2539.9011134074722</v>
      </c>
      <c r="X34" s="126">
        <f t="shared" ca="1" si="31"/>
        <v>2009.415437822367</v>
      </c>
      <c r="Y34" s="125">
        <f t="shared" ca="1" si="32"/>
        <v>888.9653896926153</v>
      </c>
      <c r="Z34" s="126">
        <f t="shared" ca="1" si="33"/>
        <v>351.6477016189142</v>
      </c>
      <c r="AA34" s="125">
        <f t="shared" ca="1" si="34"/>
        <v>634.97527835186804</v>
      </c>
      <c r="AB34" s="126">
        <f t="shared" ca="1" si="35"/>
        <v>502.35385945559176</v>
      </c>
      <c r="AC34" s="124">
        <v>2.5</v>
      </c>
      <c r="AD34" s="125">
        <f t="shared" ca="1" si="36"/>
        <v>26033.986412426595</v>
      </c>
      <c r="AE34" s="125">
        <f t="shared" ca="1" si="37"/>
        <v>19717.388983631976</v>
      </c>
      <c r="AF34" s="35">
        <f t="shared" ca="1" si="38"/>
        <v>3890.135900707422</v>
      </c>
      <c r="AG34" s="70">
        <f ca="1">AE34*$AF$15</f>
        <v>2946.2765147955824</v>
      </c>
      <c r="AH34" s="35">
        <f t="shared" ca="1" si="39"/>
        <v>29924.122313134016</v>
      </c>
      <c r="AI34" s="35">
        <f ca="1">AE34+AG34</f>
        <v>22663.665498427559</v>
      </c>
      <c r="AJ34" s="35">
        <f t="shared" ca="1" si="40"/>
        <v>8977.2366939402036</v>
      </c>
      <c r="AK34" s="70">
        <f ca="1">AI34*$AJ$15</f>
        <v>6799.0996495282679</v>
      </c>
      <c r="AL34" s="35">
        <f t="shared" ca="1" si="41"/>
        <v>38901.359007074221</v>
      </c>
      <c r="AM34" s="70">
        <f ca="1">AK34+AI34</f>
        <v>29462.765147955826</v>
      </c>
      <c r="AN34" s="32">
        <v>0.8</v>
      </c>
      <c r="AO34" s="33">
        <f>'Исходные данные'!$C$55</f>
        <v>0.84</v>
      </c>
      <c r="AP34" s="74">
        <f t="shared" si="42"/>
        <v>0.7811011764705883</v>
      </c>
      <c r="AQ34" s="33" t="s">
        <v>152</v>
      </c>
      <c r="AR34" s="78" t="e">
        <f>AR20</f>
        <v>#REF!</v>
      </c>
      <c r="AS34" s="36" t="e">
        <f t="shared" si="43"/>
        <v>#REF!</v>
      </c>
      <c r="AT34" s="36"/>
      <c r="AU34" s="36"/>
      <c r="AV34" s="36"/>
      <c r="AW34" s="36"/>
      <c r="AX34" s="36">
        <f>аморт!$G$11</f>
        <v>181.91312849162011</v>
      </c>
      <c r="AY34" s="36">
        <f t="shared" si="44"/>
        <v>1057.2362997042394</v>
      </c>
      <c r="AZ34" s="36">
        <f>аморт!G23</f>
        <v>48.426111111111105</v>
      </c>
      <c r="BA34" s="36">
        <f t="shared" si="45"/>
        <v>281.44116339869282</v>
      </c>
      <c r="BB34" s="38">
        <v>82.4</v>
      </c>
      <c r="BC34" s="36">
        <f t="shared" si="46"/>
        <v>2442.3360000000002</v>
      </c>
      <c r="BD34" s="38">
        <v>13.9</v>
      </c>
      <c r="BE34" s="36">
        <f t="shared" si="47"/>
        <v>411.99600000000004</v>
      </c>
      <c r="BF34" s="38">
        <f t="shared" si="48"/>
        <v>5.2868639999999996</v>
      </c>
      <c r="BG34" s="36">
        <f t="shared" si="49"/>
        <v>156.70264895999998</v>
      </c>
      <c r="BH34" s="36">
        <f>аморт!C23*10%/аморт!E23*L34*7</f>
        <v>44681.599101176478</v>
      </c>
      <c r="BI34" s="36" t="e">
        <f t="shared" ca="1" si="50"/>
        <v>#REF!</v>
      </c>
      <c r="BJ34" s="36" t="e">
        <f t="shared" ca="1" si="51"/>
        <v>#REF!</v>
      </c>
      <c r="BK34" s="38">
        <f t="shared" si="52"/>
        <v>0.8136470588235295</v>
      </c>
      <c r="BL34" s="38">
        <v>5.0999999999999996</v>
      </c>
      <c r="BM34" s="39">
        <f t="shared" si="53"/>
        <v>29.64</v>
      </c>
    </row>
    <row r="35" spans="1:65" x14ac:dyDescent="0.2">
      <c r="A35" s="20">
        <v>8</v>
      </c>
      <c r="B35" s="27" t="s">
        <v>92</v>
      </c>
      <c r="C35" s="29">
        <v>1</v>
      </c>
      <c r="D35" s="30" t="s">
        <v>105</v>
      </c>
      <c r="E35" s="31" t="s">
        <v>206</v>
      </c>
      <c r="F35" s="28" t="s">
        <v>109</v>
      </c>
      <c r="G35" s="138">
        <v>116.23529411764707</v>
      </c>
      <c r="H35" s="76">
        <v>40395</v>
      </c>
      <c r="I35" s="76">
        <v>40400</v>
      </c>
      <c r="J35" s="78">
        <f>L35/N35</f>
        <v>5.9303721488595444</v>
      </c>
      <c r="K35" s="32">
        <v>19.600000000000001</v>
      </c>
      <c r="L35" s="33">
        <f t="shared" si="27"/>
        <v>5.9303721488595444</v>
      </c>
      <c r="M35" s="34">
        <v>1</v>
      </c>
      <c r="N35" s="34">
        <v>1</v>
      </c>
      <c r="O35" s="35">
        <f t="shared" si="28"/>
        <v>41.512605042016808</v>
      </c>
      <c r="P35" s="35">
        <f t="shared" si="29"/>
        <v>41.512605042016808</v>
      </c>
      <c r="Q35" s="34">
        <v>4</v>
      </c>
      <c r="R35" s="78">
        <f ca="1">IF(AND(O35&gt;0,Q35&gt;0),SUMIF('Исходные данные'!$C$14:H34,Q35,'Исходные данные'!$C$18:$H$18),IF(O35=0,0,IF(Q35=0,"РОТ")))</f>
        <v>156.08125696908263</v>
      </c>
      <c r="S35" s="34">
        <v>4</v>
      </c>
      <c r="T35" s="78">
        <f ca="1">IF(AND(N35&gt;0,P35&gt;0),SUMIF('Исходные данные'!$C$14:$J$30,S35,'Исходные данные'!$C$34:$J$41),IF(N35=0,0,IF(S35=0,"РОТ")))</f>
        <v>123.48200709579322</v>
      </c>
      <c r="U35" s="125">
        <f ca="1">O35*R35*'Исходные данные'!$C$39%</f>
        <v>0</v>
      </c>
      <c r="V35" s="125">
        <f ca="1">P35*T35*'Исходные данные'!$C$40%</f>
        <v>0</v>
      </c>
      <c r="W35" s="125">
        <f t="shared" ca="1" si="30"/>
        <v>2591.7358300076248</v>
      </c>
      <c r="X35" s="126">
        <f t="shared" ca="1" si="31"/>
        <v>2050.4239161452724</v>
      </c>
      <c r="Y35" s="125">
        <f t="shared" ca="1" si="32"/>
        <v>907.1075405026686</v>
      </c>
      <c r="Z35" s="126">
        <f t="shared" ca="1" si="33"/>
        <v>358.82418532542266</v>
      </c>
      <c r="AA35" s="125">
        <f t="shared" ca="1" si="34"/>
        <v>647.93395750190621</v>
      </c>
      <c r="AB35" s="126">
        <f t="shared" ca="1" si="35"/>
        <v>512.6059790363181</v>
      </c>
      <c r="AC35" s="124">
        <v>2.5</v>
      </c>
      <c r="AD35" s="125">
        <f t="shared" ca="1" si="36"/>
        <v>26565.292257578152</v>
      </c>
      <c r="AE35" s="125">
        <f t="shared" ca="1" si="37"/>
        <v>20119.784677175485</v>
      </c>
      <c r="AF35" s="35">
        <f t="shared" ca="1" si="38"/>
        <v>3969.5264292932866</v>
      </c>
      <c r="AG35" s="70">
        <f ca="1">AE35*$AF$15</f>
        <v>3006.4046069342676</v>
      </c>
      <c r="AH35" s="35">
        <f t="shared" ca="1" si="39"/>
        <v>30534.81868687144</v>
      </c>
      <c r="AI35" s="35">
        <f ca="1">AE35+AG35</f>
        <v>23126.189284109751</v>
      </c>
      <c r="AJ35" s="35">
        <f t="shared" ca="1" si="40"/>
        <v>9160.445606061432</v>
      </c>
      <c r="AK35" s="70">
        <f ca="1">AI35*$AJ$15</f>
        <v>6937.8567852329252</v>
      </c>
      <c r="AL35" s="35">
        <f t="shared" ca="1" si="41"/>
        <v>39695.264292932872</v>
      </c>
      <c r="AM35" s="70">
        <f ca="1">AK35+AI35</f>
        <v>30064.046069342676</v>
      </c>
      <c r="AN35" s="32">
        <v>2.5</v>
      </c>
      <c r="AO35" s="33">
        <f>'Исходные данные'!$C$55</f>
        <v>0.84</v>
      </c>
      <c r="AP35" s="74">
        <f t="shared" si="42"/>
        <v>2.4409411764705884</v>
      </c>
      <c r="AQ35" s="33" t="s">
        <v>152</v>
      </c>
      <c r="AR35" s="78" t="e">
        <f>AR20</f>
        <v>#REF!</v>
      </c>
      <c r="AS35" s="36" t="e">
        <f t="shared" si="43"/>
        <v>#REF!</v>
      </c>
      <c r="AT35" s="36"/>
      <c r="AU35" s="36"/>
      <c r="AV35" s="36"/>
      <c r="AW35" s="36"/>
      <c r="AX35" s="36">
        <f>аморт!$G$11</f>
        <v>181.91312849162011</v>
      </c>
      <c r="AY35" s="36">
        <f t="shared" si="44"/>
        <v>1078.8125507186116</v>
      </c>
      <c r="AZ35" s="36">
        <f>аморт!G73</f>
        <v>16.941761627906978</v>
      </c>
      <c r="BA35" s="36">
        <f t="shared" si="45"/>
        <v>100.47095131075687</v>
      </c>
      <c r="BB35" s="38">
        <v>82.4</v>
      </c>
      <c r="BC35" s="36">
        <f t="shared" si="46"/>
        <v>2492.1795918367347</v>
      </c>
      <c r="BD35" s="38">
        <v>13.9</v>
      </c>
      <c r="BE35" s="36">
        <f t="shared" si="47"/>
        <v>420.40408163265306</v>
      </c>
      <c r="BF35" s="38">
        <f t="shared" si="48"/>
        <v>5.2868639999999996</v>
      </c>
      <c r="BG35" s="36">
        <f t="shared" si="49"/>
        <v>159.90066220408161</v>
      </c>
      <c r="BH35" s="36">
        <f>аморт!C73*10%/аморт!E73*L35*7</f>
        <v>9677.3620302521031</v>
      </c>
      <c r="BI35" s="36" t="e">
        <f t="shared" ca="1" si="50"/>
        <v>#REF!</v>
      </c>
      <c r="BJ35" s="36" t="e">
        <f t="shared" ca="1" si="51"/>
        <v>#REF!</v>
      </c>
      <c r="BK35" s="38">
        <f t="shared" si="52"/>
        <v>0.83025210084033618</v>
      </c>
      <c r="BL35" s="38">
        <v>5.0999999999999996</v>
      </c>
      <c r="BM35" s="39">
        <f t="shared" si="53"/>
        <v>30.244897959183675</v>
      </c>
    </row>
    <row r="36" spans="1:65" s="54" customFormat="1" x14ac:dyDescent="0.2">
      <c r="A36" s="52"/>
      <c r="B36" s="53" t="s">
        <v>21</v>
      </c>
      <c r="C36" s="53"/>
      <c r="D36" s="53"/>
      <c r="E36" s="53"/>
      <c r="F36" s="55"/>
      <c r="G36" s="56"/>
      <c r="H36" s="56"/>
      <c r="I36" s="56"/>
      <c r="J36" s="65">
        <f>SUM(J28:J35)</f>
        <v>48.144713877318054</v>
      </c>
      <c r="K36" s="65"/>
      <c r="L36" s="65">
        <f>SUM(L28:L35)</f>
        <v>48.144713877318054</v>
      </c>
      <c r="M36" s="65">
        <f t="shared" ref="M36:BM36" si="54">SUM(M28:M35)</f>
        <v>8</v>
      </c>
      <c r="N36" s="65">
        <f t="shared" si="54"/>
        <v>2</v>
      </c>
      <c r="O36" s="65">
        <f t="shared" si="54"/>
        <v>337.01299714122638</v>
      </c>
      <c r="P36" s="65">
        <f t="shared" si="54"/>
        <v>82.194957983193291</v>
      </c>
      <c r="Q36" s="65"/>
      <c r="R36" s="65"/>
      <c r="S36" s="65"/>
      <c r="T36" s="65"/>
      <c r="U36" s="65">
        <f t="shared" ca="1" si="54"/>
        <v>0</v>
      </c>
      <c r="V36" s="65">
        <f t="shared" ca="1" si="54"/>
        <v>0</v>
      </c>
      <c r="W36" s="65">
        <f t="shared" ca="1" si="54"/>
        <v>20553.83183129222</v>
      </c>
      <c r="X36" s="65">
        <f t="shared" ca="1" si="54"/>
        <v>4059.8393539676395</v>
      </c>
      <c r="Y36" s="65">
        <f t="shared" ca="1" si="54"/>
        <v>7193.8411409522787</v>
      </c>
      <c r="Z36" s="65">
        <f t="shared" ca="1" si="54"/>
        <v>710.4718869443368</v>
      </c>
      <c r="AA36" s="65">
        <f t="shared" ca="1" si="54"/>
        <v>5138.457957823055</v>
      </c>
      <c r="AB36" s="65">
        <f t="shared" ca="1" si="54"/>
        <v>1014.9598384919099</v>
      </c>
      <c r="AC36" s="65"/>
      <c r="AD36" s="65">
        <f t="shared" ca="1" si="54"/>
        <v>210676.77627074529</v>
      </c>
      <c r="AE36" s="65">
        <f t="shared" ca="1" si="54"/>
        <v>39837.173660807457</v>
      </c>
      <c r="AF36" s="65">
        <f t="shared" ca="1" si="54"/>
        <v>31480.437833559641</v>
      </c>
      <c r="AG36" s="65">
        <f t="shared" ca="1" si="54"/>
        <v>5952.68112172985</v>
      </c>
      <c r="AH36" s="65">
        <f t="shared" ca="1" si="54"/>
        <v>242157.21410430493</v>
      </c>
      <c r="AI36" s="65">
        <f t="shared" ca="1" si="54"/>
        <v>45789.85478253731</v>
      </c>
      <c r="AJ36" s="65">
        <f t="shared" ca="1" si="54"/>
        <v>72647.164231291477</v>
      </c>
      <c r="AK36" s="65">
        <f t="shared" ca="1" si="54"/>
        <v>13736.956434761192</v>
      </c>
      <c r="AL36" s="65">
        <f t="shared" ca="1" si="54"/>
        <v>314804.37833559641</v>
      </c>
      <c r="AM36" s="65">
        <f t="shared" ca="1" si="54"/>
        <v>59526.811217298498</v>
      </c>
      <c r="AN36" s="65"/>
      <c r="AO36" s="65"/>
      <c r="AP36" s="65">
        <f t="shared" si="54"/>
        <v>15.777769411764705</v>
      </c>
      <c r="AQ36" s="65"/>
      <c r="AR36" s="65"/>
      <c r="AS36" s="65" t="e">
        <f t="shared" si="54"/>
        <v>#REF!</v>
      </c>
      <c r="AT36" s="65"/>
      <c r="AU36" s="65">
        <f>SUM(AU28:AU35)</f>
        <v>301.39534883720938</v>
      </c>
      <c r="AV36" s="65"/>
      <c r="AW36" s="65">
        <f>SUM(AW28:AW35)</f>
        <v>301395.3488372094</v>
      </c>
      <c r="AX36" s="65"/>
      <c r="AY36" s="65">
        <f t="shared" si="54"/>
        <v>8758.1555217568457</v>
      </c>
      <c r="AZ36" s="65"/>
      <c r="BA36" s="65">
        <f t="shared" si="54"/>
        <v>2992.0962880840621</v>
      </c>
      <c r="BB36" s="65"/>
      <c r="BC36" s="65">
        <f t="shared" si="54"/>
        <v>20232.334559804141</v>
      </c>
      <c r="BD36" s="65"/>
      <c r="BE36" s="65">
        <f t="shared" si="54"/>
        <v>3412.9787667630771</v>
      </c>
      <c r="BF36" s="65"/>
      <c r="BG36" s="65">
        <f t="shared" si="54"/>
        <v>1298.1262284002953</v>
      </c>
      <c r="BH36" s="65">
        <f t="shared" si="54"/>
        <v>177137.8023216846</v>
      </c>
      <c r="BI36" s="65" t="e">
        <f t="shared" ca="1" si="54"/>
        <v>#REF!</v>
      </c>
      <c r="BJ36" s="65"/>
      <c r="BK36" s="65"/>
      <c r="BL36" s="65"/>
      <c r="BM36" s="65">
        <f t="shared" si="54"/>
        <v>245.53804077432204</v>
      </c>
    </row>
    <row r="37" spans="1:65" s="7" customFormat="1" ht="24" customHeight="1" x14ac:dyDescent="0.2">
      <c r="A37" s="21"/>
      <c r="B37" s="560" t="s">
        <v>97</v>
      </c>
      <c r="C37" s="561"/>
      <c r="D37" s="561"/>
      <c r="E37" s="562"/>
      <c r="F37" s="22"/>
      <c r="G37" s="23"/>
      <c r="H37" s="23"/>
      <c r="I37" s="23"/>
      <c r="J37" s="23"/>
      <c r="K37" s="23"/>
      <c r="L37" s="33"/>
      <c r="M37" s="23"/>
      <c r="N37" s="23"/>
      <c r="O37" s="35"/>
      <c r="P37" s="41"/>
      <c r="Q37" s="25"/>
      <c r="R37" s="23"/>
      <c r="S37" s="25"/>
      <c r="T37" s="23"/>
      <c r="U37" s="23"/>
      <c r="V37" s="23"/>
      <c r="W37" s="23"/>
      <c r="X37" s="23"/>
      <c r="Y37" s="23"/>
      <c r="Z37" s="23"/>
      <c r="AA37" s="23"/>
      <c r="AB37" s="23"/>
      <c r="AC37" s="23"/>
      <c r="AD37" s="23"/>
      <c r="AE37" s="23"/>
      <c r="AF37" s="23"/>
      <c r="AG37" s="23"/>
      <c r="AH37" s="23"/>
      <c r="AI37" s="23"/>
      <c r="AJ37" s="23"/>
      <c r="AK37" s="23"/>
      <c r="AL37" s="23"/>
      <c r="AM37" s="23"/>
      <c r="AN37" s="23"/>
      <c r="AO37" s="23"/>
      <c r="AP37" s="74"/>
      <c r="AQ37" s="26"/>
      <c r="AR37" s="26"/>
      <c r="AS37" s="42"/>
      <c r="AT37" s="42"/>
      <c r="AU37" s="42"/>
      <c r="AV37" s="42"/>
      <c r="AW37" s="42"/>
      <c r="AX37" s="42"/>
      <c r="AY37" s="42"/>
      <c r="AZ37" s="42"/>
      <c r="BA37" s="42"/>
      <c r="BB37" s="42"/>
      <c r="BC37" s="42"/>
      <c r="BD37" s="42"/>
      <c r="BE37" s="42"/>
      <c r="BF37" s="42"/>
      <c r="BG37" s="42"/>
      <c r="BH37" s="42"/>
      <c r="BI37" s="42"/>
      <c r="BJ37" s="42"/>
      <c r="BK37" s="42"/>
      <c r="BL37" s="42"/>
      <c r="BM37" s="42"/>
    </row>
    <row r="38" spans="1:65" x14ac:dyDescent="0.2">
      <c r="A38" s="19">
        <v>1</v>
      </c>
      <c r="B38" s="27" t="s">
        <v>76</v>
      </c>
      <c r="C38" s="29">
        <v>2</v>
      </c>
      <c r="D38" s="30" t="s">
        <v>105</v>
      </c>
      <c r="E38" s="31" t="s">
        <v>198</v>
      </c>
      <c r="F38" s="28" t="s">
        <v>106</v>
      </c>
      <c r="G38" s="138">
        <f>D5</f>
        <v>100</v>
      </c>
      <c r="H38" s="76">
        <v>40374</v>
      </c>
      <c r="I38" s="76">
        <v>40377</v>
      </c>
      <c r="J38" s="78">
        <f>L38/M38</f>
        <v>16.666666666666668</v>
      </c>
      <c r="K38" s="32">
        <v>6</v>
      </c>
      <c r="L38" s="33">
        <f t="shared" ref="L38:L45" si="55">G38/K38</f>
        <v>16.666666666666668</v>
      </c>
      <c r="M38" s="30">
        <v>1</v>
      </c>
      <c r="N38" s="30"/>
      <c r="O38" s="35">
        <f t="shared" ref="O38:O45" si="56">IF(M38=0,0,L38*$O$15)</f>
        <v>116.66666666666667</v>
      </c>
      <c r="P38" s="35">
        <f t="shared" ref="P38:P45" si="57">IF(N38=0,0,L38*$O$15)</f>
        <v>0</v>
      </c>
      <c r="Q38" s="80">
        <v>4</v>
      </c>
      <c r="R38" s="78">
        <f ca="1">IF(AND(O38&gt;0,Q38&gt;0),SUMIF('Исходные данные'!$C$14:H36,Q38,'Исходные данные'!$C$18:$H$18),IF(O38=0,0,IF(Q38=0,"РОТ")))</f>
        <v>156.08125696908263</v>
      </c>
      <c r="S38" s="80"/>
      <c r="T38" s="30"/>
      <c r="U38" s="125">
        <f ca="1">O38*R38*'Исходные данные'!$C$39%</f>
        <v>0</v>
      </c>
      <c r="V38" s="125">
        <f>P38*T38*'Исходные данные'!$C$40%</f>
        <v>0</v>
      </c>
      <c r="W38" s="125">
        <f t="shared" ref="W38:W45" ca="1" si="58">O38*R38*$W$15</f>
        <v>7283.7919918905236</v>
      </c>
      <c r="X38" s="126">
        <f t="shared" ref="X38:X45" si="59">P38*T38*$W$15</f>
        <v>0</v>
      </c>
      <c r="Y38" s="125">
        <f t="shared" ref="Y38:Y45" ca="1" si="60">(O38*R38+U38+W38)*$Y$15</f>
        <v>2549.3271971616832</v>
      </c>
      <c r="Z38" s="126">
        <f t="shared" ref="Z38:Z45" si="61">(P38*T38+V38+X38)*$Z$15</f>
        <v>0</v>
      </c>
      <c r="AA38" s="125">
        <f t="shared" ref="AA38:AA45" ca="1" si="62">(O38*R38+U38)*$AA$15</f>
        <v>1820.9479979726309</v>
      </c>
      <c r="AB38" s="126">
        <f t="shared" ref="AB38:AB45" si="63">(P38*T38+V38)*$AA$15</f>
        <v>0</v>
      </c>
      <c r="AC38" s="124">
        <v>2.5</v>
      </c>
      <c r="AD38" s="125">
        <f t="shared" ref="AD38:AD45" ca="1" si="64">(O38*R38+U38+W38+Y38+AA38)*AC38</f>
        <v>74658.867916877862</v>
      </c>
      <c r="AE38" s="125">
        <f t="shared" ref="AE38:AE45" si="65">(P38*T38+V38+X38+Z38+AB38)*AC38</f>
        <v>0</v>
      </c>
      <c r="AF38" s="35">
        <f t="shared" ref="AF38:AG45" ca="1" si="66">AD38*$AF$15</f>
        <v>11155.922792177151</v>
      </c>
      <c r="AG38" s="70">
        <f t="shared" ca="1" si="66"/>
        <v>0</v>
      </c>
      <c r="AH38" s="35">
        <f t="shared" ref="AH38:AI45" ca="1" si="67">AD38+AF38</f>
        <v>85814.790709055014</v>
      </c>
      <c r="AI38" s="35">
        <f t="shared" ca="1" si="67"/>
        <v>0</v>
      </c>
      <c r="AJ38" s="35">
        <f t="shared" ref="AJ38:AK45" ca="1" si="68">AH38*$AJ$15</f>
        <v>25744.437212716504</v>
      </c>
      <c r="AK38" s="70">
        <f t="shared" ca="1" si="68"/>
        <v>0</v>
      </c>
      <c r="AL38" s="35">
        <f t="shared" ref="AL38:AL45" ca="1" si="69">AH38+AJ38</f>
        <v>111559.22792177153</v>
      </c>
      <c r="AM38" s="70">
        <f t="shared" ref="AM38:AM45" ca="1" si="70">AK38+AI38</f>
        <v>0</v>
      </c>
      <c r="AN38" s="32">
        <v>6.5</v>
      </c>
      <c r="AO38" s="33">
        <f>'Исходные данные'!$C$55</f>
        <v>0.84</v>
      </c>
      <c r="AP38" s="74">
        <f>(G38*AN38)*AO38/100</f>
        <v>5.46</v>
      </c>
      <c r="AQ38" s="33" t="s">
        <v>152</v>
      </c>
      <c r="AR38" s="78" t="e">
        <f>AR20</f>
        <v>#REF!</v>
      </c>
      <c r="AS38" s="36" t="e">
        <f>AP38*AR38</f>
        <v>#REF!</v>
      </c>
      <c r="AT38" s="36"/>
      <c r="AU38" s="36"/>
      <c r="AV38" s="36"/>
      <c r="AW38" s="36"/>
      <c r="AX38" s="36">
        <f>аморт!$G$11</f>
        <v>181.91312849162011</v>
      </c>
      <c r="AY38" s="36">
        <f>AX38*L38</f>
        <v>3031.8854748603353</v>
      </c>
      <c r="AZ38" s="36">
        <f>аморт!$G$54</f>
        <v>43.453374999999994</v>
      </c>
      <c r="BA38" s="36">
        <f>AZ38*L38</f>
        <v>724.22291666666661</v>
      </c>
      <c r="BB38" s="38">
        <v>82.4</v>
      </c>
      <c r="BC38" s="36">
        <f>BB38*BM38</f>
        <v>7004.0000000000009</v>
      </c>
      <c r="BD38" s="38">
        <v>13.9</v>
      </c>
      <c r="BE38" s="36">
        <f>BD38*BM38</f>
        <v>1181.5</v>
      </c>
      <c r="BF38" s="38">
        <f>4.8*1.045*1.054</f>
        <v>5.2868639999999996</v>
      </c>
      <c r="BG38" s="36">
        <f>BF38*BM38</f>
        <v>449.38343999999995</v>
      </c>
      <c r="BH38" s="36">
        <f>аморт!$C$54*10%/аморт!$E$54*L38*7</f>
        <v>64890.373333333344</v>
      </c>
      <c r="BI38" s="36" t="e">
        <f t="shared" ref="BI38:BI45" ca="1" si="71">AL38+AM38+AS38+AY38+BA38+BC38+BE38+BG38+BH38+AW38</f>
        <v>#REF!</v>
      </c>
      <c r="BJ38" s="36" t="e">
        <f t="shared" ref="BJ38:BJ45" ca="1" si="72">BI38/$D$5</f>
        <v>#REF!</v>
      </c>
      <c r="BK38" s="38">
        <f t="shared" ref="BK38:BK45" si="73">(O38+P38)/$D$5</f>
        <v>1.1666666666666667</v>
      </c>
      <c r="BL38" s="38">
        <v>5.0999999999999996</v>
      </c>
      <c r="BM38" s="39">
        <f>BL38*L38</f>
        <v>85</v>
      </c>
    </row>
    <row r="39" spans="1:65" x14ac:dyDescent="0.2">
      <c r="A39" s="19">
        <v>2</v>
      </c>
      <c r="B39" s="27" t="s">
        <v>84</v>
      </c>
      <c r="C39" s="29">
        <v>1</v>
      </c>
      <c r="D39" s="30" t="s">
        <v>105</v>
      </c>
      <c r="E39" s="31" t="s">
        <v>199</v>
      </c>
      <c r="F39" s="28" t="s">
        <v>106</v>
      </c>
      <c r="G39" s="138">
        <f>G38/5</f>
        <v>20</v>
      </c>
      <c r="H39" s="76">
        <v>40376</v>
      </c>
      <c r="I39" s="76">
        <v>40378</v>
      </c>
      <c r="J39" s="78">
        <f>L39/M39</f>
        <v>1.25</v>
      </c>
      <c r="K39" s="32">
        <v>16</v>
      </c>
      <c r="L39" s="33">
        <f t="shared" si="55"/>
        <v>1.25</v>
      </c>
      <c r="M39" s="30">
        <v>1</v>
      </c>
      <c r="N39" s="30"/>
      <c r="O39" s="35">
        <f t="shared" si="56"/>
        <v>8.75</v>
      </c>
      <c r="P39" s="35">
        <f t="shared" si="57"/>
        <v>0</v>
      </c>
      <c r="Q39" s="80">
        <v>2</v>
      </c>
      <c r="R39" s="78">
        <f ca="1">IF(AND(O39&gt;0,Q39&gt;0),SUMIF('Исходные данные'!$C$14:H37,Q39,'Исходные данные'!$C$18:$H$18),IF(O39=0,0,IF(Q39=0,"РОТ")))</f>
        <v>128.66557526609228</v>
      </c>
      <c r="S39" s="80"/>
      <c r="T39" s="30"/>
      <c r="U39" s="125">
        <f ca="1">O39*R39*'Исходные данные'!$C$39%</f>
        <v>0</v>
      </c>
      <c r="V39" s="125">
        <f>P39*T39*'Исходные данные'!$C$40%</f>
        <v>0</v>
      </c>
      <c r="W39" s="125">
        <f t="shared" ca="1" si="58"/>
        <v>450.32951343132299</v>
      </c>
      <c r="X39" s="126">
        <f t="shared" si="59"/>
        <v>0</v>
      </c>
      <c r="Y39" s="125">
        <f t="shared" ca="1" si="60"/>
        <v>157.61532970096306</v>
      </c>
      <c r="Z39" s="126">
        <f t="shared" si="61"/>
        <v>0</v>
      </c>
      <c r="AA39" s="125">
        <f t="shared" ca="1" si="62"/>
        <v>112.58237835783075</v>
      </c>
      <c r="AB39" s="126">
        <f t="shared" si="63"/>
        <v>0</v>
      </c>
      <c r="AC39" s="124">
        <v>2.5</v>
      </c>
      <c r="AD39" s="125">
        <f t="shared" ca="1" si="64"/>
        <v>4615.8775126710607</v>
      </c>
      <c r="AE39" s="125">
        <f t="shared" si="65"/>
        <v>0</v>
      </c>
      <c r="AF39" s="35">
        <f t="shared" ca="1" si="66"/>
        <v>689.72882373245727</v>
      </c>
      <c r="AG39" s="70">
        <f t="shared" ca="1" si="66"/>
        <v>0</v>
      </c>
      <c r="AH39" s="35">
        <f t="shared" ca="1" si="67"/>
        <v>5305.6063364035181</v>
      </c>
      <c r="AI39" s="35">
        <f t="shared" ca="1" si="67"/>
        <v>0</v>
      </c>
      <c r="AJ39" s="35">
        <f t="shared" ca="1" si="68"/>
        <v>1591.6819009210553</v>
      </c>
      <c r="AK39" s="70">
        <f t="shared" ca="1" si="68"/>
        <v>0</v>
      </c>
      <c r="AL39" s="35">
        <f t="shared" ca="1" si="69"/>
        <v>6897.2882373245739</v>
      </c>
      <c r="AM39" s="70">
        <f t="shared" ca="1" si="70"/>
        <v>0</v>
      </c>
      <c r="AN39" s="33">
        <v>1.8</v>
      </c>
      <c r="AO39" s="33">
        <f>'Исходные данные'!$C$55</f>
        <v>0.84</v>
      </c>
      <c r="AP39" s="74">
        <f>(G39*AN39)*AO39/100</f>
        <v>0.3024</v>
      </c>
      <c r="AQ39" s="33" t="s">
        <v>152</v>
      </c>
      <c r="AR39" s="78" t="e">
        <f>AR20</f>
        <v>#REF!</v>
      </c>
      <c r="AS39" s="36" t="e">
        <f>AP39*AR39</f>
        <v>#REF!</v>
      </c>
      <c r="AT39" s="36"/>
      <c r="AU39" s="36"/>
      <c r="AV39" s="36"/>
      <c r="AW39" s="36"/>
      <c r="AX39" s="36">
        <f>аморт!$G$11</f>
        <v>181.91312849162011</v>
      </c>
      <c r="AY39" s="36">
        <f>AX39*L39</f>
        <v>227.39141061452514</v>
      </c>
      <c r="AZ39" s="36">
        <f>аморт!$G$38</f>
        <v>144.06779999999998</v>
      </c>
      <c r="BA39" s="36">
        <f>AZ39*L39</f>
        <v>180.08474999999999</v>
      </c>
      <c r="BB39" s="38">
        <v>82.4</v>
      </c>
      <c r="BC39" s="36">
        <f>BB39*BM39</f>
        <v>525.30000000000007</v>
      </c>
      <c r="BD39" s="38">
        <v>13.9</v>
      </c>
      <c r="BE39" s="36">
        <f>BD39*BM39</f>
        <v>88.612499999999997</v>
      </c>
      <c r="BF39" s="38">
        <f>4.8*1.045*1.054</f>
        <v>5.2868639999999996</v>
      </c>
      <c r="BG39" s="36">
        <f>BF39*BM39</f>
        <v>33.703758000000001</v>
      </c>
      <c r="BH39" s="36">
        <f>аморт!$C$38*10%/аморт!$E$38*L39*7</f>
        <v>3025.4237999999996</v>
      </c>
      <c r="BI39" s="36" t="e">
        <f t="shared" ca="1" si="71"/>
        <v>#REF!</v>
      </c>
      <c r="BJ39" s="36" t="e">
        <f t="shared" ca="1" si="72"/>
        <v>#REF!</v>
      </c>
      <c r="BK39" s="38">
        <f t="shared" si="73"/>
        <v>8.7499999999999994E-2</v>
      </c>
      <c r="BL39" s="38">
        <v>5.0999999999999996</v>
      </c>
      <c r="BM39" s="39">
        <f>BL39*L39</f>
        <v>6.375</v>
      </c>
    </row>
    <row r="40" spans="1:65" x14ac:dyDescent="0.2">
      <c r="A40" s="19">
        <v>3</v>
      </c>
      <c r="B40" s="27" t="s">
        <v>85</v>
      </c>
      <c r="C40" s="29">
        <v>2</v>
      </c>
      <c r="D40" s="30" t="s">
        <v>105</v>
      </c>
      <c r="E40" s="31" t="s">
        <v>199</v>
      </c>
      <c r="F40" s="28" t="s">
        <v>106</v>
      </c>
      <c r="G40" s="138">
        <f>D5</f>
        <v>100</v>
      </c>
      <c r="H40" s="76">
        <v>40377</v>
      </c>
      <c r="I40" s="76">
        <v>40379</v>
      </c>
      <c r="J40" s="78">
        <f>L40/M40</f>
        <v>7.1428571428571432</v>
      </c>
      <c r="K40" s="32">
        <v>14</v>
      </c>
      <c r="L40" s="33">
        <f t="shared" si="55"/>
        <v>7.1428571428571432</v>
      </c>
      <c r="M40" s="30">
        <v>1</v>
      </c>
      <c r="N40" s="30"/>
      <c r="O40" s="35">
        <f t="shared" si="56"/>
        <v>50</v>
      </c>
      <c r="P40" s="35">
        <f t="shared" si="57"/>
        <v>0</v>
      </c>
      <c r="Q40" s="80">
        <v>2</v>
      </c>
      <c r="R40" s="78">
        <f ca="1">IF(AND(O40&gt;0,Q40&gt;0),SUMIF('Исходные данные'!$C$14:H37,Q40,'Исходные данные'!$C$18:$H$18),IF(O40=0,0,IF(Q40=0,"РОТ")))</f>
        <v>128.66557526609228</v>
      </c>
      <c r="S40" s="80"/>
      <c r="T40" s="30"/>
      <c r="U40" s="125">
        <f ca="1">O40*R40*'Исходные данные'!$C$39%</f>
        <v>0</v>
      </c>
      <c r="V40" s="125">
        <f>P40*T40*'Исходные данные'!$C$40%</f>
        <v>0</v>
      </c>
      <c r="W40" s="125">
        <f t="shared" ca="1" si="58"/>
        <v>2573.3115053218457</v>
      </c>
      <c r="X40" s="126">
        <f t="shared" si="59"/>
        <v>0</v>
      </c>
      <c r="Y40" s="125">
        <f t="shared" ca="1" si="60"/>
        <v>900.65902686264599</v>
      </c>
      <c r="Z40" s="126">
        <f t="shared" si="61"/>
        <v>0</v>
      </c>
      <c r="AA40" s="125">
        <f t="shared" ca="1" si="62"/>
        <v>643.32787633046144</v>
      </c>
      <c r="AB40" s="126">
        <f t="shared" si="63"/>
        <v>0</v>
      </c>
      <c r="AC40" s="124">
        <v>2.5</v>
      </c>
      <c r="AD40" s="125">
        <f t="shared" ca="1" si="64"/>
        <v>26376.442929548917</v>
      </c>
      <c r="AE40" s="125">
        <f t="shared" si="65"/>
        <v>0</v>
      </c>
      <c r="AF40" s="35">
        <f t="shared" ca="1" si="66"/>
        <v>3941.3075641854698</v>
      </c>
      <c r="AG40" s="70">
        <f t="shared" ca="1" si="66"/>
        <v>0</v>
      </c>
      <c r="AH40" s="35">
        <f t="shared" ca="1" si="67"/>
        <v>30317.750493734387</v>
      </c>
      <c r="AI40" s="35">
        <f t="shared" ca="1" si="67"/>
        <v>0</v>
      </c>
      <c r="AJ40" s="35">
        <f t="shared" ca="1" si="68"/>
        <v>9095.3251481203151</v>
      </c>
      <c r="AK40" s="70">
        <f t="shared" ca="1" si="68"/>
        <v>0</v>
      </c>
      <c r="AL40" s="35">
        <f t="shared" ca="1" si="69"/>
        <v>39413.075641854703</v>
      </c>
      <c r="AM40" s="70">
        <f t="shared" ca="1" si="70"/>
        <v>0</v>
      </c>
      <c r="AN40" s="32">
        <v>2.8</v>
      </c>
      <c r="AO40" s="33">
        <f>'Исходные данные'!$C$55</f>
        <v>0.84</v>
      </c>
      <c r="AP40" s="74">
        <f>(G40*AN40)*AO40/100</f>
        <v>2.3519999999999999</v>
      </c>
      <c r="AQ40" s="33" t="s">
        <v>152</v>
      </c>
      <c r="AR40" s="78" t="e">
        <f>AR20</f>
        <v>#REF!</v>
      </c>
      <c r="AS40" s="36" t="e">
        <f>AP40*AR40</f>
        <v>#REF!</v>
      </c>
      <c r="AT40" s="36"/>
      <c r="AU40" s="36"/>
      <c r="AV40" s="36"/>
      <c r="AW40" s="36"/>
      <c r="AX40" s="36">
        <f>аморт!$G$11</f>
        <v>181.91312849162011</v>
      </c>
      <c r="AY40" s="36">
        <f>AX40*L40</f>
        <v>1299.3794892258579</v>
      </c>
      <c r="AZ40" s="36">
        <f>аморт!$G$38</f>
        <v>144.06779999999998</v>
      </c>
      <c r="BA40" s="36">
        <f>AZ40*L40</f>
        <v>1029.0557142857142</v>
      </c>
      <c r="BB40" s="38">
        <v>82.4</v>
      </c>
      <c r="BC40" s="36">
        <f>BB40*BM40</f>
        <v>3001.7142857142862</v>
      </c>
      <c r="BD40" s="38">
        <v>13.9</v>
      </c>
      <c r="BE40" s="36">
        <f>BD40*BM40</f>
        <v>506.35714285714289</v>
      </c>
      <c r="BF40" s="38">
        <f>4.8*1.045*1.054</f>
        <v>5.2868639999999996</v>
      </c>
      <c r="BG40" s="36">
        <f>BF40*BM40</f>
        <v>192.59290285714286</v>
      </c>
      <c r="BH40" s="36">
        <f>аморт!$C$38*10%/аморт!$E$38*L40*7</f>
        <v>17288.135999999999</v>
      </c>
      <c r="BI40" s="36" t="e">
        <f t="shared" ca="1" si="71"/>
        <v>#REF!</v>
      </c>
      <c r="BJ40" s="36" t="e">
        <f t="shared" ca="1" si="72"/>
        <v>#REF!</v>
      </c>
      <c r="BK40" s="38">
        <f t="shared" si="73"/>
        <v>0.5</v>
      </c>
      <c r="BL40" s="38">
        <v>5.0999999999999996</v>
      </c>
      <c r="BM40" s="39">
        <f>BL40*L40</f>
        <v>36.428571428571431</v>
      </c>
    </row>
    <row r="41" spans="1:65" x14ac:dyDescent="0.2">
      <c r="A41" s="19">
        <v>4</v>
      </c>
      <c r="B41" s="27" t="s">
        <v>93</v>
      </c>
      <c r="C41" s="29">
        <v>5</v>
      </c>
      <c r="D41" s="30" t="s">
        <v>118</v>
      </c>
      <c r="E41" s="31" t="s">
        <v>202</v>
      </c>
      <c r="F41" s="28" t="s">
        <v>106</v>
      </c>
      <c r="G41" s="138">
        <f>D5</f>
        <v>100</v>
      </c>
      <c r="H41" s="77">
        <v>40379</v>
      </c>
      <c r="I41" s="77">
        <v>40386</v>
      </c>
      <c r="J41" s="78">
        <f>L41/N41</f>
        <v>83.333333333333343</v>
      </c>
      <c r="K41" s="32">
        <v>1.2</v>
      </c>
      <c r="L41" s="33">
        <f t="shared" si="55"/>
        <v>83.333333333333343</v>
      </c>
      <c r="M41" s="30"/>
      <c r="N41" s="30">
        <v>1</v>
      </c>
      <c r="O41" s="35">
        <f t="shared" si="56"/>
        <v>0</v>
      </c>
      <c r="P41" s="35">
        <f t="shared" si="57"/>
        <v>583.33333333333337</v>
      </c>
      <c r="Q41" s="80"/>
      <c r="R41" s="30"/>
      <c r="S41" s="80">
        <v>2</v>
      </c>
      <c r="T41" s="78">
        <f ca="1">IF(AND(N41&gt;0,P41&gt;0),SUMIF('Исходные данные'!$C$14:$J$30,S41,'Исходные данные'!$C$34:$J$41),IF(N41=0,0,IF(S41=0,"РОТ")))</f>
        <v>105.700598073999</v>
      </c>
      <c r="U41" s="125">
        <f>O41*R41*'Исходные данные'!$C$39%</f>
        <v>0</v>
      </c>
      <c r="V41" s="125">
        <f ca="1">P41*T41*'Исходные данные'!$C$40%</f>
        <v>0</v>
      </c>
      <c r="W41" s="125">
        <f t="shared" si="58"/>
        <v>0</v>
      </c>
      <c r="X41" s="126">
        <f t="shared" ca="1" si="59"/>
        <v>24663.472883933104</v>
      </c>
      <c r="Y41" s="125">
        <f t="shared" si="60"/>
        <v>0</v>
      </c>
      <c r="Z41" s="126">
        <f t="shared" ca="1" si="61"/>
        <v>4316.1077546882934</v>
      </c>
      <c r="AA41" s="125">
        <f t="shared" si="62"/>
        <v>0</v>
      </c>
      <c r="AB41" s="126">
        <f t="shared" ca="1" si="63"/>
        <v>6165.8682209832759</v>
      </c>
      <c r="AC41" s="124">
        <v>2.5</v>
      </c>
      <c r="AD41" s="125">
        <f t="shared" si="64"/>
        <v>0</v>
      </c>
      <c r="AE41" s="125">
        <f t="shared" ca="1" si="65"/>
        <v>242010.32767359357</v>
      </c>
      <c r="AF41" s="35">
        <f t="shared" ca="1" si="66"/>
        <v>0</v>
      </c>
      <c r="AG41" s="70">
        <f t="shared" ca="1" si="66"/>
        <v>36162.462755824323</v>
      </c>
      <c r="AH41" s="35">
        <f t="shared" ca="1" si="67"/>
        <v>0</v>
      </c>
      <c r="AI41" s="35">
        <f t="shared" ca="1" si="67"/>
        <v>278172.79042941786</v>
      </c>
      <c r="AJ41" s="35">
        <f t="shared" ca="1" si="68"/>
        <v>0</v>
      </c>
      <c r="AK41" s="70">
        <f t="shared" ca="1" si="68"/>
        <v>83451.837128825355</v>
      </c>
      <c r="AL41" s="35">
        <f t="shared" ca="1" si="69"/>
        <v>0</v>
      </c>
      <c r="AM41" s="70">
        <f t="shared" ca="1" si="70"/>
        <v>361624.62755824323</v>
      </c>
      <c r="AN41" s="30"/>
      <c r="AO41" s="30"/>
      <c r="AP41" s="74"/>
      <c r="AQ41" s="37"/>
      <c r="AR41" s="37"/>
      <c r="AS41" s="36"/>
      <c r="AT41" s="36"/>
      <c r="AU41" s="36"/>
      <c r="AV41" s="36"/>
      <c r="AW41" s="36"/>
      <c r="AX41" s="36"/>
      <c r="AY41" s="36"/>
      <c r="AZ41" s="36"/>
      <c r="BA41" s="36"/>
      <c r="BB41" s="36"/>
      <c r="BC41" s="36"/>
      <c r="BD41" s="36"/>
      <c r="BE41" s="36"/>
      <c r="BF41" s="36"/>
      <c r="BG41" s="36"/>
      <c r="BH41" s="36"/>
      <c r="BI41" s="36">
        <f t="shared" ca="1" si="71"/>
        <v>361624.62755824323</v>
      </c>
      <c r="BJ41" s="36">
        <f t="shared" ca="1" si="72"/>
        <v>3616.2462755824322</v>
      </c>
      <c r="BK41" s="38">
        <f t="shared" si="73"/>
        <v>5.8333333333333339</v>
      </c>
      <c r="BL41" s="36"/>
      <c r="BM41" s="36"/>
    </row>
    <row r="42" spans="1:65" x14ac:dyDescent="0.2">
      <c r="A42" s="19">
        <v>5</v>
      </c>
      <c r="B42" s="27" t="s">
        <v>94</v>
      </c>
      <c r="C42" s="29">
        <v>5</v>
      </c>
      <c r="D42" s="30" t="s">
        <v>118</v>
      </c>
      <c r="E42" s="31" t="s">
        <v>207</v>
      </c>
      <c r="F42" s="28" t="s">
        <v>106</v>
      </c>
      <c r="G42" s="138">
        <f>G38/5</f>
        <v>20</v>
      </c>
      <c r="H42" s="77">
        <v>40387</v>
      </c>
      <c r="I42" s="77">
        <v>40389</v>
      </c>
      <c r="J42" s="78">
        <f>L42/N42</f>
        <v>8</v>
      </c>
      <c r="K42" s="32">
        <v>2.5</v>
      </c>
      <c r="L42" s="33">
        <f t="shared" si="55"/>
        <v>8</v>
      </c>
      <c r="M42" s="30"/>
      <c r="N42" s="30">
        <v>1</v>
      </c>
      <c r="O42" s="35">
        <f t="shared" si="56"/>
        <v>0</v>
      </c>
      <c r="P42" s="35">
        <f t="shared" si="57"/>
        <v>56</v>
      </c>
      <c r="Q42" s="80"/>
      <c r="R42" s="30"/>
      <c r="S42" s="80">
        <v>2</v>
      </c>
      <c r="T42" s="78">
        <f ca="1">IF(AND(N42&gt;0,P42&gt;0),SUMIF('Исходные данные'!$C$14:$J$30,S42,'Исходные данные'!$C$34:$J$41),IF(N42=0,0,IF(S42=0,"РОТ")))</f>
        <v>105.700598073999</v>
      </c>
      <c r="U42" s="125">
        <f>O42*R42*'Исходные данные'!$C$39%</f>
        <v>0</v>
      </c>
      <c r="V42" s="125">
        <f ca="1">P42*T42*'Исходные данные'!$C$40%</f>
        <v>0</v>
      </c>
      <c r="W42" s="125">
        <f t="shared" si="58"/>
        <v>0</v>
      </c>
      <c r="X42" s="126">
        <f t="shared" ca="1" si="59"/>
        <v>2367.6933968575777</v>
      </c>
      <c r="Y42" s="125">
        <f t="shared" si="60"/>
        <v>0</v>
      </c>
      <c r="Z42" s="126">
        <f t="shared" ca="1" si="61"/>
        <v>414.34634445007617</v>
      </c>
      <c r="AA42" s="125">
        <f t="shared" si="62"/>
        <v>0</v>
      </c>
      <c r="AB42" s="126">
        <f t="shared" ca="1" si="63"/>
        <v>591.92334921439442</v>
      </c>
      <c r="AC42" s="124">
        <v>2.5</v>
      </c>
      <c r="AD42" s="125">
        <f t="shared" si="64"/>
        <v>0</v>
      </c>
      <c r="AE42" s="125">
        <f t="shared" ca="1" si="65"/>
        <v>23232.991456664982</v>
      </c>
      <c r="AF42" s="35">
        <f t="shared" ca="1" si="66"/>
        <v>0</v>
      </c>
      <c r="AG42" s="70">
        <f t="shared" ca="1" si="66"/>
        <v>3471.5964245591349</v>
      </c>
      <c r="AH42" s="35">
        <f t="shared" ca="1" si="67"/>
        <v>0</v>
      </c>
      <c r="AI42" s="35">
        <f t="shared" ca="1" si="67"/>
        <v>26704.587881224117</v>
      </c>
      <c r="AJ42" s="35">
        <f t="shared" ca="1" si="68"/>
        <v>0</v>
      </c>
      <c r="AK42" s="70">
        <f t="shared" ca="1" si="68"/>
        <v>8011.3763643672346</v>
      </c>
      <c r="AL42" s="35">
        <f t="shared" ca="1" si="69"/>
        <v>0</v>
      </c>
      <c r="AM42" s="70">
        <f t="shared" ca="1" si="70"/>
        <v>34715.964245591349</v>
      </c>
      <c r="AN42" s="30"/>
      <c r="AO42" s="30"/>
      <c r="AP42" s="74"/>
      <c r="AQ42" s="37"/>
      <c r="AR42" s="37"/>
      <c r="AS42" s="36"/>
      <c r="AT42" s="36"/>
      <c r="AU42" s="36"/>
      <c r="AV42" s="36"/>
      <c r="AW42" s="36"/>
      <c r="AX42" s="36"/>
      <c r="AY42" s="36"/>
      <c r="AZ42" s="36"/>
      <c r="BA42" s="36"/>
      <c r="BB42" s="36"/>
      <c r="BC42" s="36"/>
      <c r="BD42" s="36"/>
      <c r="BE42" s="36"/>
      <c r="BF42" s="36"/>
      <c r="BG42" s="36"/>
      <c r="BH42" s="36"/>
      <c r="BI42" s="36">
        <f t="shared" ca="1" si="71"/>
        <v>34715.964245591349</v>
      </c>
      <c r="BJ42" s="36">
        <f t="shared" ca="1" si="72"/>
        <v>347.15964245591351</v>
      </c>
      <c r="BK42" s="38">
        <f t="shared" si="73"/>
        <v>0.56000000000000005</v>
      </c>
      <c r="BL42" s="36"/>
      <c r="BM42" s="36"/>
    </row>
    <row r="43" spans="1:65" x14ac:dyDescent="0.2">
      <c r="A43" s="19">
        <v>6</v>
      </c>
      <c r="B43" s="27" t="s">
        <v>95</v>
      </c>
      <c r="C43" s="29">
        <v>5</v>
      </c>
      <c r="D43" s="30" t="s">
        <v>118</v>
      </c>
      <c r="E43" s="31" t="s">
        <v>202</v>
      </c>
      <c r="F43" s="28" t="s">
        <v>109</v>
      </c>
      <c r="G43" s="138">
        <v>116.23529411764707</v>
      </c>
      <c r="H43" s="77">
        <v>40391</v>
      </c>
      <c r="I43" s="77">
        <v>40400</v>
      </c>
      <c r="J43" s="78">
        <f>L43/N43</f>
        <v>38.745098039215691</v>
      </c>
      <c r="K43" s="32">
        <v>3</v>
      </c>
      <c r="L43" s="33">
        <f t="shared" si="55"/>
        <v>38.745098039215691</v>
      </c>
      <c r="M43" s="30"/>
      <c r="N43" s="30">
        <v>1</v>
      </c>
      <c r="O43" s="35">
        <f t="shared" si="56"/>
        <v>0</v>
      </c>
      <c r="P43" s="35">
        <f t="shared" si="57"/>
        <v>271.21568627450984</v>
      </c>
      <c r="Q43" s="80"/>
      <c r="R43" s="30"/>
      <c r="S43" s="80">
        <v>4</v>
      </c>
      <c r="T43" s="78">
        <f ca="1">IF(AND(N43&gt;0,P43&gt;0),SUMIF('Исходные данные'!$C$14:$J$30,S43,'Исходные данные'!$C$34:$J$41),IF(N43=0,0,IF(S43=0,"РОТ")))</f>
        <v>123.48200709579322</v>
      </c>
      <c r="U43" s="125">
        <f>O43*R43*'Исходные данные'!$C$39%</f>
        <v>0</v>
      </c>
      <c r="V43" s="125">
        <f ca="1">P43*T43*'Исходные данные'!$C$40%</f>
        <v>0</v>
      </c>
      <c r="W43" s="125">
        <f t="shared" si="58"/>
        <v>0</v>
      </c>
      <c r="X43" s="126">
        <f t="shared" ca="1" si="59"/>
        <v>13396.102918815783</v>
      </c>
      <c r="Y43" s="125">
        <f t="shared" si="60"/>
        <v>0</v>
      </c>
      <c r="Z43" s="126">
        <f t="shared" ca="1" si="61"/>
        <v>2344.3180107927619</v>
      </c>
      <c r="AA43" s="125">
        <f t="shared" si="62"/>
        <v>0</v>
      </c>
      <c r="AB43" s="126">
        <f t="shared" ca="1" si="63"/>
        <v>3349.0257297039457</v>
      </c>
      <c r="AC43" s="124">
        <v>2.5</v>
      </c>
      <c r="AD43" s="125">
        <f t="shared" si="64"/>
        <v>0</v>
      </c>
      <c r="AE43" s="125">
        <f t="shared" ca="1" si="65"/>
        <v>131449.25989087985</v>
      </c>
      <c r="AF43" s="35">
        <f t="shared" ca="1" si="66"/>
        <v>0</v>
      </c>
      <c r="AG43" s="70">
        <f t="shared" ca="1" si="66"/>
        <v>19641.843431970552</v>
      </c>
      <c r="AH43" s="35">
        <f t="shared" ca="1" si="67"/>
        <v>0</v>
      </c>
      <c r="AI43" s="35">
        <f t="shared" ca="1" si="67"/>
        <v>151091.10332285039</v>
      </c>
      <c r="AJ43" s="35">
        <f t="shared" ca="1" si="68"/>
        <v>0</v>
      </c>
      <c r="AK43" s="70">
        <f t="shared" ca="1" si="68"/>
        <v>45327.330996855118</v>
      </c>
      <c r="AL43" s="35">
        <f t="shared" ca="1" si="69"/>
        <v>0</v>
      </c>
      <c r="AM43" s="70">
        <f t="shared" ca="1" si="70"/>
        <v>196418.43431970553</v>
      </c>
      <c r="AN43" s="30"/>
      <c r="AO43" s="30"/>
      <c r="AP43" s="74"/>
      <c r="AQ43" s="37"/>
      <c r="AR43" s="37"/>
      <c r="AS43" s="36"/>
      <c r="AT43" s="36"/>
      <c r="AU43" s="36"/>
      <c r="AV43" s="36"/>
      <c r="AW43" s="36"/>
      <c r="AX43" s="36"/>
      <c r="AY43" s="36"/>
      <c r="AZ43" s="36"/>
      <c r="BA43" s="36"/>
      <c r="BB43" s="36"/>
      <c r="BC43" s="36"/>
      <c r="BD43" s="36"/>
      <c r="BE43" s="36"/>
      <c r="BF43" s="36"/>
      <c r="BG43" s="36"/>
      <c r="BH43" s="36"/>
      <c r="BI43" s="36">
        <f t="shared" ca="1" si="71"/>
        <v>196418.43431970553</v>
      </c>
      <c r="BJ43" s="36">
        <f t="shared" ca="1" si="72"/>
        <v>1964.1843431970553</v>
      </c>
      <c r="BK43" s="38">
        <f t="shared" si="73"/>
        <v>2.7121568627450983</v>
      </c>
      <c r="BL43" s="36"/>
      <c r="BM43" s="36"/>
    </row>
    <row r="44" spans="1:65" x14ac:dyDescent="0.2">
      <c r="A44" s="19">
        <v>7</v>
      </c>
      <c r="B44" s="27" t="s">
        <v>94</v>
      </c>
      <c r="C44" s="29">
        <v>5</v>
      </c>
      <c r="D44" s="30" t="s">
        <v>118</v>
      </c>
      <c r="E44" s="31" t="s">
        <v>207</v>
      </c>
      <c r="F44" s="28" t="s">
        <v>106</v>
      </c>
      <c r="G44" s="138">
        <v>20</v>
      </c>
      <c r="H44" s="77">
        <v>40401</v>
      </c>
      <c r="I44" s="77">
        <v>40404</v>
      </c>
      <c r="J44" s="78">
        <f>L44/N44</f>
        <v>8</v>
      </c>
      <c r="K44" s="32">
        <v>2.5</v>
      </c>
      <c r="L44" s="33">
        <f t="shared" si="55"/>
        <v>8</v>
      </c>
      <c r="M44" s="30"/>
      <c r="N44" s="30">
        <v>1</v>
      </c>
      <c r="O44" s="35">
        <f t="shared" si="56"/>
        <v>0</v>
      </c>
      <c r="P44" s="35">
        <f t="shared" si="57"/>
        <v>56</v>
      </c>
      <c r="Q44" s="80"/>
      <c r="R44" s="30"/>
      <c r="S44" s="80">
        <v>2</v>
      </c>
      <c r="T44" s="78">
        <f ca="1">IF(AND(N44&gt;0,P44&gt;0),SUMIF('Исходные данные'!$C$14:$J$30,S44,'Исходные данные'!$C$34:$J$41),IF(N44=0,0,IF(S44=0,"РОТ")))</f>
        <v>105.700598073999</v>
      </c>
      <c r="U44" s="125">
        <f>O44*R44*'Исходные данные'!$C$39%</f>
        <v>0</v>
      </c>
      <c r="V44" s="125">
        <f ca="1">P44*T44*'Исходные данные'!$C$40%</f>
        <v>0</v>
      </c>
      <c r="W44" s="125">
        <f t="shared" si="58"/>
        <v>0</v>
      </c>
      <c r="X44" s="126">
        <f t="shared" ca="1" si="59"/>
        <v>2367.6933968575777</v>
      </c>
      <c r="Y44" s="125">
        <f t="shared" si="60"/>
        <v>0</v>
      </c>
      <c r="Z44" s="126">
        <f t="shared" ca="1" si="61"/>
        <v>414.34634445007617</v>
      </c>
      <c r="AA44" s="125">
        <f t="shared" si="62"/>
        <v>0</v>
      </c>
      <c r="AB44" s="126">
        <f t="shared" ca="1" si="63"/>
        <v>591.92334921439442</v>
      </c>
      <c r="AC44" s="124">
        <v>2.5</v>
      </c>
      <c r="AD44" s="125">
        <f t="shared" si="64"/>
        <v>0</v>
      </c>
      <c r="AE44" s="125">
        <f t="shared" ca="1" si="65"/>
        <v>23232.991456664982</v>
      </c>
      <c r="AF44" s="35">
        <f t="shared" ca="1" si="66"/>
        <v>0</v>
      </c>
      <c r="AG44" s="70">
        <f t="shared" ca="1" si="66"/>
        <v>3471.5964245591349</v>
      </c>
      <c r="AH44" s="35">
        <f t="shared" ca="1" si="67"/>
        <v>0</v>
      </c>
      <c r="AI44" s="35">
        <f t="shared" ca="1" si="67"/>
        <v>26704.587881224117</v>
      </c>
      <c r="AJ44" s="35">
        <f t="shared" ca="1" si="68"/>
        <v>0</v>
      </c>
      <c r="AK44" s="70">
        <f t="shared" ca="1" si="68"/>
        <v>8011.3763643672346</v>
      </c>
      <c r="AL44" s="35">
        <f t="shared" ca="1" si="69"/>
        <v>0</v>
      </c>
      <c r="AM44" s="70">
        <f t="shared" ca="1" si="70"/>
        <v>34715.964245591349</v>
      </c>
      <c r="AN44" s="30"/>
      <c r="AO44" s="30"/>
      <c r="AP44" s="74"/>
      <c r="AQ44" s="37"/>
      <c r="AR44" s="37"/>
      <c r="AS44" s="36"/>
      <c r="AT44" s="36"/>
      <c r="AU44" s="36"/>
      <c r="AV44" s="36"/>
      <c r="AW44" s="36"/>
      <c r="AX44" s="36"/>
      <c r="AY44" s="36"/>
      <c r="AZ44" s="36"/>
      <c r="BA44" s="36"/>
      <c r="BB44" s="36"/>
      <c r="BC44" s="36"/>
      <c r="BD44" s="36"/>
      <c r="BE44" s="36"/>
      <c r="BF44" s="36"/>
      <c r="BG44" s="36"/>
      <c r="BH44" s="36"/>
      <c r="BI44" s="36">
        <f t="shared" ca="1" si="71"/>
        <v>34715.964245591349</v>
      </c>
      <c r="BJ44" s="36">
        <f t="shared" ca="1" si="72"/>
        <v>347.15964245591351</v>
      </c>
      <c r="BK44" s="38">
        <f t="shared" si="73"/>
        <v>0.56000000000000005</v>
      </c>
      <c r="BL44" s="36"/>
      <c r="BM44" s="36"/>
    </row>
    <row r="45" spans="1:65" x14ac:dyDescent="0.2">
      <c r="A45" s="19">
        <v>8</v>
      </c>
      <c r="B45" s="27" t="s">
        <v>96</v>
      </c>
      <c r="C45" s="29">
        <v>5</v>
      </c>
      <c r="D45" s="30" t="s">
        <v>118</v>
      </c>
      <c r="E45" s="31" t="s">
        <v>202</v>
      </c>
      <c r="F45" s="28" t="s">
        <v>109</v>
      </c>
      <c r="G45" s="138">
        <v>116.23529411764707</v>
      </c>
      <c r="H45" s="77">
        <v>40404</v>
      </c>
      <c r="I45" s="77">
        <v>40408</v>
      </c>
      <c r="J45" s="78">
        <f>L45/N45</f>
        <v>19.372549019607845</v>
      </c>
      <c r="K45" s="32">
        <v>6</v>
      </c>
      <c r="L45" s="33">
        <f t="shared" si="55"/>
        <v>19.372549019607845</v>
      </c>
      <c r="M45" s="30"/>
      <c r="N45" s="30">
        <v>1</v>
      </c>
      <c r="O45" s="35">
        <f t="shared" si="56"/>
        <v>0</v>
      </c>
      <c r="P45" s="35">
        <f t="shared" si="57"/>
        <v>135.60784313725492</v>
      </c>
      <c r="Q45" s="80"/>
      <c r="R45" s="30"/>
      <c r="S45" s="80">
        <v>2</v>
      </c>
      <c r="T45" s="78">
        <f ca="1">IF(AND(N45&gt;0,P45&gt;0),SUMIF('Исходные данные'!$C$14:$J$30,S45,'Исходные данные'!$C$34:$J$41),IF(N45=0,0,IF(S45=0,"РОТ")))</f>
        <v>105.700598073999</v>
      </c>
      <c r="U45" s="125">
        <f>O45*R45*'Исходные данные'!$C$39%</f>
        <v>0</v>
      </c>
      <c r="V45" s="125">
        <f ca="1">P45*T45*'Исходные данные'!$C$40%</f>
        <v>0</v>
      </c>
      <c r="W45" s="125">
        <f t="shared" si="58"/>
        <v>0</v>
      </c>
      <c r="X45" s="126">
        <f t="shared" ca="1" si="59"/>
        <v>5733.5320492531546</v>
      </c>
      <c r="Y45" s="125">
        <f t="shared" si="60"/>
        <v>0</v>
      </c>
      <c r="Z45" s="126">
        <f t="shared" ca="1" si="61"/>
        <v>1003.3681086193021</v>
      </c>
      <c r="AA45" s="125">
        <f t="shared" si="62"/>
        <v>0</v>
      </c>
      <c r="AB45" s="126">
        <f t="shared" ca="1" si="63"/>
        <v>1433.3830123132886</v>
      </c>
      <c r="AC45" s="124">
        <v>2.5</v>
      </c>
      <c r="AD45" s="125">
        <f t="shared" si="64"/>
        <v>0</v>
      </c>
      <c r="AE45" s="125">
        <f t="shared" ca="1" si="65"/>
        <v>56260.283233296585</v>
      </c>
      <c r="AF45" s="35">
        <f t="shared" ca="1" si="66"/>
        <v>0</v>
      </c>
      <c r="AG45" s="70">
        <f t="shared" ca="1" si="66"/>
        <v>8406.7089888833962</v>
      </c>
      <c r="AH45" s="35">
        <f t="shared" ca="1" si="67"/>
        <v>0</v>
      </c>
      <c r="AI45" s="35">
        <f t="shared" ca="1" si="67"/>
        <v>64666.992222179979</v>
      </c>
      <c r="AJ45" s="35">
        <f t="shared" ca="1" si="68"/>
        <v>0</v>
      </c>
      <c r="AK45" s="70">
        <f t="shared" ca="1" si="68"/>
        <v>19400.097666653994</v>
      </c>
      <c r="AL45" s="35">
        <f t="shared" ca="1" si="69"/>
        <v>0</v>
      </c>
      <c r="AM45" s="70">
        <f t="shared" ca="1" si="70"/>
        <v>84067.089888833973</v>
      </c>
      <c r="AN45" s="30"/>
      <c r="AO45" s="30"/>
      <c r="AP45" s="74"/>
      <c r="AQ45" s="37"/>
      <c r="AR45" s="37"/>
      <c r="AS45" s="36"/>
      <c r="AT45" s="36"/>
      <c r="AU45" s="36"/>
      <c r="AV45" s="36"/>
      <c r="AW45" s="36"/>
      <c r="AX45" s="36"/>
      <c r="AY45" s="36"/>
      <c r="AZ45" s="36"/>
      <c r="BA45" s="36"/>
      <c r="BB45" s="36"/>
      <c r="BC45" s="36"/>
      <c r="BD45" s="36"/>
      <c r="BE45" s="36"/>
      <c r="BF45" s="36"/>
      <c r="BG45" s="36"/>
      <c r="BH45" s="36"/>
      <c r="BI45" s="36">
        <f t="shared" ca="1" si="71"/>
        <v>84067.089888833973</v>
      </c>
      <c r="BJ45" s="36">
        <f t="shared" ca="1" si="72"/>
        <v>840.67089888833971</v>
      </c>
      <c r="BK45" s="38">
        <f t="shared" si="73"/>
        <v>1.3560784313725491</v>
      </c>
      <c r="BL45" s="36"/>
      <c r="BM45" s="36"/>
    </row>
    <row r="46" spans="1:65" s="54" customFormat="1" x14ac:dyDescent="0.2">
      <c r="A46" s="52"/>
      <c r="B46" s="53" t="s">
        <v>21</v>
      </c>
      <c r="C46" s="53"/>
      <c r="D46" s="53"/>
      <c r="E46" s="53"/>
      <c r="F46" s="55"/>
      <c r="G46" s="56"/>
      <c r="H46" s="56"/>
      <c r="I46" s="56"/>
      <c r="J46" s="65">
        <f>SUM(J38:J45)</f>
        <v>182.5105042016807</v>
      </c>
      <c r="K46" s="65"/>
      <c r="L46" s="65">
        <f>SUM(L38:L45)</f>
        <v>182.5105042016807</v>
      </c>
      <c r="M46" s="65">
        <f t="shared" ref="M46:BM46" si="74">SUM(M38:M45)</f>
        <v>3</v>
      </c>
      <c r="N46" s="65">
        <f t="shared" si="74"/>
        <v>5</v>
      </c>
      <c r="O46" s="65">
        <f t="shared" si="74"/>
        <v>175.41666666666669</v>
      </c>
      <c r="P46" s="65">
        <f t="shared" si="74"/>
        <v>1102.1568627450981</v>
      </c>
      <c r="Q46" s="65"/>
      <c r="R46" s="65"/>
      <c r="S46" s="65"/>
      <c r="T46" s="65"/>
      <c r="U46" s="65">
        <f t="shared" ca="1" si="74"/>
        <v>0</v>
      </c>
      <c r="V46" s="65">
        <f t="shared" ca="1" si="74"/>
        <v>0</v>
      </c>
      <c r="W46" s="65">
        <f t="shared" ca="1" si="74"/>
        <v>10307.433010643692</v>
      </c>
      <c r="X46" s="65">
        <f t="shared" ca="1" si="74"/>
        <v>48528.494645717197</v>
      </c>
      <c r="Y46" s="65">
        <f t="shared" ca="1" si="74"/>
        <v>3607.6015537252924</v>
      </c>
      <c r="Z46" s="65">
        <f t="shared" ca="1" si="74"/>
        <v>8492.4865630005097</v>
      </c>
      <c r="AA46" s="65">
        <f t="shared" ca="1" si="74"/>
        <v>2576.858252660923</v>
      </c>
      <c r="AB46" s="65">
        <f t="shared" ca="1" si="74"/>
        <v>12132.123661429299</v>
      </c>
      <c r="AC46" s="65"/>
      <c r="AD46" s="65">
        <f t="shared" ca="1" si="74"/>
        <v>105651.18835909784</v>
      </c>
      <c r="AE46" s="65">
        <f t="shared" ca="1" si="74"/>
        <v>476185.85371109995</v>
      </c>
      <c r="AF46" s="65">
        <f t="shared" ca="1" si="74"/>
        <v>15786.959180095078</v>
      </c>
      <c r="AG46" s="65">
        <f t="shared" ca="1" si="74"/>
        <v>71154.208025796543</v>
      </c>
      <c r="AH46" s="65">
        <f t="shared" ca="1" si="74"/>
        <v>121438.14753919293</v>
      </c>
      <c r="AI46" s="65">
        <f t="shared" ca="1" si="74"/>
        <v>547340.06173689652</v>
      </c>
      <c r="AJ46" s="65">
        <f t="shared" ca="1" si="74"/>
        <v>36431.444261757875</v>
      </c>
      <c r="AK46" s="65">
        <f t="shared" ca="1" si="74"/>
        <v>164202.01852106891</v>
      </c>
      <c r="AL46" s="65">
        <f t="shared" ca="1" si="74"/>
        <v>157869.59180095079</v>
      </c>
      <c r="AM46" s="65">
        <f t="shared" ca="1" si="74"/>
        <v>711542.08025796537</v>
      </c>
      <c r="AN46" s="65"/>
      <c r="AO46" s="65"/>
      <c r="AP46" s="65">
        <f t="shared" si="74"/>
        <v>8.1143999999999998</v>
      </c>
      <c r="AQ46" s="65"/>
      <c r="AR46" s="65"/>
      <c r="AS46" s="65" t="e">
        <f t="shared" si="74"/>
        <v>#REF!</v>
      </c>
      <c r="AT46" s="65"/>
      <c r="AU46" s="65"/>
      <c r="AV46" s="65"/>
      <c r="AW46" s="65"/>
      <c r="AX46" s="65"/>
      <c r="AY46" s="65">
        <f t="shared" si="74"/>
        <v>4558.6563747007185</v>
      </c>
      <c r="AZ46" s="65"/>
      <c r="BA46" s="65">
        <f t="shared" si="74"/>
        <v>1933.3633809523808</v>
      </c>
      <c r="BB46" s="65"/>
      <c r="BC46" s="65">
        <f t="shared" si="74"/>
        <v>10531.014285714287</v>
      </c>
      <c r="BD46" s="65"/>
      <c r="BE46" s="65">
        <f t="shared" si="74"/>
        <v>1776.4696428571428</v>
      </c>
      <c r="BF46" s="65"/>
      <c r="BG46" s="65">
        <f t="shared" si="74"/>
        <v>675.68010085714286</v>
      </c>
      <c r="BH46" s="65">
        <f t="shared" si="74"/>
        <v>85203.933133333339</v>
      </c>
      <c r="BI46" s="65" t="e">
        <f t="shared" ca="1" si="74"/>
        <v>#REF!</v>
      </c>
      <c r="BJ46" s="65"/>
      <c r="BK46" s="65"/>
      <c r="BL46" s="65"/>
      <c r="BM46" s="65">
        <f t="shared" si="74"/>
        <v>127.80357142857143</v>
      </c>
    </row>
    <row r="47" spans="1:65" s="7" customFormat="1" ht="11.25" customHeight="1" x14ac:dyDescent="0.2">
      <c r="A47" s="21"/>
      <c r="B47" s="560" t="s">
        <v>477</v>
      </c>
      <c r="C47" s="561"/>
      <c r="D47" s="561"/>
      <c r="E47" s="562"/>
      <c r="F47" s="22"/>
      <c r="G47" s="23"/>
      <c r="H47" s="23"/>
      <c r="I47" s="23"/>
      <c r="J47" s="23"/>
      <c r="K47" s="23"/>
      <c r="L47" s="33"/>
      <c r="M47" s="23"/>
      <c r="N47" s="23"/>
      <c r="O47" s="35"/>
      <c r="P47" s="23"/>
      <c r="Q47" s="24"/>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74"/>
      <c r="AQ47" s="26"/>
      <c r="AR47" s="26"/>
      <c r="AS47" s="25"/>
      <c r="AT47" s="25"/>
      <c r="AU47" s="25"/>
      <c r="AV47" s="25"/>
      <c r="AW47" s="25"/>
      <c r="AX47" s="25"/>
      <c r="AY47" s="25"/>
      <c r="AZ47" s="25"/>
      <c r="BA47" s="25"/>
      <c r="BB47" s="25"/>
      <c r="BC47" s="25"/>
      <c r="BD47" s="25"/>
      <c r="BE47" s="25"/>
      <c r="BF47" s="25"/>
      <c r="BG47" s="25"/>
      <c r="BH47" s="25"/>
      <c r="BI47" s="25"/>
      <c r="BJ47" s="25"/>
      <c r="BK47" s="25"/>
      <c r="BL47" s="25"/>
      <c r="BM47" s="23"/>
    </row>
    <row r="48" spans="1:65" x14ac:dyDescent="0.2">
      <c r="A48" s="19">
        <v>1</v>
      </c>
      <c r="B48" s="27" t="s">
        <v>76</v>
      </c>
      <c r="C48" s="29">
        <v>4</v>
      </c>
      <c r="D48" s="30" t="s">
        <v>184</v>
      </c>
      <c r="E48" s="31" t="s">
        <v>478</v>
      </c>
      <c r="F48" s="28" t="s">
        <v>106</v>
      </c>
      <c r="G48" s="138">
        <f>D5</f>
        <v>100</v>
      </c>
      <c r="H48" s="76">
        <v>40374</v>
      </c>
      <c r="I48" s="76">
        <v>40377</v>
      </c>
      <c r="J48" s="78">
        <f t="shared" ref="J48:J55" si="75">L48/N48</f>
        <v>30.864197530864196</v>
      </c>
      <c r="K48" s="32">
        <v>3.24</v>
      </c>
      <c r="L48" s="33">
        <f t="shared" ref="L48:L55" si="76">G48/K48</f>
        <v>30.864197530864196</v>
      </c>
      <c r="M48" s="34"/>
      <c r="N48" s="34">
        <v>1</v>
      </c>
      <c r="O48" s="35">
        <f t="shared" ref="O48:O55" si="77">IF(M48=0,0,L48*$O$15)</f>
        <v>0</v>
      </c>
      <c r="P48" s="35">
        <f t="shared" ref="P48:P55" si="78">IF(N48=0,0,L48*$O$15)</f>
        <v>216.04938271604937</v>
      </c>
      <c r="Q48" s="34"/>
      <c r="R48" s="33"/>
      <c r="S48" s="34">
        <v>4</v>
      </c>
      <c r="T48" s="78">
        <f ca="1">IF(AND(N48&gt;0,P48&gt;0),SUMIF('Исходные данные'!$C$14:$J$30,S48,'Исходные данные'!$C$34:$J$41),IF(N48=0,0,IF(S48=0,"РОТ")))</f>
        <v>123.48200709579322</v>
      </c>
      <c r="U48" s="125">
        <f>O48*R48*'Исходные данные'!$C$39%</f>
        <v>0</v>
      </c>
      <c r="V48" s="125">
        <f ca="1">P48*T48*'Исходные данные'!$C$40%</f>
        <v>0</v>
      </c>
      <c r="W48" s="125">
        <f t="shared" ref="W48:W55" si="79">O48*R48*$W$15</f>
        <v>0</v>
      </c>
      <c r="X48" s="126">
        <f t="shared" ref="X48:X55" ca="1" si="80">P48*T48*$W$15</f>
        <v>10671.284563833982</v>
      </c>
      <c r="Y48" s="125">
        <f t="shared" ref="Y48:Y55" si="81">(O48*R48+U48+W48)*$Y$15</f>
        <v>0</v>
      </c>
      <c r="Z48" s="126">
        <f t="shared" ref="Z48:Z55" ca="1" si="82">(P48*T48+V48+X48)*$Z$15</f>
        <v>1867.4747986709467</v>
      </c>
      <c r="AA48" s="125">
        <f t="shared" ref="AA48:AA55" si="83">(O48*R48+U48)*$AA$15</f>
        <v>0</v>
      </c>
      <c r="AB48" s="126">
        <f t="shared" ref="AB48:AB55" ca="1" si="84">(P48*T48+V48)*$AA$15</f>
        <v>2667.8211409584956</v>
      </c>
      <c r="AC48" s="124">
        <v>2.5</v>
      </c>
      <c r="AD48" s="125">
        <f t="shared" ref="AD48:AD55" si="85">(O48*R48+U48+W48+Y48+AA48)*AC48</f>
        <v>0</v>
      </c>
      <c r="AE48" s="125">
        <f t="shared" ref="AE48:AE55" ca="1" si="86">(P48*T48+V48+X48+Z48+AB48)*AC48</f>
        <v>104711.97978262094</v>
      </c>
      <c r="AF48" s="35">
        <f t="shared" ref="AF48:AG55" ca="1" si="87">AD48*$AF$15</f>
        <v>0</v>
      </c>
      <c r="AG48" s="70">
        <f t="shared" ca="1" si="87"/>
        <v>15646.617668667495</v>
      </c>
      <c r="AH48" s="35">
        <f t="shared" ref="AH48:AI55" ca="1" si="88">AD48+AF48</f>
        <v>0</v>
      </c>
      <c r="AI48" s="35">
        <f t="shared" ca="1" si="88"/>
        <v>120358.59745128843</v>
      </c>
      <c r="AJ48" s="35">
        <f t="shared" ref="AJ48:AK55" ca="1" si="89">AH48*$AJ$15</f>
        <v>0</v>
      </c>
      <c r="AK48" s="70">
        <f t="shared" ca="1" si="89"/>
        <v>36107.579235386525</v>
      </c>
      <c r="AL48" s="35">
        <f t="shared" ref="AL48:AL55" ca="1" si="90">AH48+AJ48</f>
        <v>0</v>
      </c>
      <c r="AM48" s="70">
        <f t="shared" ref="AM48:AM55" ca="1" si="91">AK48+AI48</f>
        <v>156466.17668667494</v>
      </c>
      <c r="AN48" s="32">
        <v>2.0329999999999999</v>
      </c>
      <c r="AO48" s="33">
        <f>'Исходные данные'!$C$55</f>
        <v>0.84</v>
      </c>
      <c r="AP48" s="74">
        <f>(G48*AN48)*AO48/100</f>
        <v>1.7077199999999999</v>
      </c>
      <c r="AQ48" s="33" t="s">
        <v>152</v>
      </c>
      <c r="AR48" s="78" t="e">
        <f>'Исходные данные'!#REF!</f>
        <v>#REF!</v>
      </c>
      <c r="AS48" s="36" t="e">
        <f>AP48*AR48</f>
        <v>#REF!</v>
      </c>
      <c r="AT48" s="36"/>
      <c r="AU48" s="36"/>
      <c r="AV48" s="36"/>
      <c r="AW48" s="36"/>
      <c r="AX48" s="36"/>
      <c r="AY48" s="36"/>
      <c r="AZ48" s="36">
        <f>аморт!G47</f>
        <v>86.069866071428578</v>
      </c>
      <c r="BA48" s="36">
        <f>AZ48*L48</f>
        <v>2656.4773478835978</v>
      </c>
      <c r="BB48" s="36"/>
      <c r="BC48" s="36"/>
      <c r="BD48" s="36"/>
      <c r="BE48" s="36"/>
      <c r="BF48" s="36"/>
      <c r="BG48" s="36"/>
      <c r="BH48" s="36">
        <f>аморт!C47*10%/аморт!E47*L48*7</f>
        <v>133291.40740740739</v>
      </c>
      <c r="BI48" s="36" t="e">
        <f t="shared" ref="BI48:BI55" ca="1" si="92">AL48+AM48+AS48+AY48+BA48+BC48+BE48+BG48+BH48+AW48</f>
        <v>#REF!</v>
      </c>
      <c r="BJ48" s="36" t="e">
        <f t="shared" ref="BJ48:BJ55" ca="1" si="93">BI48/$D$5</f>
        <v>#REF!</v>
      </c>
      <c r="BK48" s="38">
        <f t="shared" ref="BK48:BK55" si="94">(O48+P48)/$D$5</f>
        <v>2.1604938271604937</v>
      </c>
      <c r="BL48" s="38"/>
      <c r="BM48" s="39"/>
    </row>
    <row r="49" spans="1:65" x14ac:dyDescent="0.2">
      <c r="A49" s="20">
        <f>A48+1</f>
        <v>2</v>
      </c>
      <c r="B49" s="27" t="s">
        <v>84</v>
      </c>
      <c r="C49" s="29">
        <v>2</v>
      </c>
      <c r="D49" s="30" t="s">
        <v>184</v>
      </c>
      <c r="E49" s="31" t="s">
        <v>479</v>
      </c>
      <c r="F49" s="28" t="s">
        <v>106</v>
      </c>
      <c r="G49" s="138">
        <v>100</v>
      </c>
      <c r="H49" s="76">
        <v>40376</v>
      </c>
      <c r="I49" s="76">
        <v>40378</v>
      </c>
      <c r="J49" s="78">
        <f t="shared" si="75"/>
        <v>26.455026455026452</v>
      </c>
      <c r="K49" s="32">
        <v>3.7800000000000002</v>
      </c>
      <c r="L49" s="33">
        <f t="shared" si="76"/>
        <v>26.455026455026452</v>
      </c>
      <c r="M49" s="34"/>
      <c r="N49" s="34">
        <v>1</v>
      </c>
      <c r="O49" s="35">
        <f t="shared" si="77"/>
        <v>0</v>
      </c>
      <c r="P49" s="35">
        <f t="shared" si="78"/>
        <v>185.18518518518516</v>
      </c>
      <c r="Q49" s="34"/>
      <c r="R49" s="33"/>
      <c r="S49" s="34">
        <v>1</v>
      </c>
      <c r="T49" s="78">
        <f ca="1">IF(AND(N49&gt;0,P49&gt;0),SUMIF('Исходные данные'!$C$14:$J$30,S49,'Исходные данные'!$C$34:$J$41),IF(N49=0,0,IF(S49=0,"РОТ")))</f>
        <v>98.785605676634574</v>
      </c>
      <c r="U49" s="125">
        <f>O49*R49*'Исходные данные'!$C$39%</f>
        <v>0</v>
      </c>
      <c r="V49" s="125">
        <f ca="1">P49*T49*'Исходные данные'!$C$40%</f>
        <v>0</v>
      </c>
      <c r="W49" s="125">
        <f t="shared" si="79"/>
        <v>0</v>
      </c>
      <c r="X49" s="126">
        <f t="shared" ca="1" si="80"/>
        <v>7317.452272343301</v>
      </c>
      <c r="Y49" s="125">
        <f t="shared" si="81"/>
        <v>0</v>
      </c>
      <c r="Z49" s="126">
        <f t="shared" ca="1" si="82"/>
        <v>1280.5541476600777</v>
      </c>
      <c r="AA49" s="125">
        <f t="shared" si="83"/>
        <v>0</v>
      </c>
      <c r="AB49" s="126">
        <f t="shared" ca="1" si="84"/>
        <v>1829.3630680858253</v>
      </c>
      <c r="AC49" s="124">
        <v>2.5</v>
      </c>
      <c r="AD49" s="125">
        <f t="shared" si="85"/>
        <v>0</v>
      </c>
      <c r="AE49" s="125">
        <f t="shared" ca="1" si="86"/>
        <v>71802.500422368641</v>
      </c>
      <c r="AF49" s="35">
        <f t="shared" ca="1" si="87"/>
        <v>0</v>
      </c>
      <c r="AG49" s="70">
        <f t="shared" ca="1" si="87"/>
        <v>10729.109258514853</v>
      </c>
      <c r="AH49" s="35">
        <f t="shared" ca="1" si="88"/>
        <v>0</v>
      </c>
      <c r="AI49" s="35">
        <f t="shared" ca="1" si="88"/>
        <v>82531.609680883499</v>
      </c>
      <c r="AJ49" s="35">
        <f t="shared" ca="1" si="89"/>
        <v>0</v>
      </c>
      <c r="AK49" s="70">
        <f t="shared" ca="1" si="89"/>
        <v>24759.482904265049</v>
      </c>
      <c r="AL49" s="35">
        <f t="shared" ca="1" si="90"/>
        <v>0</v>
      </c>
      <c r="AM49" s="70">
        <f t="shared" ca="1" si="91"/>
        <v>107291.09258514855</v>
      </c>
      <c r="AN49" s="33">
        <v>2.3719999999999999</v>
      </c>
      <c r="AO49" s="33">
        <f>'Исходные данные'!$C$55</f>
        <v>0.84</v>
      </c>
      <c r="AP49" s="74">
        <f>(G49*AN49)*AO49/100</f>
        <v>1.9924799999999998</v>
      </c>
      <c r="AQ49" s="33" t="s">
        <v>152</v>
      </c>
      <c r="AR49" s="78" t="e">
        <f>'Исходные данные'!#REF!</f>
        <v>#REF!</v>
      </c>
      <c r="AS49" s="36" t="e">
        <f>AP49*AR49</f>
        <v>#REF!</v>
      </c>
      <c r="AT49" s="36"/>
      <c r="AU49" s="36"/>
      <c r="AV49" s="36"/>
      <c r="AW49" s="36"/>
      <c r="AX49" s="36"/>
      <c r="AY49" s="36"/>
      <c r="AZ49" s="36"/>
      <c r="BA49" s="36">
        <f>AZ49*L49</f>
        <v>0</v>
      </c>
      <c r="BB49" s="36"/>
      <c r="BC49" s="36"/>
      <c r="BD49" s="36"/>
      <c r="BE49" s="36"/>
      <c r="BF49" s="36"/>
      <c r="BG49" s="36"/>
      <c r="BH49" s="36"/>
      <c r="BI49" s="36" t="e">
        <f t="shared" ca="1" si="92"/>
        <v>#REF!</v>
      </c>
      <c r="BJ49" s="36" t="e">
        <f t="shared" ca="1" si="93"/>
        <v>#REF!</v>
      </c>
      <c r="BK49" s="38">
        <f t="shared" si="94"/>
        <v>1.8518518518518516</v>
      </c>
      <c r="BL49" s="38"/>
      <c r="BM49" s="39"/>
    </row>
    <row r="50" spans="1:65" x14ac:dyDescent="0.2">
      <c r="A50" s="20">
        <f>A49+1</f>
        <v>3</v>
      </c>
      <c r="B50" s="27" t="s">
        <v>100</v>
      </c>
      <c r="C50" s="29">
        <v>4</v>
      </c>
      <c r="D50" s="30" t="s">
        <v>184</v>
      </c>
      <c r="E50" s="31" t="s">
        <v>480</v>
      </c>
      <c r="F50" s="28" t="s">
        <v>106</v>
      </c>
      <c r="G50" s="138">
        <f>D5</f>
        <v>100</v>
      </c>
      <c r="H50" s="76">
        <v>40377</v>
      </c>
      <c r="I50" s="76">
        <v>40379</v>
      </c>
      <c r="J50" s="78">
        <f t="shared" si="75"/>
        <v>26.455026455026452</v>
      </c>
      <c r="K50" s="32">
        <v>3.7800000000000002</v>
      </c>
      <c r="L50" s="33">
        <f t="shared" si="76"/>
        <v>26.455026455026452</v>
      </c>
      <c r="M50" s="34"/>
      <c r="N50" s="34">
        <v>1</v>
      </c>
      <c r="O50" s="35">
        <f t="shared" si="77"/>
        <v>0</v>
      </c>
      <c r="P50" s="35">
        <f t="shared" si="78"/>
        <v>185.18518518518516</v>
      </c>
      <c r="Q50" s="34"/>
      <c r="R50" s="33"/>
      <c r="S50" s="34">
        <v>2</v>
      </c>
      <c r="T50" s="78">
        <f ca="1">IF(AND(N50&gt;0,P50&gt;0),SUMIF('Исходные данные'!$C$14:$J$30,S50,'Исходные данные'!$C$34:$J$41),IF(N50=0,0,IF(S50=0,"РОТ")))</f>
        <v>105.700598073999</v>
      </c>
      <c r="U50" s="125">
        <f>O50*R50*'Исходные данные'!$C$39%</f>
        <v>0</v>
      </c>
      <c r="V50" s="125">
        <f ca="1">P50*T50*'Исходные данные'!$C$40%</f>
        <v>0</v>
      </c>
      <c r="W50" s="125">
        <f t="shared" si="79"/>
        <v>0</v>
      </c>
      <c r="X50" s="126">
        <f t="shared" ca="1" si="80"/>
        <v>7829.6739314073338</v>
      </c>
      <c r="Y50" s="125">
        <f t="shared" si="81"/>
        <v>0</v>
      </c>
      <c r="Z50" s="126">
        <f t="shared" ca="1" si="82"/>
        <v>1370.1929379962835</v>
      </c>
      <c r="AA50" s="125">
        <f t="shared" si="83"/>
        <v>0</v>
      </c>
      <c r="AB50" s="126">
        <f t="shared" ca="1" si="84"/>
        <v>1957.4184828518335</v>
      </c>
      <c r="AC50" s="124">
        <v>2.5</v>
      </c>
      <c r="AD50" s="125">
        <f t="shared" si="85"/>
        <v>0</v>
      </c>
      <c r="AE50" s="125">
        <f t="shared" ca="1" si="86"/>
        <v>76828.675451934454</v>
      </c>
      <c r="AF50" s="35">
        <f t="shared" ca="1" si="87"/>
        <v>0</v>
      </c>
      <c r="AG50" s="70">
        <f t="shared" ca="1" si="87"/>
        <v>11480.146906610895</v>
      </c>
      <c r="AH50" s="35">
        <f t="shared" ca="1" si="88"/>
        <v>0</v>
      </c>
      <c r="AI50" s="35">
        <f t="shared" ca="1" si="88"/>
        <v>88308.822358545352</v>
      </c>
      <c r="AJ50" s="35">
        <f t="shared" ca="1" si="89"/>
        <v>0</v>
      </c>
      <c r="AK50" s="70">
        <f t="shared" ca="1" si="89"/>
        <v>26492.646707563606</v>
      </c>
      <c r="AL50" s="35">
        <f t="shared" ca="1" si="90"/>
        <v>0</v>
      </c>
      <c r="AM50" s="70">
        <f t="shared" ca="1" si="91"/>
        <v>114801.46906610896</v>
      </c>
      <c r="AN50" s="33">
        <v>2.3719999999999999</v>
      </c>
      <c r="AO50" s="33">
        <f>'Исходные данные'!$C$55</f>
        <v>0.84</v>
      </c>
      <c r="AP50" s="74">
        <f>(G50*AN50)*AO50/100</f>
        <v>1.9924799999999998</v>
      </c>
      <c r="AQ50" s="33" t="s">
        <v>152</v>
      </c>
      <c r="AR50" s="78" t="e">
        <f>'Исходные данные'!#REF!</f>
        <v>#REF!</v>
      </c>
      <c r="AS50" s="36" t="e">
        <f>AP50*AR50</f>
        <v>#REF!</v>
      </c>
      <c r="AT50" s="36"/>
      <c r="AU50" s="36"/>
      <c r="AV50" s="36"/>
      <c r="AW50" s="36"/>
      <c r="AX50" s="36"/>
      <c r="AY50" s="36"/>
      <c r="AZ50" s="36">
        <f>аморт!G39</f>
        <v>97.318579234972674</v>
      </c>
      <c r="BA50" s="36">
        <f>AZ50*L50</f>
        <v>2574.5655882267902</v>
      </c>
      <c r="BB50" s="36"/>
      <c r="BC50" s="36"/>
      <c r="BD50" s="36"/>
      <c r="BE50" s="36"/>
      <c r="BF50" s="36"/>
      <c r="BG50" s="36"/>
      <c r="BH50" s="36">
        <f>аморт!C39*10%/аморт!E39*L50*7</f>
        <v>79152.444444444438</v>
      </c>
      <c r="BI50" s="36" t="e">
        <f t="shared" ca="1" si="92"/>
        <v>#REF!</v>
      </c>
      <c r="BJ50" s="36" t="e">
        <f t="shared" ca="1" si="93"/>
        <v>#REF!</v>
      </c>
      <c r="BK50" s="38">
        <f t="shared" si="94"/>
        <v>1.8518518518518516</v>
      </c>
      <c r="BL50" s="38"/>
      <c r="BM50" s="39"/>
    </row>
    <row r="51" spans="1:65" x14ac:dyDescent="0.2">
      <c r="A51" s="20">
        <f>A50+1</f>
        <v>4</v>
      </c>
      <c r="B51" s="27" t="s">
        <v>93</v>
      </c>
      <c r="C51" s="29">
        <v>10</v>
      </c>
      <c r="D51" s="30" t="s">
        <v>118</v>
      </c>
      <c r="E51" s="31" t="s">
        <v>202</v>
      </c>
      <c r="F51" s="28" t="s">
        <v>106</v>
      </c>
      <c r="G51" s="138">
        <f>D5</f>
        <v>100</v>
      </c>
      <c r="H51" s="76">
        <v>40378</v>
      </c>
      <c r="I51" s="76">
        <v>40388</v>
      </c>
      <c r="J51" s="78">
        <f t="shared" si="75"/>
        <v>83.333333333333343</v>
      </c>
      <c r="K51" s="32">
        <v>1.2</v>
      </c>
      <c r="L51" s="33">
        <f t="shared" si="76"/>
        <v>83.333333333333343</v>
      </c>
      <c r="M51" s="34"/>
      <c r="N51" s="34">
        <v>1</v>
      </c>
      <c r="O51" s="35">
        <f t="shared" si="77"/>
        <v>0</v>
      </c>
      <c r="P51" s="35">
        <f t="shared" si="78"/>
        <v>583.33333333333337</v>
      </c>
      <c r="Q51" s="34"/>
      <c r="R51" s="33"/>
      <c r="S51" s="34">
        <v>2</v>
      </c>
      <c r="T51" s="78">
        <f ca="1">IF(AND(N51&gt;0,P51&gt;0),SUMIF('Исходные данные'!$C$14:$J$30,S51,'Исходные данные'!$C$34:$J$41),IF(N51=0,0,IF(S51=0,"РОТ")))</f>
        <v>105.700598073999</v>
      </c>
      <c r="U51" s="125">
        <f>O51*R51*'Исходные данные'!$C$39%</f>
        <v>0</v>
      </c>
      <c r="V51" s="125">
        <f ca="1">P51*T51*'Исходные данные'!$C$40%</f>
        <v>0</v>
      </c>
      <c r="W51" s="125">
        <f t="shared" si="79"/>
        <v>0</v>
      </c>
      <c r="X51" s="126">
        <f t="shared" ca="1" si="80"/>
        <v>24663.472883933104</v>
      </c>
      <c r="Y51" s="125">
        <f t="shared" si="81"/>
        <v>0</v>
      </c>
      <c r="Z51" s="126">
        <f t="shared" ca="1" si="82"/>
        <v>4316.1077546882934</v>
      </c>
      <c r="AA51" s="125">
        <f t="shared" si="83"/>
        <v>0</v>
      </c>
      <c r="AB51" s="126">
        <f t="shared" ca="1" si="84"/>
        <v>6165.8682209832759</v>
      </c>
      <c r="AC51" s="124">
        <v>2.5</v>
      </c>
      <c r="AD51" s="125">
        <f t="shared" si="85"/>
        <v>0</v>
      </c>
      <c r="AE51" s="125">
        <f t="shared" ca="1" si="86"/>
        <v>242010.32767359357</v>
      </c>
      <c r="AF51" s="35">
        <f t="shared" ca="1" si="87"/>
        <v>0</v>
      </c>
      <c r="AG51" s="70">
        <f t="shared" ca="1" si="87"/>
        <v>36162.462755824323</v>
      </c>
      <c r="AH51" s="35">
        <f t="shared" ca="1" si="88"/>
        <v>0</v>
      </c>
      <c r="AI51" s="35">
        <f t="shared" ca="1" si="88"/>
        <v>278172.79042941786</v>
      </c>
      <c r="AJ51" s="35">
        <f t="shared" ca="1" si="89"/>
        <v>0</v>
      </c>
      <c r="AK51" s="70">
        <f t="shared" ca="1" si="89"/>
        <v>83451.837128825355</v>
      </c>
      <c r="AL51" s="35">
        <f t="shared" ca="1" si="90"/>
        <v>0</v>
      </c>
      <c r="AM51" s="70">
        <f t="shared" ca="1" si="91"/>
        <v>361624.62755824323</v>
      </c>
      <c r="AN51" s="32"/>
      <c r="AO51" s="32"/>
      <c r="AP51" s="74"/>
      <c r="AQ51" s="37"/>
      <c r="AR51" s="37"/>
      <c r="AS51" s="36"/>
      <c r="AT51" s="36"/>
      <c r="AU51" s="36"/>
      <c r="AV51" s="36"/>
      <c r="AW51" s="36"/>
      <c r="AX51" s="36"/>
      <c r="AY51" s="36"/>
      <c r="AZ51" s="36"/>
      <c r="BA51" s="36"/>
      <c r="BB51" s="36"/>
      <c r="BC51" s="36"/>
      <c r="BD51" s="36"/>
      <c r="BE51" s="36"/>
      <c r="BF51" s="36"/>
      <c r="BG51" s="36"/>
      <c r="BH51" s="36"/>
      <c r="BI51" s="36">
        <f t="shared" ca="1" si="92"/>
        <v>361624.62755824323</v>
      </c>
      <c r="BJ51" s="36">
        <f t="shared" ca="1" si="93"/>
        <v>3616.2462755824322</v>
      </c>
      <c r="BK51" s="38">
        <f t="shared" si="94"/>
        <v>5.8333333333333339</v>
      </c>
      <c r="BL51" s="38"/>
      <c r="BM51" s="39"/>
    </row>
    <row r="52" spans="1:65" x14ac:dyDescent="0.2">
      <c r="A52" s="20">
        <f>A51+1</f>
        <v>5</v>
      </c>
      <c r="B52" s="27" t="s">
        <v>94</v>
      </c>
      <c r="C52" s="29">
        <v>10</v>
      </c>
      <c r="D52" s="30" t="s">
        <v>118</v>
      </c>
      <c r="E52" s="31" t="s">
        <v>207</v>
      </c>
      <c r="F52" s="28" t="s">
        <v>106</v>
      </c>
      <c r="G52" s="138">
        <f>D5</f>
        <v>100</v>
      </c>
      <c r="H52" s="76">
        <v>40378</v>
      </c>
      <c r="I52" s="76">
        <v>40388</v>
      </c>
      <c r="J52" s="78">
        <f t="shared" si="75"/>
        <v>40</v>
      </c>
      <c r="K52" s="32">
        <v>2.5</v>
      </c>
      <c r="L52" s="33">
        <f t="shared" si="76"/>
        <v>40</v>
      </c>
      <c r="M52" s="34"/>
      <c r="N52" s="34">
        <v>1</v>
      </c>
      <c r="O52" s="35">
        <f t="shared" si="77"/>
        <v>0</v>
      </c>
      <c r="P52" s="35">
        <f t="shared" si="78"/>
        <v>280</v>
      </c>
      <c r="Q52" s="34"/>
      <c r="R52" s="33"/>
      <c r="S52" s="34">
        <v>2</v>
      </c>
      <c r="T52" s="78">
        <f ca="1">IF(AND(N52&gt;0,P52&gt;0),SUMIF('Исходные данные'!$C$14:$J$30,S52,'Исходные данные'!$C$34:$J$41),IF(N52=0,0,IF(S52=0,"РОТ")))</f>
        <v>105.700598073999</v>
      </c>
      <c r="U52" s="125">
        <f>O52*R52*'Исходные данные'!$C$39%</f>
        <v>0</v>
      </c>
      <c r="V52" s="125">
        <f ca="1">P52*T52*'Исходные данные'!$C$40%</f>
        <v>0</v>
      </c>
      <c r="W52" s="125">
        <f t="shared" si="79"/>
        <v>0</v>
      </c>
      <c r="X52" s="126">
        <f t="shared" ca="1" si="80"/>
        <v>11838.466984287888</v>
      </c>
      <c r="Y52" s="125">
        <f t="shared" si="81"/>
        <v>0</v>
      </c>
      <c r="Z52" s="126">
        <f t="shared" ca="1" si="82"/>
        <v>2071.7317222503802</v>
      </c>
      <c r="AA52" s="125">
        <f t="shared" si="83"/>
        <v>0</v>
      </c>
      <c r="AB52" s="126">
        <f t="shared" ca="1" si="84"/>
        <v>2959.6167460719721</v>
      </c>
      <c r="AC52" s="124">
        <v>2.5</v>
      </c>
      <c r="AD52" s="125">
        <f t="shared" si="85"/>
        <v>0</v>
      </c>
      <c r="AE52" s="125">
        <f t="shared" ca="1" si="86"/>
        <v>116164.9572833249</v>
      </c>
      <c r="AF52" s="35">
        <f t="shared" ca="1" si="87"/>
        <v>0</v>
      </c>
      <c r="AG52" s="70">
        <f t="shared" ca="1" si="87"/>
        <v>17357.982122795671</v>
      </c>
      <c r="AH52" s="35">
        <f t="shared" ca="1" si="88"/>
        <v>0</v>
      </c>
      <c r="AI52" s="35">
        <f t="shared" ca="1" si="88"/>
        <v>133522.93940612057</v>
      </c>
      <c r="AJ52" s="35">
        <f t="shared" ca="1" si="89"/>
        <v>0</v>
      </c>
      <c r="AK52" s="70">
        <f t="shared" ca="1" si="89"/>
        <v>40056.88182183617</v>
      </c>
      <c r="AL52" s="35">
        <f t="shared" ca="1" si="90"/>
        <v>0</v>
      </c>
      <c r="AM52" s="70">
        <f t="shared" ca="1" si="91"/>
        <v>173579.82122795674</v>
      </c>
      <c r="AN52" s="32"/>
      <c r="AO52" s="32"/>
      <c r="AP52" s="74"/>
      <c r="AQ52" s="37"/>
      <c r="AR52" s="37"/>
      <c r="AS52" s="36"/>
      <c r="AT52" s="36"/>
      <c r="AU52" s="36"/>
      <c r="AV52" s="36"/>
      <c r="AW52" s="36"/>
      <c r="AX52" s="36"/>
      <c r="AY52" s="36"/>
      <c r="AZ52" s="36"/>
      <c r="BA52" s="36"/>
      <c r="BB52" s="36"/>
      <c r="BC52" s="36"/>
      <c r="BD52" s="36"/>
      <c r="BE52" s="36"/>
      <c r="BF52" s="36"/>
      <c r="BG52" s="36"/>
      <c r="BH52" s="36"/>
      <c r="BI52" s="36">
        <f t="shared" ca="1" si="92"/>
        <v>173579.82122795674</v>
      </c>
      <c r="BJ52" s="36">
        <f t="shared" ca="1" si="93"/>
        <v>1735.7982122795675</v>
      </c>
      <c r="BK52" s="38">
        <f t="shared" si="94"/>
        <v>2.8</v>
      </c>
      <c r="BL52" s="38"/>
      <c r="BM52" s="39"/>
    </row>
    <row r="53" spans="1:65" x14ac:dyDescent="0.2">
      <c r="A53" s="20">
        <v>6</v>
      </c>
      <c r="B53" s="27" t="s">
        <v>101</v>
      </c>
      <c r="C53" s="29">
        <v>10</v>
      </c>
      <c r="D53" s="30" t="s">
        <v>118</v>
      </c>
      <c r="E53" s="31" t="s">
        <v>211</v>
      </c>
      <c r="F53" s="28" t="s">
        <v>109</v>
      </c>
      <c r="G53" s="138">
        <v>116.23529411764707</v>
      </c>
      <c r="H53" s="76">
        <v>40389</v>
      </c>
      <c r="I53" s="76">
        <v>40397</v>
      </c>
      <c r="J53" s="78">
        <f t="shared" si="75"/>
        <v>19.372549019607845</v>
      </c>
      <c r="K53" s="32">
        <v>3</v>
      </c>
      <c r="L53" s="33">
        <f t="shared" si="76"/>
        <v>38.745098039215691</v>
      </c>
      <c r="M53" s="34"/>
      <c r="N53" s="34">
        <v>2</v>
      </c>
      <c r="O53" s="35">
        <f t="shared" si="77"/>
        <v>0</v>
      </c>
      <c r="P53" s="35">
        <f t="shared" si="78"/>
        <v>271.21568627450984</v>
      </c>
      <c r="Q53" s="34"/>
      <c r="R53" s="33"/>
      <c r="S53" s="34">
        <v>3</v>
      </c>
      <c r="T53" s="78">
        <f ca="1">IF(AND(N53&gt;0,P53&gt;0),SUMIF('Исходные данные'!$C$14:$J$30,S53,'Исходные данные'!$C$34:$J$41),IF(N53=0,0,IF(S53=0,"РОТ")))</f>
        <v>113.60344652812975</v>
      </c>
      <c r="U53" s="125">
        <f>O53*R53*'Исходные данные'!$C$39%</f>
        <v>0</v>
      </c>
      <c r="V53" s="125">
        <f ca="1">P53*T53*'Исходные данные'!$C$40%</f>
        <v>0</v>
      </c>
      <c r="W53" s="125">
        <f t="shared" si="79"/>
        <v>0</v>
      </c>
      <c r="X53" s="126">
        <f t="shared" ca="1" si="80"/>
        <v>12324.414685310518</v>
      </c>
      <c r="Y53" s="125">
        <f t="shared" si="81"/>
        <v>0</v>
      </c>
      <c r="Z53" s="126">
        <f t="shared" ca="1" si="82"/>
        <v>2156.7725699293405</v>
      </c>
      <c r="AA53" s="125">
        <f t="shared" si="83"/>
        <v>0</v>
      </c>
      <c r="AB53" s="126">
        <f t="shared" ca="1" si="84"/>
        <v>3081.1036713276294</v>
      </c>
      <c r="AC53" s="124">
        <v>2.5</v>
      </c>
      <c r="AD53" s="125">
        <f t="shared" si="85"/>
        <v>0</v>
      </c>
      <c r="AE53" s="125">
        <f t="shared" ca="1" si="86"/>
        <v>120933.31909960943</v>
      </c>
      <c r="AF53" s="35">
        <f t="shared" ca="1" si="87"/>
        <v>0</v>
      </c>
      <c r="AG53" s="70">
        <f t="shared" ca="1" si="87"/>
        <v>18070.495957412902</v>
      </c>
      <c r="AH53" s="35">
        <f t="shared" ca="1" si="88"/>
        <v>0</v>
      </c>
      <c r="AI53" s="35">
        <f t="shared" ca="1" si="88"/>
        <v>139003.81505702232</v>
      </c>
      <c r="AJ53" s="35">
        <f t="shared" ca="1" si="89"/>
        <v>0</v>
      </c>
      <c r="AK53" s="70">
        <f t="shared" ca="1" si="89"/>
        <v>41701.144517106695</v>
      </c>
      <c r="AL53" s="35">
        <f t="shared" ca="1" si="90"/>
        <v>0</v>
      </c>
      <c r="AM53" s="70">
        <f t="shared" ca="1" si="91"/>
        <v>180704.95957412902</v>
      </c>
      <c r="AN53" s="32"/>
      <c r="AO53" s="32"/>
      <c r="AP53" s="74"/>
      <c r="AQ53" s="37"/>
      <c r="AR53" s="37"/>
      <c r="AS53" s="36"/>
      <c r="AT53" s="36"/>
      <c r="AU53" s="36"/>
      <c r="AV53" s="36"/>
      <c r="AW53" s="36"/>
      <c r="AX53" s="36"/>
      <c r="AY53" s="36"/>
      <c r="AZ53" s="36"/>
      <c r="BA53" s="36"/>
      <c r="BB53" s="36"/>
      <c r="BC53" s="36"/>
      <c r="BD53" s="36"/>
      <c r="BE53" s="36"/>
      <c r="BF53" s="36"/>
      <c r="BG53" s="36"/>
      <c r="BH53" s="36"/>
      <c r="BI53" s="36">
        <f t="shared" ca="1" si="92"/>
        <v>180704.95957412902</v>
      </c>
      <c r="BJ53" s="36">
        <f t="shared" ca="1" si="93"/>
        <v>1807.0495957412902</v>
      </c>
      <c r="BK53" s="38">
        <f t="shared" si="94"/>
        <v>2.7121568627450983</v>
      </c>
      <c r="BL53" s="38"/>
      <c r="BM53" s="39"/>
    </row>
    <row r="54" spans="1:65" x14ac:dyDescent="0.2">
      <c r="A54" s="20">
        <v>7</v>
      </c>
      <c r="B54" s="27" t="s">
        <v>95</v>
      </c>
      <c r="C54" s="29">
        <v>10</v>
      </c>
      <c r="D54" s="30" t="s">
        <v>118</v>
      </c>
      <c r="E54" s="31" t="s">
        <v>202</v>
      </c>
      <c r="F54" s="28" t="s">
        <v>109</v>
      </c>
      <c r="G54" s="138">
        <v>116.23529411764707</v>
      </c>
      <c r="H54" s="76">
        <v>40397</v>
      </c>
      <c r="I54" s="76">
        <v>40405</v>
      </c>
      <c r="J54" s="78">
        <f t="shared" si="75"/>
        <v>38.745098039215691</v>
      </c>
      <c r="K54" s="32">
        <v>3</v>
      </c>
      <c r="L54" s="33">
        <f t="shared" si="76"/>
        <v>38.745098039215691</v>
      </c>
      <c r="M54" s="34"/>
      <c r="N54" s="34">
        <v>1</v>
      </c>
      <c r="O54" s="35">
        <f t="shared" si="77"/>
        <v>0</v>
      </c>
      <c r="P54" s="35">
        <f t="shared" si="78"/>
        <v>271.21568627450984</v>
      </c>
      <c r="Q54" s="34"/>
      <c r="R54" s="33"/>
      <c r="S54" s="34">
        <v>4</v>
      </c>
      <c r="T54" s="78">
        <f ca="1">IF(AND(N54&gt;0,P54&gt;0),SUMIF('Исходные данные'!$C$14:$J$30,S54,'Исходные данные'!$C$34:$J$41),IF(N54=0,0,IF(S54=0,"РОТ")))</f>
        <v>123.48200709579322</v>
      </c>
      <c r="U54" s="125">
        <f>O54*R54*'Исходные данные'!$C$39%</f>
        <v>0</v>
      </c>
      <c r="V54" s="125">
        <f ca="1">P54*T54*'Исходные данные'!$C$40%</f>
        <v>0</v>
      </c>
      <c r="W54" s="125">
        <f t="shared" si="79"/>
        <v>0</v>
      </c>
      <c r="X54" s="126">
        <f t="shared" ca="1" si="80"/>
        <v>13396.102918815783</v>
      </c>
      <c r="Y54" s="125">
        <f t="shared" si="81"/>
        <v>0</v>
      </c>
      <c r="Z54" s="126">
        <f t="shared" ca="1" si="82"/>
        <v>2344.3180107927619</v>
      </c>
      <c r="AA54" s="125">
        <f t="shared" si="83"/>
        <v>0</v>
      </c>
      <c r="AB54" s="126">
        <f t="shared" ca="1" si="84"/>
        <v>3349.0257297039457</v>
      </c>
      <c r="AC54" s="124">
        <v>2.5</v>
      </c>
      <c r="AD54" s="125">
        <f t="shared" si="85"/>
        <v>0</v>
      </c>
      <c r="AE54" s="125">
        <f t="shared" ca="1" si="86"/>
        <v>131449.25989087985</v>
      </c>
      <c r="AF54" s="35">
        <f t="shared" ca="1" si="87"/>
        <v>0</v>
      </c>
      <c r="AG54" s="70">
        <f t="shared" ca="1" si="87"/>
        <v>19641.843431970552</v>
      </c>
      <c r="AH54" s="35">
        <f t="shared" ca="1" si="88"/>
        <v>0</v>
      </c>
      <c r="AI54" s="35">
        <f t="shared" ca="1" si="88"/>
        <v>151091.10332285039</v>
      </c>
      <c r="AJ54" s="35">
        <f t="shared" ca="1" si="89"/>
        <v>0</v>
      </c>
      <c r="AK54" s="70">
        <f t="shared" ca="1" si="89"/>
        <v>45327.330996855118</v>
      </c>
      <c r="AL54" s="35">
        <f t="shared" ca="1" si="90"/>
        <v>0</v>
      </c>
      <c r="AM54" s="70">
        <f t="shared" ca="1" si="91"/>
        <v>196418.43431970553</v>
      </c>
      <c r="AN54" s="32"/>
      <c r="AO54" s="32"/>
      <c r="AP54" s="74"/>
      <c r="AQ54" s="37"/>
      <c r="AR54" s="37"/>
      <c r="AS54" s="36"/>
      <c r="AT54" s="36"/>
      <c r="AU54" s="36"/>
      <c r="AV54" s="36"/>
      <c r="AW54" s="36"/>
      <c r="AX54" s="36"/>
      <c r="AY54" s="36"/>
      <c r="AZ54" s="36"/>
      <c r="BA54" s="36"/>
      <c r="BB54" s="36"/>
      <c r="BC54" s="36"/>
      <c r="BD54" s="36"/>
      <c r="BE54" s="36"/>
      <c r="BF54" s="36"/>
      <c r="BG54" s="36"/>
      <c r="BH54" s="36"/>
      <c r="BI54" s="36">
        <f t="shared" ca="1" si="92"/>
        <v>196418.43431970553</v>
      </c>
      <c r="BJ54" s="36">
        <f t="shared" ca="1" si="93"/>
        <v>1964.1843431970553</v>
      </c>
      <c r="BK54" s="38">
        <f t="shared" si="94"/>
        <v>2.7121568627450983</v>
      </c>
      <c r="BL54" s="38"/>
      <c r="BM54" s="39"/>
    </row>
    <row r="55" spans="1:65" x14ac:dyDescent="0.2">
      <c r="A55" s="20">
        <v>8</v>
      </c>
      <c r="B55" s="27" t="s">
        <v>96</v>
      </c>
      <c r="C55" s="29">
        <v>10</v>
      </c>
      <c r="D55" s="30" t="s">
        <v>118</v>
      </c>
      <c r="E55" s="31" t="s">
        <v>202</v>
      </c>
      <c r="F55" s="28" t="s">
        <v>109</v>
      </c>
      <c r="G55" s="138">
        <v>116.23529411764707</v>
      </c>
      <c r="H55" s="76">
        <v>40397</v>
      </c>
      <c r="I55" s="76">
        <v>40410</v>
      </c>
      <c r="J55" s="78">
        <f t="shared" si="75"/>
        <v>19.372549019607845</v>
      </c>
      <c r="K55" s="32">
        <v>6</v>
      </c>
      <c r="L55" s="33">
        <f t="shared" si="76"/>
        <v>19.372549019607845</v>
      </c>
      <c r="M55" s="34"/>
      <c r="N55" s="34">
        <v>1</v>
      </c>
      <c r="O55" s="35">
        <f t="shared" si="77"/>
        <v>0</v>
      </c>
      <c r="P55" s="35">
        <f t="shared" si="78"/>
        <v>135.60784313725492</v>
      </c>
      <c r="Q55" s="34"/>
      <c r="R55" s="33"/>
      <c r="S55" s="34">
        <v>2</v>
      </c>
      <c r="T55" s="78">
        <f ca="1">IF(AND(N55&gt;0,P55&gt;0),SUMIF('Исходные данные'!$C$14:$J$30,S55,'Исходные данные'!$C$34:$J$41),IF(N55=0,0,IF(S55=0,"РОТ")))</f>
        <v>105.700598073999</v>
      </c>
      <c r="U55" s="125">
        <f>O55*R55*'Исходные данные'!$C$39%</f>
        <v>0</v>
      </c>
      <c r="V55" s="125">
        <f ca="1">P55*T55*'Исходные данные'!$C$40%</f>
        <v>0</v>
      </c>
      <c r="W55" s="125">
        <f t="shared" si="79"/>
        <v>0</v>
      </c>
      <c r="X55" s="126">
        <f t="shared" ca="1" si="80"/>
        <v>5733.5320492531546</v>
      </c>
      <c r="Y55" s="125">
        <f t="shared" si="81"/>
        <v>0</v>
      </c>
      <c r="Z55" s="126">
        <f t="shared" ca="1" si="82"/>
        <v>1003.3681086193021</v>
      </c>
      <c r="AA55" s="125">
        <f t="shared" si="83"/>
        <v>0</v>
      </c>
      <c r="AB55" s="126">
        <f t="shared" ca="1" si="84"/>
        <v>1433.3830123132886</v>
      </c>
      <c r="AC55" s="124">
        <v>2.5</v>
      </c>
      <c r="AD55" s="125">
        <f t="shared" si="85"/>
        <v>0</v>
      </c>
      <c r="AE55" s="125">
        <f t="shared" ca="1" si="86"/>
        <v>56260.283233296585</v>
      </c>
      <c r="AF55" s="35">
        <f t="shared" ca="1" si="87"/>
        <v>0</v>
      </c>
      <c r="AG55" s="70">
        <f t="shared" ca="1" si="87"/>
        <v>8406.7089888833962</v>
      </c>
      <c r="AH55" s="35">
        <f t="shared" ca="1" si="88"/>
        <v>0</v>
      </c>
      <c r="AI55" s="35">
        <f t="shared" ca="1" si="88"/>
        <v>64666.992222179979</v>
      </c>
      <c r="AJ55" s="35">
        <f t="shared" ca="1" si="89"/>
        <v>0</v>
      </c>
      <c r="AK55" s="70">
        <f t="shared" ca="1" si="89"/>
        <v>19400.097666653994</v>
      </c>
      <c r="AL55" s="35">
        <f t="shared" ca="1" si="90"/>
        <v>0</v>
      </c>
      <c r="AM55" s="70">
        <f t="shared" ca="1" si="91"/>
        <v>84067.089888833973</v>
      </c>
      <c r="AN55" s="32"/>
      <c r="AO55" s="32"/>
      <c r="AP55" s="74"/>
      <c r="AQ55" s="37"/>
      <c r="AR55" s="37"/>
      <c r="AS55" s="36"/>
      <c r="AT55" s="36"/>
      <c r="AU55" s="36"/>
      <c r="AV55" s="36"/>
      <c r="AW55" s="36"/>
      <c r="AX55" s="36"/>
      <c r="AY55" s="36"/>
      <c r="AZ55" s="36"/>
      <c r="BA55" s="36"/>
      <c r="BB55" s="36"/>
      <c r="BC55" s="36"/>
      <c r="BD55" s="36"/>
      <c r="BE55" s="36"/>
      <c r="BF55" s="36"/>
      <c r="BG55" s="36"/>
      <c r="BH55" s="36"/>
      <c r="BI55" s="36">
        <f t="shared" ca="1" si="92"/>
        <v>84067.089888833973</v>
      </c>
      <c r="BJ55" s="36">
        <f t="shared" ca="1" si="93"/>
        <v>840.67089888833971</v>
      </c>
      <c r="BK55" s="38">
        <f t="shared" si="94"/>
        <v>1.3560784313725491</v>
      </c>
      <c r="BL55" s="38"/>
      <c r="BM55" s="39"/>
    </row>
    <row r="56" spans="1:65" s="62" customFormat="1" x14ac:dyDescent="0.2">
      <c r="A56" s="59"/>
      <c r="B56" s="53" t="s">
        <v>21</v>
      </c>
      <c r="C56" s="53"/>
      <c r="D56" s="53"/>
      <c r="E56" s="53"/>
      <c r="F56" s="60"/>
      <c r="G56" s="61"/>
      <c r="H56" s="61"/>
      <c r="I56" s="61"/>
      <c r="J56" s="57">
        <f>SUM(J48:J55)</f>
        <v>284.59777985268181</v>
      </c>
      <c r="K56" s="57"/>
      <c r="L56" s="57">
        <f>SUM(L48:L55)</f>
        <v>303.97032887228966</v>
      </c>
      <c r="M56" s="57">
        <f t="shared" ref="M56:BM56" si="95">SUM(M48:M55)</f>
        <v>0</v>
      </c>
      <c r="N56" s="57">
        <f t="shared" si="95"/>
        <v>9</v>
      </c>
      <c r="O56" s="57">
        <f t="shared" si="95"/>
        <v>0</v>
      </c>
      <c r="P56" s="57">
        <f t="shared" si="95"/>
        <v>2127.7923021060274</v>
      </c>
      <c r="Q56" s="57"/>
      <c r="R56" s="57"/>
      <c r="S56" s="57"/>
      <c r="T56" s="57"/>
      <c r="U56" s="57">
        <f t="shared" si="95"/>
        <v>0</v>
      </c>
      <c r="V56" s="57">
        <f t="shared" ca="1" si="95"/>
        <v>0</v>
      </c>
      <c r="W56" s="57">
        <f t="shared" si="95"/>
        <v>0</v>
      </c>
      <c r="X56" s="57">
        <f t="shared" ca="1" si="95"/>
        <v>93774.400289185069</v>
      </c>
      <c r="Y56" s="57">
        <f t="shared" si="95"/>
        <v>0</v>
      </c>
      <c r="Z56" s="57">
        <f t="shared" ca="1" si="95"/>
        <v>16410.520050607385</v>
      </c>
      <c r="AA56" s="57">
        <f t="shared" si="95"/>
        <v>0</v>
      </c>
      <c r="AB56" s="57">
        <f t="shared" ca="1" si="95"/>
        <v>23443.600072296267</v>
      </c>
      <c r="AC56" s="57"/>
      <c r="AD56" s="57">
        <f t="shared" si="95"/>
        <v>0</v>
      </c>
      <c r="AE56" s="57">
        <f t="shared" ca="1" si="95"/>
        <v>920161.30283762829</v>
      </c>
      <c r="AF56" s="57">
        <f t="shared" ca="1" si="95"/>
        <v>0</v>
      </c>
      <c r="AG56" s="57">
        <f t="shared" ca="1" si="95"/>
        <v>137495.36709068008</v>
      </c>
      <c r="AH56" s="57">
        <f t="shared" ca="1" si="95"/>
        <v>0</v>
      </c>
      <c r="AI56" s="57">
        <f t="shared" ca="1" si="95"/>
        <v>1057656.6699283086</v>
      </c>
      <c r="AJ56" s="57">
        <f t="shared" ca="1" si="95"/>
        <v>0</v>
      </c>
      <c r="AK56" s="57">
        <f t="shared" ca="1" si="95"/>
        <v>317297.00097849249</v>
      </c>
      <c r="AL56" s="57">
        <f t="shared" ca="1" si="95"/>
        <v>0</v>
      </c>
      <c r="AM56" s="57">
        <f t="shared" ca="1" si="95"/>
        <v>1374953.6709068008</v>
      </c>
      <c r="AN56" s="57"/>
      <c r="AO56" s="57"/>
      <c r="AP56" s="57">
        <f t="shared" si="95"/>
        <v>5.6926799999999993</v>
      </c>
      <c r="AQ56" s="57"/>
      <c r="AR56" s="57"/>
      <c r="AS56" s="57" t="e">
        <f t="shared" si="95"/>
        <v>#REF!</v>
      </c>
      <c r="AT56" s="57"/>
      <c r="AU56" s="57"/>
      <c r="AV56" s="57"/>
      <c r="AW56" s="57"/>
      <c r="AX56" s="57"/>
      <c r="AY56" s="57">
        <f t="shared" si="95"/>
        <v>0</v>
      </c>
      <c r="AZ56" s="57"/>
      <c r="BA56" s="57">
        <f t="shared" si="95"/>
        <v>5231.0429361103879</v>
      </c>
      <c r="BB56" s="57"/>
      <c r="BC56" s="57">
        <f t="shared" si="95"/>
        <v>0</v>
      </c>
      <c r="BD56" s="57"/>
      <c r="BE56" s="57">
        <f t="shared" si="95"/>
        <v>0</v>
      </c>
      <c r="BF56" s="57"/>
      <c r="BG56" s="57">
        <f t="shared" si="95"/>
        <v>0</v>
      </c>
      <c r="BH56" s="57">
        <f t="shared" si="95"/>
        <v>212443.85185185182</v>
      </c>
      <c r="BI56" s="57" t="e">
        <f t="shared" ca="1" si="95"/>
        <v>#REF!</v>
      </c>
      <c r="BJ56" s="57"/>
      <c r="BK56" s="57"/>
      <c r="BL56" s="57"/>
      <c r="BM56" s="57">
        <f t="shared" si="95"/>
        <v>0</v>
      </c>
    </row>
    <row r="57" spans="1:65" ht="11.25" customHeight="1" x14ac:dyDescent="0.2">
      <c r="A57" s="20"/>
      <c r="B57" s="560" t="s">
        <v>102</v>
      </c>
      <c r="C57" s="561"/>
      <c r="D57" s="561"/>
      <c r="E57" s="562"/>
      <c r="F57" s="28"/>
      <c r="G57" s="29"/>
      <c r="H57" s="29"/>
      <c r="I57" s="29"/>
      <c r="J57" s="29"/>
      <c r="K57" s="32"/>
      <c r="L57" s="33"/>
      <c r="M57" s="34"/>
      <c r="N57" s="34"/>
      <c r="O57" s="35"/>
      <c r="P57" s="35"/>
      <c r="Q57" s="34"/>
      <c r="R57" s="33"/>
      <c r="S57" s="34"/>
      <c r="T57" s="33"/>
      <c r="U57" s="33"/>
      <c r="V57" s="33"/>
      <c r="W57" s="33"/>
      <c r="X57" s="33"/>
      <c r="Y57" s="33"/>
      <c r="Z57" s="33"/>
      <c r="AA57" s="33"/>
      <c r="AB57" s="33"/>
      <c r="AC57" s="33"/>
      <c r="AD57" s="33"/>
      <c r="AE57" s="33"/>
      <c r="AF57" s="33"/>
      <c r="AG57" s="33"/>
      <c r="AH57" s="33"/>
      <c r="AI57" s="33"/>
      <c r="AJ57" s="33"/>
      <c r="AK57" s="33"/>
      <c r="AL57" s="33"/>
      <c r="AM57" s="32"/>
      <c r="AN57" s="32"/>
      <c r="AO57" s="32"/>
      <c r="AP57" s="74"/>
      <c r="AQ57" s="37"/>
      <c r="AR57" s="37"/>
      <c r="AS57" s="36"/>
      <c r="AT57" s="36"/>
      <c r="AU57" s="36"/>
      <c r="AV57" s="36"/>
      <c r="AW57" s="36"/>
      <c r="AX57" s="36"/>
      <c r="AY57" s="36"/>
      <c r="AZ57" s="36"/>
      <c r="BA57" s="36"/>
      <c r="BB57" s="36"/>
      <c r="BC57" s="36"/>
      <c r="BD57" s="36"/>
      <c r="BE57" s="36"/>
      <c r="BF57" s="36"/>
      <c r="BG57" s="36"/>
      <c r="BH57" s="36"/>
      <c r="BI57" s="36"/>
      <c r="BJ57" s="36"/>
      <c r="BK57" s="36"/>
      <c r="BL57" s="38"/>
      <c r="BM57" s="39"/>
    </row>
    <row r="58" spans="1:65" x14ac:dyDescent="0.2">
      <c r="A58" s="20">
        <v>1</v>
      </c>
      <c r="B58" s="27" t="s">
        <v>76</v>
      </c>
      <c r="C58" s="29">
        <v>10</v>
      </c>
      <c r="D58" s="30" t="s">
        <v>118</v>
      </c>
      <c r="E58" s="31" t="s">
        <v>212</v>
      </c>
      <c r="F58" s="28" t="s">
        <v>106</v>
      </c>
      <c r="G58" s="138">
        <f>D5</f>
        <v>100</v>
      </c>
      <c r="H58" s="76">
        <v>40374</v>
      </c>
      <c r="I58" s="76">
        <v>40384</v>
      </c>
      <c r="J58" s="78">
        <f t="shared" ref="J58:J64" si="96">L58/N58</f>
        <v>166.66666666666669</v>
      </c>
      <c r="K58" s="32">
        <v>0.6</v>
      </c>
      <c r="L58" s="33">
        <f t="shared" ref="L58:L64" si="97">G58/K58</f>
        <v>166.66666666666669</v>
      </c>
      <c r="M58" s="34"/>
      <c r="N58" s="34">
        <v>1</v>
      </c>
      <c r="O58" s="35">
        <f t="shared" ref="O58:O64" si="98">IF(M58=0,0,L58*$O$15)</f>
        <v>0</v>
      </c>
      <c r="P58" s="35">
        <f t="shared" ref="P58:P64" si="99">IF(N58=0,0,L58*$O$15)</f>
        <v>1166.6666666666667</v>
      </c>
      <c r="Q58" s="34"/>
      <c r="R58" s="33"/>
      <c r="S58" s="34">
        <v>4</v>
      </c>
      <c r="T58" s="78">
        <f ca="1">IF(AND(N58&gt;0,P58&gt;0),SUMIF('Исходные данные'!$C$14:$J$30,S58,'Исходные данные'!$C$34:$J$41),IF(N58=0,0,IF(S58=0,"РОТ")))</f>
        <v>123.48200709579322</v>
      </c>
      <c r="U58" s="125">
        <f>O58*R58*'Исходные данные'!$C$39%</f>
        <v>0</v>
      </c>
      <c r="V58" s="125">
        <f ca="1">P58*T58*'Исходные данные'!$C$40%</f>
        <v>0</v>
      </c>
      <c r="W58" s="125">
        <f t="shared" ref="W58:W64" si="100">O58*R58*$W$15</f>
        <v>0</v>
      </c>
      <c r="X58" s="126">
        <f t="shared" ref="X58:X64" ca="1" si="101">P58*T58*$W$15</f>
        <v>57624.936644703514</v>
      </c>
      <c r="Y58" s="125">
        <f t="shared" ref="Y58:Y64" si="102">(O58*R58+U58+W58)*$Y$15</f>
        <v>0</v>
      </c>
      <c r="Z58" s="126"/>
      <c r="AA58" s="125">
        <f t="shared" ref="AA58:AA64" si="103">(O58*R58+U58)*$AA$15</f>
        <v>0</v>
      </c>
      <c r="AB58" s="126"/>
      <c r="AC58" s="124">
        <v>2.5</v>
      </c>
      <c r="AD58" s="125">
        <f t="shared" ref="AD58:AD64" si="104">(O58*R58+U58+W58+Y58+AA58)*AC58</f>
        <v>0</v>
      </c>
      <c r="AE58" s="125">
        <f t="shared" ref="AE58:AE64" ca="1" si="105">(P58*T58+V58+X58+Z58+AB58)*AC58</f>
        <v>504218.19564115576</v>
      </c>
      <c r="AF58" s="35">
        <f t="shared" ref="AF58:AG64" ca="1" si="106">AD58*$AF$15</f>
        <v>0</v>
      </c>
      <c r="AG58" s="70">
        <f t="shared" ca="1" si="106"/>
        <v>75342.948773965792</v>
      </c>
      <c r="AH58" s="35">
        <f t="shared" ref="AH58:AI64" ca="1" si="107">AD58+AF58</f>
        <v>0</v>
      </c>
      <c r="AI58" s="35">
        <f t="shared" ca="1" si="107"/>
        <v>579561.14441512153</v>
      </c>
      <c r="AJ58" s="35">
        <f t="shared" ref="AJ58:AK64" ca="1" si="108">AH58*$AJ$15</f>
        <v>0</v>
      </c>
      <c r="AK58" s="70">
        <f t="shared" ca="1" si="108"/>
        <v>173868.34332453646</v>
      </c>
      <c r="AL58" s="35">
        <f t="shared" ref="AL58:AL64" ca="1" si="109">AH58+AJ58</f>
        <v>0</v>
      </c>
      <c r="AM58" s="70">
        <f t="shared" ref="AM58:AM64" ca="1" si="110">AK58+AI58</f>
        <v>753429.48773965798</v>
      </c>
      <c r="AN58" s="32"/>
      <c r="AO58" s="32"/>
      <c r="AP58" s="74"/>
      <c r="AQ58" s="37"/>
      <c r="AR58" s="37"/>
      <c r="AS58" s="36"/>
      <c r="AT58" s="36"/>
      <c r="AU58" s="36"/>
      <c r="AV58" s="36"/>
      <c r="AW58" s="36"/>
      <c r="AX58" s="36"/>
      <c r="AY58" s="36"/>
      <c r="AZ58" s="36"/>
      <c r="BA58" s="36"/>
      <c r="BB58" s="36"/>
      <c r="BC58" s="36"/>
      <c r="BD58" s="36"/>
      <c r="BE58" s="36"/>
      <c r="BF58" s="36"/>
      <c r="BG58" s="36"/>
      <c r="BH58" s="36"/>
      <c r="BI58" s="36">
        <f t="shared" ref="BI58:BI64" ca="1" si="111">AL58+AM58+AS58+AY58+BA58+BC58+BE58+BG58+BH58+AW58</f>
        <v>753429.48773965798</v>
      </c>
      <c r="BJ58" s="36">
        <f t="shared" ref="BJ58:BJ64" ca="1" si="112">BI58/$D$5</f>
        <v>7534.29487739658</v>
      </c>
      <c r="BK58" s="38">
        <f t="shared" ref="BK58:BK64" si="113">(O58+P58)/$D$5</f>
        <v>11.666666666666668</v>
      </c>
      <c r="BL58" s="38"/>
      <c r="BM58" s="39"/>
    </row>
    <row r="59" spans="1:65" x14ac:dyDescent="0.2">
      <c r="A59" s="20">
        <v>2</v>
      </c>
      <c r="B59" s="27" t="s">
        <v>84</v>
      </c>
      <c r="C59" s="29">
        <v>10</v>
      </c>
      <c r="D59" s="30" t="s">
        <v>118</v>
      </c>
      <c r="E59" s="31" t="s">
        <v>207</v>
      </c>
      <c r="F59" s="28" t="s">
        <v>106</v>
      </c>
      <c r="G59" s="138">
        <v>20</v>
      </c>
      <c r="H59" s="76">
        <v>40376</v>
      </c>
      <c r="I59" s="76">
        <v>40386</v>
      </c>
      <c r="J59" s="78">
        <f t="shared" si="96"/>
        <v>12.5</v>
      </c>
      <c r="K59" s="32">
        <v>1.6</v>
      </c>
      <c r="L59" s="33">
        <f t="shared" si="97"/>
        <v>12.5</v>
      </c>
      <c r="M59" s="34"/>
      <c r="N59" s="34">
        <v>1</v>
      </c>
      <c r="O59" s="35">
        <f t="shared" si="98"/>
        <v>0</v>
      </c>
      <c r="P59" s="35">
        <f t="shared" si="99"/>
        <v>87.5</v>
      </c>
      <c r="Q59" s="34"/>
      <c r="R59" s="33"/>
      <c r="S59" s="34">
        <v>1</v>
      </c>
      <c r="T59" s="78">
        <f ca="1">IF(AND(N59&gt;0,P59&gt;0),SUMIF('Исходные данные'!$C$14:$J$30,S59,'Исходные данные'!$C$34:$J$41),IF(N59=0,0,IF(S59=0,"РОТ")))</f>
        <v>98.785605676634574</v>
      </c>
      <c r="U59" s="125">
        <f>O59*R59*'Исходные данные'!$C$39%</f>
        <v>0</v>
      </c>
      <c r="V59" s="125">
        <f ca="1">P59*T59*'Исходные данные'!$C$40%</f>
        <v>0</v>
      </c>
      <c r="W59" s="125">
        <f t="shared" si="100"/>
        <v>0</v>
      </c>
      <c r="X59" s="126">
        <f t="shared" ca="1" si="101"/>
        <v>3457.49619868221</v>
      </c>
      <c r="Y59" s="125">
        <f t="shared" si="102"/>
        <v>0</v>
      </c>
      <c r="Z59" s="126"/>
      <c r="AA59" s="125">
        <f t="shared" si="103"/>
        <v>0</v>
      </c>
      <c r="AB59" s="126"/>
      <c r="AC59" s="124">
        <v>2.5</v>
      </c>
      <c r="AD59" s="125">
        <f t="shared" si="104"/>
        <v>0</v>
      </c>
      <c r="AE59" s="125">
        <f t="shared" ca="1" si="105"/>
        <v>30253.091738469338</v>
      </c>
      <c r="AF59" s="35">
        <f t="shared" ca="1" si="106"/>
        <v>0</v>
      </c>
      <c r="AG59" s="70">
        <f t="shared" ca="1" si="106"/>
        <v>4520.5769264379469</v>
      </c>
      <c r="AH59" s="35">
        <f t="shared" ca="1" si="107"/>
        <v>0</v>
      </c>
      <c r="AI59" s="35">
        <f t="shared" ca="1" si="107"/>
        <v>34773.668664907287</v>
      </c>
      <c r="AJ59" s="35">
        <f t="shared" ca="1" si="108"/>
        <v>0</v>
      </c>
      <c r="AK59" s="70">
        <f t="shared" ca="1" si="108"/>
        <v>10432.100599472185</v>
      </c>
      <c r="AL59" s="35">
        <f t="shared" ca="1" si="109"/>
        <v>0</v>
      </c>
      <c r="AM59" s="70">
        <f t="shared" ca="1" si="110"/>
        <v>45205.769264379473</v>
      </c>
      <c r="AN59" s="32"/>
      <c r="AO59" s="32"/>
      <c r="AP59" s="74"/>
      <c r="AQ59" s="37"/>
      <c r="AR59" s="37"/>
      <c r="AS59" s="36"/>
      <c r="AT59" s="36"/>
      <c r="AU59" s="36"/>
      <c r="AV59" s="36"/>
      <c r="AW59" s="36"/>
      <c r="AX59" s="36"/>
      <c r="AY59" s="36"/>
      <c r="AZ59" s="36"/>
      <c r="BA59" s="36"/>
      <c r="BB59" s="36"/>
      <c r="BC59" s="36"/>
      <c r="BD59" s="36"/>
      <c r="BE59" s="36"/>
      <c r="BF59" s="36"/>
      <c r="BG59" s="36"/>
      <c r="BH59" s="36"/>
      <c r="BI59" s="36">
        <f t="shared" ca="1" si="111"/>
        <v>45205.769264379473</v>
      </c>
      <c r="BJ59" s="36">
        <f t="shared" ca="1" si="112"/>
        <v>452.05769264379472</v>
      </c>
      <c r="BK59" s="38">
        <f t="shared" si="113"/>
        <v>0.875</v>
      </c>
      <c r="BL59" s="38"/>
      <c r="BM59" s="39"/>
    </row>
    <row r="60" spans="1:65" x14ac:dyDescent="0.2">
      <c r="A60" s="20">
        <v>3</v>
      </c>
      <c r="B60" s="27" t="s">
        <v>100</v>
      </c>
      <c r="C60" s="29">
        <v>10</v>
      </c>
      <c r="D60" s="30" t="s">
        <v>118</v>
      </c>
      <c r="E60" s="31" t="s">
        <v>207</v>
      </c>
      <c r="F60" s="28" t="s">
        <v>106</v>
      </c>
      <c r="G60" s="138">
        <f>D5</f>
        <v>100</v>
      </c>
      <c r="H60" s="76">
        <v>40377</v>
      </c>
      <c r="I60" s="76">
        <v>40387</v>
      </c>
      <c r="J60" s="78">
        <f t="shared" si="96"/>
        <v>125</v>
      </c>
      <c r="K60" s="32">
        <v>0.8</v>
      </c>
      <c r="L60" s="33">
        <f t="shared" si="97"/>
        <v>125</v>
      </c>
      <c r="M60" s="34"/>
      <c r="N60" s="34">
        <v>1</v>
      </c>
      <c r="O60" s="35">
        <f t="shared" si="98"/>
        <v>0</v>
      </c>
      <c r="P60" s="35">
        <f t="shared" si="99"/>
        <v>875</v>
      </c>
      <c r="Q60" s="34"/>
      <c r="R60" s="33"/>
      <c r="S60" s="34">
        <v>2</v>
      </c>
      <c r="T60" s="78">
        <f ca="1">IF(AND(N60&gt;0,P60&gt;0),SUMIF('Исходные данные'!$C$14:$J$30,S60,'Исходные данные'!$C$34:$J$41),IF(N60=0,0,IF(S60=0,"РОТ")))</f>
        <v>105.700598073999</v>
      </c>
      <c r="U60" s="125">
        <f>O60*R60*'Исходные данные'!$C$39%</f>
        <v>0</v>
      </c>
      <c r="V60" s="125">
        <f ca="1">P60*T60*'Исходные данные'!$C$40%</f>
        <v>0</v>
      </c>
      <c r="W60" s="125">
        <f t="shared" si="100"/>
        <v>0</v>
      </c>
      <c r="X60" s="126">
        <f t="shared" ca="1" si="101"/>
        <v>36995.209325899654</v>
      </c>
      <c r="Y60" s="125">
        <f t="shared" si="102"/>
        <v>0</v>
      </c>
      <c r="Z60" s="126"/>
      <c r="AA60" s="125">
        <f t="shared" si="103"/>
        <v>0</v>
      </c>
      <c r="AB60" s="126"/>
      <c r="AC60" s="124">
        <v>2.5</v>
      </c>
      <c r="AD60" s="125">
        <f t="shared" si="104"/>
        <v>0</v>
      </c>
      <c r="AE60" s="125">
        <f t="shared" ca="1" si="105"/>
        <v>323708.08160162193</v>
      </c>
      <c r="AF60" s="35">
        <f t="shared" ca="1" si="106"/>
        <v>0</v>
      </c>
      <c r="AG60" s="70">
        <f t="shared" ca="1" si="106"/>
        <v>48370.173112886034</v>
      </c>
      <c r="AH60" s="35">
        <f t="shared" ca="1" si="107"/>
        <v>0</v>
      </c>
      <c r="AI60" s="35">
        <f t="shared" ca="1" si="107"/>
        <v>372078.25471450796</v>
      </c>
      <c r="AJ60" s="35">
        <f t="shared" ca="1" si="108"/>
        <v>0</v>
      </c>
      <c r="AK60" s="70">
        <f t="shared" ca="1" si="108"/>
        <v>111623.47641435238</v>
      </c>
      <c r="AL60" s="35">
        <f t="shared" ca="1" si="109"/>
        <v>0</v>
      </c>
      <c r="AM60" s="70">
        <f t="shared" ca="1" si="110"/>
        <v>483701.73112886032</v>
      </c>
      <c r="AN60" s="32"/>
      <c r="AO60" s="32"/>
      <c r="AP60" s="74"/>
      <c r="AQ60" s="37"/>
      <c r="AR60" s="37"/>
      <c r="AS60" s="36"/>
      <c r="AT60" s="36"/>
      <c r="AU60" s="36"/>
      <c r="AV60" s="36"/>
      <c r="AW60" s="36"/>
      <c r="AX60" s="36"/>
      <c r="AY60" s="36"/>
      <c r="AZ60" s="36"/>
      <c r="BA60" s="36"/>
      <c r="BB60" s="36"/>
      <c r="BC60" s="36"/>
      <c r="BD60" s="36"/>
      <c r="BE60" s="36"/>
      <c r="BF60" s="36"/>
      <c r="BG60" s="36"/>
      <c r="BH60" s="36"/>
      <c r="BI60" s="36">
        <f t="shared" ca="1" si="111"/>
        <v>483701.73112886032</v>
      </c>
      <c r="BJ60" s="36">
        <f t="shared" ca="1" si="112"/>
        <v>4837.0173112886032</v>
      </c>
      <c r="BK60" s="38">
        <f t="shared" si="113"/>
        <v>8.75</v>
      </c>
      <c r="BL60" s="38"/>
      <c r="BM60" s="39"/>
    </row>
    <row r="61" spans="1:65" x14ac:dyDescent="0.2">
      <c r="A61" s="20">
        <v>4</v>
      </c>
      <c r="B61" s="27" t="s">
        <v>93</v>
      </c>
      <c r="C61" s="29">
        <v>10</v>
      </c>
      <c r="D61" s="30" t="s">
        <v>118</v>
      </c>
      <c r="E61" s="31" t="s">
        <v>202</v>
      </c>
      <c r="F61" s="28" t="s">
        <v>106</v>
      </c>
      <c r="G61" s="138">
        <f>G60</f>
        <v>100</v>
      </c>
      <c r="H61" s="76">
        <v>40378</v>
      </c>
      <c r="I61" s="76">
        <v>40388</v>
      </c>
      <c r="J61" s="78">
        <f t="shared" si="96"/>
        <v>28.571428571428573</v>
      </c>
      <c r="K61" s="32">
        <v>3.5</v>
      </c>
      <c r="L61" s="33">
        <f t="shared" si="97"/>
        <v>28.571428571428573</v>
      </c>
      <c r="M61" s="34"/>
      <c r="N61" s="34">
        <v>1</v>
      </c>
      <c r="O61" s="35">
        <f t="shared" si="98"/>
        <v>0</v>
      </c>
      <c r="P61" s="35">
        <f t="shared" si="99"/>
        <v>200</v>
      </c>
      <c r="Q61" s="34"/>
      <c r="R61" s="33"/>
      <c r="S61" s="34">
        <v>2</v>
      </c>
      <c r="T61" s="78">
        <f ca="1">IF(AND(N61&gt;0,P61&gt;0),SUMIF('Исходные данные'!$C$14:$J$30,S61,'Исходные данные'!$C$34:$J$41),IF(N61=0,0,IF(S61=0,"РОТ")))</f>
        <v>105.700598073999</v>
      </c>
      <c r="U61" s="125">
        <f>O61*R61*'Исходные данные'!$C$39%</f>
        <v>0</v>
      </c>
      <c r="V61" s="125">
        <f ca="1">P61*T61*'Исходные данные'!$C$40%</f>
        <v>0</v>
      </c>
      <c r="W61" s="125">
        <f t="shared" si="100"/>
        <v>0</v>
      </c>
      <c r="X61" s="126">
        <f t="shared" ca="1" si="101"/>
        <v>8456.0478459199203</v>
      </c>
      <c r="Y61" s="125">
        <f t="shared" si="102"/>
        <v>0</v>
      </c>
      <c r="Z61" s="126"/>
      <c r="AA61" s="125">
        <f t="shared" si="103"/>
        <v>0</v>
      </c>
      <c r="AB61" s="126"/>
      <c r="AC61" s="124">
        <v>2.5</v>
      </c>
      <c r="AD61" s="125">
        <f t="shared" si="104"/>
        <v>0</v>
      </c>
      <c r="AE61" s="125">
        <f t="shared" ca="1" si="105"/>
        <v>73990.418651799293</v>
      </c>
      <c r="AF61" s="35">
        <f t="shared" ca="1" si="106"/>
        <v>0</v>
      </c>
      <c r="AG61" s="70">
        <f t="shared" ca="1" si="106"/>
        <v>11056.039568659664</v>
      </c>
      <c r="AH61" s="35">
        <f t="shared" ca="1" si="107"/>
        <v>0</v>
      </c>
      <c r="AI61" s="35">
        <f t="shared" ca="1" si="107"/>
        <v>85046.458220458953</v>
      </c>
      <c r="AJ61" s="35">
        <f t="shared" ca="1" si="108"/>
        <v>0</v>
      </c>
      <c r="AK61" s="70">
        <f t="shared" ca="1" si="108"/>
        <v>25513.937466137686</v>
      </c>
      <c r="AL61" s="35">
        <f t="shared" ca="1" si="109"/>
        <v>0</v>
      </c>
      <c r="AM61" s="70">
        <f t="shared" ca="1" si="110"/>
        <v>110560.39568659663</v>
      </c>
      <c r="AN61" s="32"/>
      <c r="AO61" s="32"/>
      <c r="AP61" s="74"/>
      <c r="AQ61" s="37"/>
      <c r="AR61" s="37"/>
      <c r="AS61" s="36"/>
      <c r="AT61" s="36"/>
      <c r="AU61" s="36"/>
      <c r="AV61" s="36"/>
      <c r="AW61" s="36"/>
      <c r="AX61" s="36"/>
      <c r="AY61" s="36"/>
      <c r="AZ61" s="36"/>
      <c r="BA61" s="36"/>
      <c r="BB61" s="36"/>
      <c r="BC61" s="36"/>
      <c r="BD61" s="36"/>
      <c r="BE61" s="36"/>
      <c r="BF61" s="36"/>
      <c r="BG61" s="36"/>
      <c r="BH61" s="36"/>
      <c r="BI61" s="36">
        <f t="shared" ca="1" si="111"/>
        <v>110560.39568659663</v>
      </c>
      <c r="BJ61" s="36">
        <f t="shared" ca="1" si="112"/>
        <v>1105.6039568659662</v>
      </c>
      <c r="BK61" s="38">
        <f t="shared" si="113"/>
        <v>2</v>
      </c>
      <c r="BL61" s="38"/>
      <c r="BM61" s="39"/>
    </row>
    <row r="62" spans="1:65" x14ac:dyDescent="0.2">
      <c r="A62" s="20">
        <v>5</v>
      </c>
      <c r="B62" s="27" t="s">
        <v>101</v>
      </c>
      <c r="C62" s="29">
        <v>10</v>
      </c>
      <c r="D62" s="30" t="s">
        <v>118</v>
      </c>
      <c r="E62" s="31" t="s">
        <v>211</v>
      </c>
      <c r="F62" s="28" t="s">
        <v>109</v>
      </c>
      <c r="G62" s="138">
        <v>139.48235294117649</v>
      </c>
      <c r="H62" s="76">
        <v>40389</v>
      </c>
      <c r="I62" s="76">
        <v>40397</v>
      </c>
      <c r="J62" s="78">
        <f t="shared" si="96"/>
        <v>19.926050420168071</v>
      </c>
      <c r="K62" s="32">
        <v>3.5</v>
      </c>
      <c r="L62" s="33">
        <f t="shared" si="97"/>
        <v>39.852100840336142</v>
      </c>
      <c r="M62" s="34"/>
      <c r="N62" s="34">
        <v>2</v>
      </c>
      <c r="O62" s="35">
        <f t="shared" si="98"/>
        <v>0</v>
      </c>
      <c r="P62" s="35">
        <f t="shared" si="99"/>
        <v>278.96470588235297</v>
      </c>
      <c r="Q62" s="34"/>
      <c r="R62" s="33"/>
      <c r="S62" s="34">
        <v>3</v>
      </c>
      <c r="T62" s="78">
        <f ca="1">IF(AND(N62&gt;0,P62&gt;0),SUMIF('Исходные данные'!$C$14:$J$30,S62,'Исходные данные'!$C$34:$J$41),IF(N62=0,0,IF(S62=0,"РОТ")))</f>
        <v>113.60344652812975</v>
      </c>
      <c r="U62" s="125">
        <f>O62*R62*'Исходные данные'!$C$39%</f>
        <v>0</v>
      </c>
      <c r="V62" s="125">
        <f ca="1">P62*T62*'Исходные данные'!$C$40%</f>
        <v>0</v>
      </c>
      <c r="W62" s="125">
        <f t="shared" si="100"/>
        <v>0</v>
      </c>
      <c r="X62" s="126">
        <f t="shared" ca="1" si="101"/>
        <v>12676.540819176531</v>
      </c>
      <c r="Y62" s="125">
        <f t="shared" si="102"/>
        <v>0</v>
      </c>
      <c r="Z62" s="126"/>
      <c r="AA62" s="125">
        <f t="shared" si="103"/>
        <v>0</v>
      </c>
      <c r="AB62" s="126"/>
      <c r="AC62" s="124">
        <v>2.5</v>
      </c>
      <c r="AD62" s="125">
        <f t="shared" si="104"/>
        <v>0</v>
      </c>
      <c r="AE62" s="125">
        <f t="shared" ca="1" si="105"/>
        <v>110919.73216779465</v>
      </c>
      <c r="AF62" s="35">
        <f t="shared" ca="1" si="106"/>
        <v>0</v>
      </c>
      <c r="AG62" s="70">
        <f t="shared" ca="1" si="106"/>
        <v>16574.212852658969</v>
      </c>
      <c r="AH62" s="35">
        <f t="shared" ca="1" si="107"/>
        <v>0</v>
      </c>
      <c r="AI62" s="35">
        <f t="shared" ca="1" si="107"/>
        <v>127493.94502045361</v>
      </c>
      <c r="AJ62" s="35">
        <f t="shared" ca="1" si="108"/>
        <v>0</v>
      </c>
      <c r="AK62" s="70">
        <f t="shared" ca="1" si="108"/>
        <v>38248.183506136083</v>
      </c>
      <c r="AL62" s="35">
        <f t="shared" ca="1" si="109"/>
        <v>0</v>
      </c>
      <c r="AM62" s="70">
        <f t="shared" ca="1" si="110"/>
        <v>165742.12852658969</v>
      </c>
      <c r="AN62" s="32"/>
      <c r="AO62" s="32"/>
      <c r="AP62" s="74"/>
      <c r="AQ62" s="37"/>
      <c r="AR62" s="37"/>
      <c r="AS62" s="36"/>
      <c r="AT62" s="36"/>
      <c r="AU62" s="36"/>
      <c r="AV62" s="36"/>
      <c r="AW62" s="36"/>
      <c r="AX62" s="36"/>
      <c r="AY62" s="36"/>
      <c r="AZ62" s="36"/>
      <c r="BA62" s="36"/>
      <c r="BB62" s="36"/>
      <c r="BC62" s="36"/>
      <c r="BD62" s="36"/>
      <c r="BE62" s="36"/>
      <c r="BF62" s="36"/>
      <c r="BG62" s="36"/>
      <c r="BH62" s="36"/>
      <c r="BI62" s="36">
        <f t="shared" ca="1" si="111"/>
        <v>165742.12852658969</v>
      </c>
      <c r="BJ62" s="36">
        <f t="shared" ca="1" si="112"/>
        <v>1657.4212852658968</v>
      </c>
      <c r="BK62" s="38">
        <f t="shared" si="113"/>
        <v>2.7896470588235296</v>
      </c>
      <c r="BL62" s="38"/>
      <c r="BM62" s="39"/>
    </row>
    <row r="63" spans="1:65" x14ac:dyDescent="0.2">
      <c r="A63" s="20">
        <v>6</v>
      </c>
      <c r="B63" s="27" t="s">
        <v>95</v>
      </c>
      <c r="C63" s="29">
        <v>10</v>
      </c>
      <c r="D63" s="30" t="s">
        <v>118</v>
      </c>
      <c r="E63" s="31" t="s">
        <v>202</v>
      </c>
      <c r="F63" s="28" t="s">
        <v>109</v>
      </c>
      <c r="G63" s="138">
        <v>139.48235294117649</v>
      </c>
      <c r="H63" s="76">
        <v>40397</v>
      </c>
      <c r="I63" s="76">
        <v>40405</v>
      </c>
      <c r="J63" s="78">
        <f t="shared" si="96"/>
        <v>19.926050420168071</v>
      </c>
      <c r="K63" s="32">
        <v>7</v>
      </c>
      <c r="L63" s="33">
        <f t="shared" si="97"/>
        <v>19.926050420168071</v>
      </c>
      <c r="M63" s="34"/>
      <c r="N63" s="34">
        <v>1</v>
      </c>
      <c r="O63" s="35">
        <f t="shared" si="98"/>
        <v>0</v>
      </c>
      <c r="P63" s="35">
        <f t="shared" si="99"/>
        <v>139.48235294117649</v>
      </c>
      <c r="Q63" s="34"/>
      <c r="R63" s="33"/>
      <c r="S63" s="34">
        <v>3</v>
      </c>
      <c r="T63" s="78">
        <f ca="1">IF(AND(N63&gt;0,P63&gt;0),SUMIF('Исходные данные'!$C$14:$J$30,S63,'Исходные данные'!$C$34:$J$41),IF(N63=0,0,IF(S63=0,"РОТ")))</f>
        <v>113.60344652812975</v>
      </c>
      <c r="U63" s="125">
        <f>O63*R63*'Исходные данные'!$C$39%</f>
        <v>0</v>
      </c>
      <c r="V63" s="125">
        <f ca="1">P63*T63*'Исходные данные'!$C$40%</f>
        <v>0</v>
      </c>
      <c r="W63" s="125">
        <f t="shared" si="100"/>
        <v>0</v>
      </c>
      <c r="X63" s="126">
        <f t="shared" ca="1" si="101"/>
        <v>6338.2704095882655</v>
      </c>
      <c r="Y63" s="125">
        <f t="shared" si="102"/>
        <v>0</v>
      </c>
      <c r="Z63" s="126"/>
      <c r="AA63" s="125">
        <f t="shared" si="103"/>
        <v>0</v>
      </c>
      <c r="AB63" s="126"/>
      <c r="AC63" s="124">
        <v>2.5</v>
      </c>
      <c r="AD63" s="125">
        <f t="shared" si="104"/>
        <v>0</v>
      </c>
      <c r="AE63" s="125">
        <f t="shared" ca="1" si="105"/>
        <v>55459.866083897323</v>
      </c>
      <c r="AF63" s="35">
        <f t="shared" ca="1" si="106"/>
        <v>0</v>
      </c>
      <c r="AG63" s="70">
        <f t="shared" ca="1" si="106"/>
        <v>8287.1064263294847</v>
      </c>
      <c r="AH63" s="35">
        <f t="shared" ca="1" si="107"/>
        <v>0</v>
      </c>
      <c r="AI63" s="35">
        <f t="shared" ca="1" si="107"/>
        <v>63746.972510226806</v>
      </c>
      <c r="AJ63" s="35">
        <f t="shared" ca="1" si="108"/>
        <v>0</v>
      </c>
      <c r="AK63" s="70">
        <f t="shared" ca="1" si="108"/>
        <v>19124.091753068042</v>
      </c>
      <c r="AL63" s="35">
        <f t="shared" ca="1" si="109"/>
        <v>0</v>
      </c>
      <c r="AM63" s="70">
        <f t="shared" ca="1" si="110"/>
        <v>82871.064263294844</v>
      </c>
      <c r="AN63" s="32"/>
      <c r="AO63" s="32"/>
      <c r="AP63" s="74"/>
      <c r="AQ63" s="37"/>
      <c r="AR63" s="37"/>
      <c r="AS63" s="36"/>
      <c r="AT63" s="36"/>
      <c r="AU63" s="36"/>
      <c r="AV63" s="36"/>
      <c r="AW63" s="36"/>
      <c r="AX63" s="36"/>
      <c r="AY63" s="36"/>
      <c r="AZ63" s="36"/>
      <c r="BA63" s="36"/>
      <c r="BB63" s="36"/>
      <c r="BC63" s="36"/>
      <c r="BD63" s="36"/>
      <c r="BE63" s="36"/>
      <c r="BF63" s="36"/>
      <c r="BG63" s="36"/>
      <c r="BH63" s="36"/>
      <c r="BI63" s="36">
        <f t="shared" ca="1" si="111"/>
        <v>82871.064263294844</v>
      </c>
      <c r="BJ63" s="36">
        <f t="shared" ca="1" si="112"/>
        <v>828.71064263294841</v>
      </c>
      <c r="BK63" s="38">
        <f t="shared" si="113"/>
        <v>1.3948235294117648</v>
      </c>
      <c r="BL63" s="38"/>
      <c r="BM63" s="39"/>
    </row>
    <row r="64" spans="1:65" x14ac:dyDescent="0.2">
      <c r="A64" s="20">
        <v>7</v>
      </c>
      <c r="B64" s="27" t="s">
        <v>96</v>
      </c>
      <c r="C64" s="29">
        <v>10</v>
      </c>
      <c r="D64" s="30" t="s">
        <v>118</v>
      </c>
      <c r="E64" s="31" t="s">
        <v>202</v>
      </c>
      <c r="F64" s="28" t="s">
        <v>109</v>
      </c>
      <c r="G64" s="138">
        <v>139.48235294117649</v>
      </c>
      <c r="H64" s="76">
        <v>40397</v>
      </c>
      <c r="I64" s="76">
        <v>40410</v>
      </c>
      <c r="J64" s="78">
        <f t="shared" si="96"/>
        <v>12.680213903743317</v>
      </c>
      <c r="K64" s="32">
        <v>11</v>
      </c>
      <c r="L64" s="33">
        <f t="shared" si="97"/>
        <v>12.680213903743317</v>
      </c>
      <c r="M64" s="34"/>
      <c r="N64" s="34">
        <v>1</v>
      </c>
      <c r="O64" s="35">
        <f t="shared" si="98"/>
        <v>0</v>
      </c>
      <c r="P64" s="35">
        <f t="shared" si="99"/>
        <v>88.761497326203212</v>
      </c>
      <c r="Q64" s="34"/>
      <c r="R64" s="33"/>
      <c r="S64" s="34">
        <v>2</v>
      </c>
      <c r="T64" s="78">
        <f ca="1">IF(AND(N64&gt;0,P64&gt;0),SUMIF('Исходные данные'!$C$14:$J$30,S64,'Исходные данные'!$C$34:$J$41),IF(N64=0,0,IF(S64=0,"РОТ")))</f>
        <v>105.700598073999</v>
      </c>
      <c r="U64" s="125">
        <f>O64*R64*'Исходные данные'!$C$39%</f>
        <v>0</v>
      </c>
      <c r="V64" s="125">
        <f ca="1">P64*T64*'Исходные данные'!$C$40%</f>
        <v>0</v>
      </c>
      <c r="W64" s="125">
        <f t="shared" si="100"/>
        <v>0</v>
      </c>
      <c r="X64" s="126">
        <f t="shared" ca="1" si="101"/>
        <v>3752.8573413293375</v>
      </c>
      <c r="Y64" s="125">
        <f t="shared" si="102"/>
        <v>0</v>
      </c>
      <c r="Z64" s="126"/>
      <c r="AA64" s="125">
        <f t="shared" si="103"/>
        <v>0</v>
      </c>
      <c r="AB64" s="126"/>
      <c r="AC64" s="124">
        <v>2.5</v>
      </c>
      <c r="AD64" s="125">
        <f t="shared" si="104"/>
        <v>0</v>
      </c>
      <c r="AE64" s="125">
        <f t="shared" ca="1" si="105"/>
        <v>32837.501736631704</v>
      </c>
      <c r="AF64" s="35">
        <f t="shared" ca="1" si="106"/>
        <v>0</v>
      </c>
      <c r="AG64" s="70">
        <f t="shared" ca="1" si="106"/>
        <v>4906.7531330599095</v>
      </c>
      <c r="AH64" s="35">
        <f t="shared" ca="1" si="107"/>
        <v>0</v>
      </c>
      <c r="AI64" s="35">
        <f t="shared" ca="1" si="107"/>
        <v>37744.254869691613</v>
      </c>
      <c r="AJ64" s="35">
        <f t="shared" ca="1" si="108"/>
        <v>0</v>
      </c>
      <c r="AK64" s="70">
        <f t="shared" ca="1" si="108"/>
        <v>11323.276460907484</v>
      </c>
      <c r="AL64" s="35">
        <f t="shared" ca="1" si="109"/>
        <v>0</v>
      </c>
      <c r="AM64" s="70">
        <f t="shared" ca="1" si="110"/>
        <v>49067.5313305991</v>
      </c>
      <c r="AN64" s="32"/>
      <c r="AO64" s="32"/>
      <c r="AP64" s="74"/>
      <c r="AQ64" s="37"/>
      <c r="AR64" s="37"/>
      <c r="AS64" s="36"/>
      <c r="AT64" s="36"/>
      <c r="AU64" s="36"/>
      <c r="AV64" s="36"/>
      <c r="AW64" s="36"/>
      <c r="AX64" s="36"/>
      <c r="AY64" s="36"/>
      <c r="AZ64" s="36"/>
      <c r="BA64" s="36"/>
      <c r="BB64" s="36"/>
      <c r="BC64" s="36"/>
      <c r="BD64" s="36"/>
      <c r="BE64" s="36"/>
      <c r="BF64" s="36"/>
      <c r="BG64" s="36"/>
      <c r="BH64" s="36"/>
      <c r="BI64" s="36">
        <f t="shared" ca="1" si="111"/>
        <v>49067.5313305991</v>
      </c>
      <c r="BJ64" s="36">
        <f t="shared" ca="1" si="112"/>
        <v>490.67531330599098</v>
      </c>
      <c r="BK64" s="38">
        <f t="shared" si="113"/>
        <v>0.88761497326203209</v>
      </c>
      <c r="BL64" s="38"/>
      <c r="BM64" s="39"/>
    </row>
    <row r="65" spans="1:65" s="62" customFormat="1" x14ac:dyDescent="0.2">
      <c r="A65" s="59"/>
      <c r="B65" s="53" t="s">
        <v>21</v>
      </c>
      <c r="C65" s="53"/>
      <c r="D65" s="53"/>
      <c r="E65" s="53"/>
      <c r="F65" s="60"/>
      <c r="G65" s="61"/>
      <c r="H65" s="61"/>
      <c r="I65" s="61"/>
      <c r="J65" s="57">
        <f>SUM(J58:J64)</f>
        <v>385.27040998217467</v>
      </c>
      <c r="K65" s="57"/>
      <c r="L65" s="57">
        <f t="shared" ref="L65:BM65" si="114">SUM(L58:L64)</f>
        <v>405.19646040234278</v>
      </c>
      <c r="M65" s="57">
        <f t="shared" si="114"/>
        <v>0</v>
      </c>
      <c r="N65" s="57">
        <f t="shared" si="114"/>
        <v>8</v>
      </c>
      <c r="O65" s="57">
        <f t="shared" si="114"/>
        <v>0</v>
      </c>
      <c r="P65" s="57">
        <f t="shared" si="114"/>
        <v>2836.3752228163999</v>
      </c>
      <c r="Q65" s="57"/>
      <c r="R65" s="57"/>
      <c r="S65" s="57"/>
      <c r="T65" s="57"/>
      <c r="U65" s="57">
        <f t="shared" si="114"/>
        <v>0</v>
      </c>
      <c r="V65" s="57">
        <f t="shared" ca="1" si="114"/>
        <v>0</v>
      </c>
      <c r="W65" s="57">
        <f t="shared" si="114"/>
        <v>0</v>
      </c>
      <c r="X65" s="57">
        <f t="shared" ca="1" si="114"/>
        <v>129301.35858529943</v>
      </c>
      <c r="Y65" s="57">
        <f t="shared" si="114"/>
        <v>0</v>
      </c>
      <c r="Z65" s="57">
        <f t="shared" si="114"/>
        <v>0</v>
      </c>
      <c r="AA65" s="57">
        <f t="shared" si="114"/>
        <v>0</v>
      </c>
      <c r="AB65" s="57">
        <f t="shared" si="114"/>
        <v>0</v>
      </c>
      <c r="AC65" s="57"/>
      <c r="AD65" s="57">
        <f t="shared" si="114"/>
        <v>0</v>
      </c>
      <c r="AE65" s="57">
        <f t="shared" ca="1" si="114"/>
        <v>1131386.8876213699</v>
      </c>
      <c r="AF65" s="57">
        <f t="shared" ca="1" si="114"/>
        <v>0</v>
      </c>
      <c r="AG65" s="57">
        <f t="shared" ca="1" si="114"/>
        <v>169057.81079399784</v>
      </c>
      <c r="AH65" s="57">
        <f t="shared" ca="1" si="114"/>
        <v>0</v>
      </c>
      <c r="AI65" s="57">
        <f t="shared" ca="1" si="114"/>
        <v>1300444.6984153676</v>
      </c>
      <c r="AJ65" s="57">
        <f t="shared" ca="1" si="114"/>
        <v>0</v>
      </c>
      <c r="AK65" s="57">
        <f t="shared" ca="1" si="114"/>
        <v>390133.40952461027</v>
      </c>
      <c r="AL65" s="57">
        <f t="shared" ca="1" si="114"/>
        <v>0</v>
      </c>
      <c r="AM65" s="57">
        <f t="shared" ca="1" si="114"/>
        <v>1690578.1079399781</v>
      </c>
      <c r="AN65" s="57"/>
      <c r="AO65" s="57"/>
      <c r="AP65" s="57">
        <f t="shared" si="114"/>
        <v>0</v>
      </c>
      <c r="AQ65" s="57"/>
      <c r="AR65" s="57"/>
      <c r="AS65" s="57">
        <f t="shared" si="114"/>
        <v>0</v>
      </c>
      <c r="AT65" s="57"/>
      <c r="AU65" s="57"/>
      <c r="AV65" s="57"/>
      <c r="AW65" s="57"/>
      <c r="AX65" s="57"/>
      <c r="AY65" s="57">
        <f t="shared" si="114"/>
        <v>0</v>
      </c>
      <c r="AZ65" s="57"/>
      <c r="BA65" s="57">
        <f t="shared" si="114"/>
        <v>0</v>
      </c>
      <c r="BB65" s="57"/>
      <c r="BC65" s="57">
        <f t="shared" si="114"/>
        <v>0</v>
      </c>
      <c r="BD65" s="57"/>
      <c r="BE65" s="57">
        <f t="shared" si="114"/>
        <v>0</v>
      </c>
      <c r="BF65" s="57"/>
      <c r="BG65" s="57">
        <f t="shared" si="114"/>
        <v>0</v>
      </c>
      <c r="BH65" s="57">
        <f t="shared" si="114"/>
        <v>0</v>
      </c>
      <c r="BI65" s="57">
        <f t="shared" ca="1" si="114"/>
        <v>1690578.1079399781</v>
      </c>
      <c r="BJ65" s="57"/>
      <c r="BK65" s="57"/>
      <c r="BL65" s="57"/>
      <c r="BM65" s="57">
        <f t="shared" si="114"/>
        <v>0</v>
      </c>
    </row>
    <row r="66" spans="1:65" s="51" customFormat="1" x14ac:dyDescent="0.2">
      <c r="A66" s="48"/>
      <c r="B66" s="58" t="s">
        <v>29</v>
      </c>
      <c r="C66" s="58"/>
      <c r="D66" s="58"/>
      <c r="E66" s="58"/>
      <c r="F66" s="49"/>
      <c r="G66" s="50"/>
      <c r="H66" s="50"/>
      <c r="I66" s="50"/>
      <c r="J66" s="73">
        <f>J26+J36+J46+J56+J65</f>
        <v>947.92006105769747</v>
      </c>
      <c r="K66" s="73"/>
      <c r="L66" s="73">
        <f t="shared" ref="L66:BM66" si="115">L26+L36+L46+L56+L65</f>
        <v>987.21866049747337</v>
      </c>
      <c r="M66" s="73">
        <f t="shared" si="115"/>
        <v>17</v>
      </c>
      <c r="N66" s="73">
        <f t="shared" si="115"/>
        <v>26</v>
      </c>
      <c r="O66" s="73">
        <f t="shared" si="115"/>
        <v>844.20623581478844</v>
      </c>
      <c r="P66" s="73">
        <f t="shared" si="115"/>
        <v>6303.895414026787</v>
      </c>
      <c r="Q66" s="73"/>
      <c r="R66" s="73"/>
      <c r="S66" s="73"/>
      <c r="T66" s="73"/>
      <c r="U66" s="73">
        <f t="shared" ca="1" si="115"/>
        <v>0</v>
      </c>
      <c r="V66" s="73">
        <f t="shared" ca="1" si="115"/>
        <v>0</v>
      </c>
      <c r="W66" s="73">
        <f t="shared" ca="1" si="115"/>
        <v>54797.002323863773</v>
      </c>
      <c r="X66" s="73">
        <f t="shared" ca="1" si="115"/>
        <v>283338.5523852614</v>
      </c>
      <c r="Y66" s="73">
        <f t="shared" ca="1" si="115"/>
        <v>19178.950813352327</v>
      </c>
      <c r="Z66" s="73">
        <f t="shared" ca="1" si="115"/>
        <v>26956.508914993341</v>
      </c>
      <c r="AA66" s="73">
        <f t="shared" ca="1" si="115"/>
        <v>13699.250580965943</v>
      </c>
      <c r="AB66" s="73">
        <f t="shared" ca="1" si="115"/>
        <v>38509.298449990485</v>
      </c>
      <c r="AC66" s="73"/>
      <c r="AD66" s="73">
        <f t="shared" ca="1" si="115"/>
        <v>561669.27381960372</v>
      </c>
      <c r="AE66" s="73">
        <f t="shared" ca="1" si="115"/>
        <v>2642876.8517834963</v>
      </c>
      <c r="AF66" s="73">
        <f t="shared" ca="1" si="115"/>
        <v>83927.592639710885</v>
      </c>
      <c r="AG66" s="73">
        <f t="shared" ca="1" si="115"/>
        <v>394912.63302512019</v>
      </c>
      <c r="AH66" s="73">
        <f t="shared" ca="1" si="115"/>
        <v>645596.86645931471</v>
      </c>
      <c r="AI66" s="73">
        <f t="shared" ca="1" si="115"/>
        <v>3037789.4848086163</v>
      </c>
      <c r="AJ66" s="73">
        <f t="shared" ca="1" si="115"/>
        <v>193679.0599377944</v>
      </c>
      <c r="AK66" s="73">
        <f t="shared" ca="1" si="115"/>
        <v>911336.84544258483</v>
      </c>
      <c r="AL66" s="73">
        <f t="shared" ca="1" si="115"/>
        <v>839275.92639710905</v>
      </c>
      <c r="AM66" s="73">
        <f t="shared" ca="1" si="115"/>
        <v>3949126.3302512015</v>
      </c>
      <c r="AN66" s="73"/>
      <c r="AO66" s="73"/>
      <c r="AP66" s="73">
        <f t="shared" si="115"/>
        <v>44.049649411764705</v>
      </c>
      <c r="AQ66" s="73"/>
      <c r="AR66" s="73"/>
      <c r="AS66" s="73" t="e">
        <f t="shared" si="115"/>
        <v>#REF!</v>
      </c>
      <c r="AT66" s="73"/>
      <c r="AU66" s="73">
        <f>AU26+AU36+AU46+AU56+AU65</f>
        <v>301.39534883720938</v>
      </c>
      <c r="AV66" s="73"/>
      <c r="AW66" s="73">
        <f>AW26+AW36+AW46+AW56+AW65</f>
        <v>301395.3488372094</v>
      </c>
      <c r="AX66" s="73"/>
      <c r="AY66" s="73">
        <f t="shared" si="115"/>
        <v>20427.607051648003</v>
      </c>
      <c r="AZ66" s="73"/>
      <c r="BA66" s="73">
        <f t="shared" si="115"/>
        <v>12968.777514488955</v>
      </c>
      <c r="BB66" s="73"/>
      <c r="BC66" s="73">
        <f t="shared" si="115"/>
        <v>47190.093747302053</v>
      </c>
      <c r="BD66" s="73"/>
      <c r="BE66" s="73">
        <f t="shared" si="115"/>
        <v>7960.4648432948852</v>
      </c>
      <c r="BF66" s="73"/>
      <c r="BG66" s="73">
        <f t="shared" si="115"/>
        <v>3027.7622304518964</v>
      </c>
      <c r="BH66" s="73">
        <f t="shared" si="115"/>
        <v>895072.51928146183</v>
      </c>
      <c r="BI66" s="73" t="e">
        <f t="shared" ca="1" si="115"/>
        <v>#REF!</v>
      </c>
      <c r="BJ66" s="73"/>
      <c r="BK66" s="73"/>
      <c r="BL66" s="73"/>
      <c r="BM66" s="73">
        <f t="shared" si="115"/>
        <v>572.69531246725785</v>
      </c>
    </row>
  </sheetData>
  <mergeCells count="104">
    <mergeCell ref="B19:E19"/>
    <mergeCell ref="B27:E27"/>
    <mergeCell ref="B37:E37"/>
    <mergeCell ref="B47:E47"/>
    <mergeCell ref="B57:E57"/>
    <mergeCell ref="BC16:BC17"/>
    <mergeCell ref="BB16:BB17"/>
    <mergeCell ref="AU15:AU17"/>
    <mergeCell ref="AV15:AV17"/>
    <mergeCell ref="AW15:AW17"/>
    <mergeCell ref="B18:E18"/>
    <mergeCell ref="AJ16:AJ17"/>
    <mergeCell ref="AK16:AK17"/>
    <mergeCell ref="AH15:AH17"/>
    <mergeCell ref="AI15:AI17"/>
    <mergeCell ref="AJ15:AK15"/>
    <mergeCell ref="AA15:AB15"/>
    <mergeCell ref="AC15:AC17"/>
    <mergeCell ref="AD15:AD17"/>
    <mergeCell ref="AE15:AE17"/>
    <mergeCell ref="AY16:AY17"/>
    <mergeCell ref="AZ16:AZ17"/>
    <mergeCell ref="BA16:BA17"/>
    <mergeCell ref="AO15:AO17"/>
    <mergeCell ref="C16:C17"/>
    <mergeCell ref="D16:D17"/>
    <mergeCell ref="E16:E17"/>
    <mergeCell ref="O16:O17"/>
    <mergeCell ref="P16:P17"/>
    <mergeCell ref="Q16:Q17"/>
    <mergeCell ref="R16:R17"/>
    <mergeCell ref="S16:S17"/>
    <mergeCell ref="T16:T17"/>
    <mergeCell ref="AT15:AT17"/>
    <mergeCell ref="W16:W17"/>
    <mergeCell ref="AA16:AA17"/>
    <mergeCell ref="AB16:AB17"/>
    <mergeCell ref="AF16:AF17"/>
    <mergeCell ref="AG16:AG17"/>
    <mergeCell ref="Z16:Z17"/>
    <mergeCell ref="X16:X17"/>
    <mergeCell ref="BM15:BM17"/>
    <mergeCell ref="BD15:BE15"/>
    <mergeCell ref="BF15:BG15"/>
    <mergeCell ref="BH15:BH17"/>
    <mergeCell ref="BI15:BI17"/>
    <mergeCell ref="BJ15:BJ17"/>
    <mergeCell ref="BL15:BL17"/>
    <mergeCell ref="BD16:BD17"/>
    <mergeCell ref="BE16:BE17"/>
    <mergeCell ref="BF16:BF17"/>
    <mergeCell ref="BG16:BG17"/>
    <mergeCell ref="AX15:AY15"/>
    <mergeCell ref="AZ15:BA15"/>
    <mergeCell ref="BB15:BC15"/>
    <mergeCell ref="AX16:AX17"/>
    <mergeCell ref="O15:P15"/>
    <mergeCell ref="S15:T15"/>
    <mergeCell ref="U15:U17"/>
    <mergeCell ref="W13:X14"/>
    <mergeCell ref="Y13:Z14"/>
    <mergeCell ref="BI13:BJ14"/>
    <mergeCell ref="BK13:BK17"/>
    <mergeCell ref="BL13:BM14"/>
    <mergeCell ref="BB13:BH14"/>
    <mergeCell ref="AF13:AG14"/>
    <mergeCell ref="AH13:AI14"/>
    <mergeCell ref="AL15:AL17"/>
    <mergeCell ref="AM15:AM17"/>
    <mergeCell ref="AN15:AN17"/>
    <mergeCell ref="AF15:AG15"/>
    <mergeCell ref="AJ13:AK14"/>
    <mergeCell ref="AL13:AM14"/>
    <mergeCell ref="AN13:AS14"/>
    <mergeCell ref="AT13:AW14"/>
    <mergeCell ref="AX13:BA14"/>
    <mergeCell ref="AP15:AP17"/>
    <mergeCell ref="AQ15:AQ17"/>
    <mergeCell ref="AR15:AR17"/>
    <mergeCell ref="AS15:AS17"/>
    <mergeCell ref="AA13:AB14"/>
    <mergeCell ref="AC13:AE14"/>
    <mergeCell ref="A13:A17"/>
    <mergeCell ref="B13:E14"/>
    <mergeCell ref="F13:F17"/>
    <mergeCell ref="G13:G17"/>
    <mergeCell ref="H13:I14"/>
    <mergeCell ref="J13:J17"/>
    <mergeCell ref="K13:K17"/>
    <mergeCell ref="L13:L17"/>
    <mergeCell ref="M13:N14"/>
    <mergeCell ref="M15:M17"/>
    <mergeCell ref="N15:N17"/>
    <mergeCell ref="B15:B17"/>
    <mergeCell ref="C15:E15"/>
    <mergeCell ref="H15:H17"/>
    <mergeCell ref="I15:I17"/>
    <mergeCell ref="O13:P14"/>
    <mergeCell ref="Q13:T14"/>
    <mergeCell ref="U13:V14"/>
    <mergeCell ref="Q15:R15"/>
    <mergeCell ref="Y16:Y17"/>
    <mergeCell ref="W15:X15"/>
    <mergeCell ref="V15:V17"/>
  </mergeCells>
  <conditionalFormatting sqref="AP20:AP25 AS38:AW40 AS28:AW35 AP28:AP35 AP38:AP40 AX37:AX40 AN57:BM64 AR41:AX45 AN41:AP45 AQ44:AQ45 U58:AM64 U20:AM25 U28:AM35 U38:AM45 AY19:BM25 H19:I66 U48:AM55 AX27:BM36 AS20:AX25 J65:BM66 K27 K19 K37 K47 G65:G66 G19 G26:G27 G36:G37 G46:G47 G56:G57 R37 R27 R19 J19:J64 T27:T33 T19:T22 T37:T40 T47:AM47 U27:AW27 T57:AM57 K36:T36 U19:AX19 K57 U36:AW37 K56:BM56 T25 S19:S25 K26:BM26 S27:S35 O19:P19 R41:R45 S37:S45 O27:P27 K46:BM46 O37:P37 O47:P47 O57:P57 L19:N25 Q19:Q25 L27:N35 Q27:Q35 L37:N45 Q37:Q45 L47:N55 Q47:S55 L57:N64 Q57:S64 AY37:BM45 AN47:AN55 AO51:AO55 AO47 AP47:AP55 AS47:BM55 AQ47:AR47 AQ51:AR55">
    <cfRule type="cellIs" dxfId="11" priority="9" stopIfTrue="1" operator="greaterThan">
      <formula>0</formula>
    </cfRule>
  </conditionalFormatting>
  <conditionalFormatting sqref="AN20:AN25 AN28:AN35 AN38:AN40 K20:K25 K28:K35 K38:K45 K48:K55 K58:K64">
    <cfRule type="cellIs" dxfId="10" priority="10" stopIfTrue="1" operator="greaterThan">
      <formula>0</formula>
    </cfRule>
  </conditionalFormatting>
  <conditionalFormatting sqref="E48:E55 E28:E35 E58:E64 E38:E45 E20:E25">
    <cfRule type="cellIs" dxfId="9" priority="11" stopIfTrue="1" operator="equal">
      <formula>0</formula>
    </cfRule>
  </conditionalFormatting>
  <conditionalFormatting sqref="O20:P25 O28:P35 O38:P45 O48:P55 O58:P64">
    <cfRule type="cellIs" dxfId="8" priority="12" stopIfTrue="1" operator="greaterThan">
      <formula>0</formula>
    </cfRule>
  </conditionalFormatting>
  <conditionalFormatting sqref="AT31:AW31">
    <cfRule type="cellIs" dxfId="7" priority="8" stopIfTrue="1" operator="greaterThan">
      <formula>0</formula>
    </cfRule>
  </conditionalFormatting>
  <conditionalFormatting sqref="K58:K64">
    <cfRule type="cellIs" dxfId="6" priority="7" stopIfTrue="1" operator="greaterThan">
      <formula>0</formula>
    </cfRule>
  </conditionalFormatting>
  <conditionalFormatting sqref="S58:S64">
    <cfRule type="cellIs" dxfId="5" priority="6" stopIfTrue="1" operator="greaterThan">
      <formula>0</formula>
    </cfRule>
  </conditionalFormatting>
  <conditionalFormatting sqref="AN48:AN50">
    <cfRule type="cellIs" dxfId="4" priority="5" stopIfTrue="1" operator="greaterThan">
      <formula>0</formula>
    </cfRule>
  </conditionalFormatting>
  <conditionalFormatting sqref="AN48:AN50">
    <cfRule type="cellIs" dxfId="3" priority="4" stopIfTrue="1" operator="greaterThan">
      <formula>0</formula>
    </cfRule>
  </conditionalFormatting>
  <conditionalFormatting sqref="AN48:AN50">
    <cfRule type="cellIs" dxfId="2" priority="3" stopIfTrue="1" operator="greaterThan">
      <formula>0</formula>
    </cfRule>
  </conditionalFormatting>
  <conditionalFormatting sqref="AN48:AN50">
    <cfRule type="cellIs" dxfId="1" priority="2" stopIfTrue="1" operator="greaterThan">
      <formula>0</formula>
    </cfRule>
  </conditionalFormatting>
  <conditionalFormatting sqref="AN48:AN50">
    <cfRule type="cellIs" dxfId="0" priority="1" stopIfTrue="1" operator="greaterThan">
      <formula>0</formula>
    </cfRule>
  </conditionalFormatting>
  <dataValidations count="2">
    <dataValidation type="list" allowBlank="1" showInputMessage="1" showErrorMessage="1" sqref="AQ41:AQ43">
      <formula1>$B$107:$B$110</formula1>
    </dataValidation>
    <dataValidation type="list" allowBlank="1" showInputMessage="1" showErrorMessage="1" sqref="AQ27:AR27 AQ57:AR64 AQ51:AR55">
      <formula1>#REF!</formula1>
    </dataValidation>
  </dataValidations>
  <pageMargins left="0.19685039370078741" right="0.19685039370078741" top="0.19685039370078741" bottom="0.19685039370078741" header="0.19685039370078741" footer="0.19685039370078741"/>
  <pageSetup paperSize="9" scale="54" fitToWidth="5"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13" workbookViewId="0">
      <selection sqref="A1:I1"/>
    </sheetView>
  </sheetViews>
  <sheetFormatPr defaultRowHeight="12.75" x14ac:dyDescent="0.2"/>
  <cols>
    <col min="1" max="1" width="3.28515625" customWidth="1"/>
    <col min="2" max="2" width="21.42578125" customWidth="1"/>
  </cols>
  <sheetData>
    <row r="1" spans="1:9" x14ac:dyDescent="0.2">
      <c r="A1" s="563" t="s">
        <v>429</v>
      </c>
      <c r="B1" s="563"/>
      <c r="C1" s="563"/>
      <c r="D1" s="563"/>
      <c r="E1" s="563"/>
      <c r="F1" s="563"/>
      <c r="G1" s="563"/>
      <c r="H1" s="563"/>
      <c r="I1" s="563"/>
    </row>
    <row r="2" spans="1:9" ht="15" x14ac:dyDescent="0.2">
      <c r="A2" s="143"/>
      <c r="B2" s="143"/>
      <c r="C2" s="143"/>
      <c r="D2" s="143"/>
      <c r="E2" s="143"/>
      <c r="F2" s="143"/>
      <c r="G2" s="143"/>
      <c r="H2" s="143"/>
      <c r="I2" s="144" t="s">
        <v>430</v>
      </c>
    </row>
    <row r="3" spans="1:9" ht="38.25" x14ac:dyDescent="0.2">
      <c r="A3" s="122" t="s">
        <v>431</v>
      </c>
      <c r="B3" s="137" t="s">
        <v>432</v>
      </c>
      <c r="C3" s="137">
        <v>2011</v>
      </c>
      <c r="D3" s="137">
        <v>2012</v>
      </c>
      <c r="E3" s="137">
        <v>2013</v>
      </c>
      <c r="F3" s="137">
        <v>2014</v>
      </c>
      <c r="G3" s="137">
        <v>2015</v>
      </c>
      <c r="H3" s="137" t="s">
        <v>433</v>
      </c>
      <c r="I3" s="137" t="s">
        <v>434</v>
      </c>
    </row>
    <row r="4" spans="1:9" x14ac:dyDescent="0.2">
      <c r="A4" s="146"/>
      <c r="B4" s="147" t="s">
        <v>435</v>
      </c>
      <c r="C4" s="148">
        <v>1.1599999999999999</v>
      </c>
      <c r="D4" s="148">
        <v>1.1599999999999999</v>
      </c>
      <c r="E4" s="148">
        <v>1.04</v>
      </c>
      <c r="F4" s="148">
        <v>1.26</v>
      </c>
      <c r="G4" s="148">
        <v>1.18</v>
      </c>
      <c r="H4" s="148">
        <v>1.18</v>
      </c>
      <c r="I4" s="121">
        <v>1.1599999999999999</v>
      </c>
    </row>
    <row r="5" spans="1:9" x14ac:dyDescent="0.2">
      <c r="A5" s="122">
        <v>1</v>
      </c>
      <c r="B5" s="123" t="s">
        <v>436</v>
      </c>
      <c r="C5" s="122">
        <v>1.6</v>
      </c>
      <c r="D5" s="122">
        <v>1.5</v>
      </c>
      <c r="E5" s="122">
        <v>1.2</v>
      </c>
      <c r="F5" s="122">
        <v>1.3</v>
      </c>
      <c r="G5" s="122">
        <v>1.4</v>
      </c>
      <c r="H5" s="122">
        <v>1.4</v>
      </c>
      <c r="I5" s="149"/>
    </row>
    <row r="6" spans="1:9" x14ac:dyDescent="0.2">
      <c r="A6" s="122">
        <v>2</v>
      </c>
      <c r="B6" s="123" t="s">
        <v>437</v>
      </c>
      <c r="C6" s="122">
        <v>0.7</v>
      </c>
      <c r="D6" s="122">
        <v>0.8</v>
      </c>
      <c r="E6" s="122">
        <v>1</v>
      </c>
      <c r="F6" s="122">
        <v>1</v>
      </c>
      <c r="G6" s="122">
        <v>1</v>
      </c>
      <c r="H6" s="122">
        <v>1</v>
      </c>
      <c r="I6" s="121">
        <v>0.91</v>
      </c>
    </row>
    <row r="7" spans="1:9" x14ac:dyDescent="0.2">
      <c r="A7" s="122">
        <v>3</v>
      </c>
      <c r="B7" s="123" t="s">
        <v>438</v>
      </c>
      <c r="C7" s="122">
        <v>1.6</v>
      </c>
      <c r="D7" s="122">
        <v>1.8</v>
      </c>
      <c r="E7" s="122">
        <v>1.4</v>
      </c>
      <c r="F7" s="122">
        <v>2.2999999999999998</v>
      </c>
      <c r="G7" s="122">
        <v>1.6</v>
      </c>
      <c r="H7" s="122">
        <v>1.6</v>
      </c>
      <c r="I7" s="121">
        <v>1.74</v>
      </c>
    </row>
    <row r="8" spans="1:9" x14ac:dyDescent="0.2">
      <c r="A8" s="122">
        <v>4</v>
      </c>
      <c r="B8" s="123" t="s">
        <v>439</v>
      </c>
      <c r="C8" s="122">
        <v>0.5</v>
      </c>
      <c r="D8" s="122">
        <v>0.7</v>
      </c>
      <c r="E8" s="122">
        <v>1.2</v>
      </c>
      <c r="F8" s="122">
        <v>1.6</v>
      </c>
      <c r="G8" s="122">
        <v>1.1000000000000001</v>
      </c>
      <c r="H8" s="122">
        <v>1.1000000000000001</v>
      </c>
      <c r="I8" s="121">
        <v>1.04</v>
      </c>
    </row>
    <row r="9" spans="1:9" x14ac:dyDescent="0.2">
      <c r="A9" s="122">
        <v>5</v>
      </c>
      <c r="B9" s="123" t="s">
        <v>440</v>
      </c>
      <c r="C9" s="150"/>
      <c r="D9" s="150"/>
      <c r="E9" s="150"/>
      <c r="F9" s="150"/>
      <c r="G9" s="150"/>
      <c r="H9" s="150"/>
      <c r="I9" s="149">
        <v>0</v>
      </c>
    </row>
    <row r="10" spans="1:9" x14ac:dyDescent="0.2">
      <c r="A10" s="122">
        <v>6</v>
      </c>
      <c r="B10" s="123" t="s">
        <v>441</v>
      </c>
      <c r="C10" s="122">
        <v>1</v>
      </c>
      <c r="D10" s="122">
        <v>1.5</v>
      </c>
      <c r="E10" s="122">
        <v>0.5</v>
      </c>
      <c r="F10" s="122">
        <v>1.4</v>
      </c>
      <c r="G10" s="122">
        <v>1.5</v>
      </c>
      <c r="H10" s="122">
        <v>1.5</v>
      </c>
      <c r="I10" s="121">
        <v>1.2</v>
      </c>
    </row>
    <row r="11" spans="1:9" x14ac:dyDescent="0.2">
      <c r="A11" s="122">
        <v>7</v>
      </c>
      <c r="B11" s="123" t="s">
        <v>442</v>
      </c>
      <c r="C11" s="122">
        <v>1</v>
      </c>
      <c r="D11" s="122">
        <v>1.2</v>
      </c>
      <c r="E11" s="122">
        <v>0.9</v>
      </c>
      <c r="F11" s="122">
        <v>1.2</v>
      </c>
      <c r="G11" s="122">
        <v>1.3</v>
      </c>
      <c r="H11" s="122">
        <v>1.3</v>
      </c>
      <c r="I11" s="121">
        <v>1.1200000000000001</v>
      </c>
    </row>
    <row r="12" spans="1:9" x14ac:dyDescent="0.2">
      <c r="A12" s="122">
        <v>8</v>
      </c>
      <c r="B12" s="123" t="s">
        <v>443</v>
      </c>
      <c r="C12" s="122">
        <v>1.3</v>
      </c>
      <c r="D12" s="122">
        <v>0.9</v>
      </c>
      <c r="E12" s="122">
        <v>1</v>
      </c>
      <c r="F12" s="122">
        <v>1</v>
      </c>
      <c r="G12" s="122">
        <v>0.7</v>
      </c>
      <c r="H12" s="122">
        <v>0.7</v>
      </c>
      <c r="I12" s="121">
        <v>0.97</v>
      </c>
    </row>
    <row r="13" spans="1:9" x14ac:dyDescent="0.2">
      <c r="A13" s="122">
        <v>9</v>
      </c>
      <c r="B13" s="123" t="s">
        <v>444</v>
      </c>
      <c r="C13" s="122">
        <v>1.4</v>
      </c>
      <c r="D13" s="122">
        <v>1.4</v>
      </c>
      <c r="E13" s="122">
        <v>1.1000000000000001</v>
      </c>
      <c r="F13" s="122">
        <v>1.3</v>
      </c>
      <c r="G13" s="122">
        <v>1.2</v>
      </c>
      <c r="H13" s="122">
        <v>1.2</v>
      </c>
      <c r="I13" s="121">
        <v>1.28</v>
      </c>
    </row>
    <row r="14" spans="1:9" x14ac:dyDescent="0.2">
      <c r="A14" s="122">
        <v>10</v>
      </c>
      <c r="B14" s="123" t="s">
        <v>445</v>
      </c>
      <c r="C14" s="122">
        <v>1.7</v>
      </c>
      <c r="D14" s="122">
        <v>1.8</v>
      </c>
      <c r="E14" s="122">
        <v>0.9</v>
      </c>
      <c r="F14" s="122">
        <v>1.7</v>
      </c>
      <c r="G14" s="122">
        <v>1</v>
      </c>
      <c r="H14" s="122">
        <v>1</v>
      </c>
      <c r="I14" s="121">
        <v>1.41</v>
      </c>
    </row>
    <row r="15" spans="1:9" x14ac:dyDescent="0.2">
      <c r="A15" s="122">
        <v>11</v>
      </c>
      <c r="B15" s="123" t="s">
        <v>446</v>
      </c>
      <c r="C15" s="122">
        <v>0.8</v>
      </c>
      <c r="D15" s="122">
        <v>0.9</v>
      </c>
      <c r="E15" s="122">
        <v>0.7</v>
      </c>
      <c r="F15" s="122">
        <v>1</v>
      </c>
      <c r="G15" s="122">
        <v>1</v>
      </c>
      <c r="H15" s="122">
        <v>1</v>
      </c>
      <c r="I15" s="121">
        <v>0.87</v>
      </c>
    </row>
    <row r="16" spans="1:9" x14ac:dyDescent="0.2">
      <c r="A16" s="122">
        <v>12</v>
      </c>
      <c r="B16" s="123" t="s">
        <v>447</v>
      </c>
      <c r="C16" s="122">
        <v>1.6</v>
      </c>
      <c r="D16" s="122">
        <v>1</v>
      </c>
      <c r="E16" s="122">
        <v>0.8</v>
      </c>
      <c r="F16" s="122">
        <v>0.9</v>
      </c>
      <c r="G16" s="122">
        <v>1.1000000000000001</v>
      </c>
      <c r="H16" s="122">
        <v>1.1000000000000001</v>
      </c>
      <c r="I16" s="121">
        <v>1.08</v>
      </c>
    </row>
    <row r="17" spans="1:9" x14ac:dyDescent="0.2">
      <c r="A17" s="122">
        <v>13</v>
      </c>
      <c r="B17" s="123" t="s">
        <v>448</v>
      </c>
      <c r="C17" s="122">
        <v>0.9</v>
      </c>
      <c r="D17" s="122">
        <v>1.3</v>
      </c>
      <c r="E17" s="122">
        <v>1.1000000000000001</v>
      </c>
      <c r="F17" s="122">
        <v>1.1000000000000001</v>
      </c>
      <c r="G17" s="122">
        <v>1.1000000000000001</v>
      </c>
      <c r="H17" s="122">
        <v>1.1000000000000001</v>
      </c>
      <c r="I17" s="121">
        <v>1.1000000000000001</v>
      </c>
    </row>
    <row r="18" spans="1:9" x14ac:dyDescent="0.2">
      <c r="A18" s="122">
        <v>14</v>
      </c>
      <c r="B18" s="123" t="s">
        <v>449</v>
      </c>
      <c r="C18" s="122">
        <v>2.2000000000000002</v>
      </c>
      <c r="D18" s="122">
        <v>1.8</v>
      </c>
      <c r="E18" s="122">
        <v>2</v>
      </c>
      <c r="F18" s="122">
        <v>2</v>
      </c>
      <c r="G18" s="122">
        <v>1.7</v>
      </c>
      <c r="H18" s="122">
        <v>1.7</v>
      </c>
      <c r="I18" s="121">
        <v>1.93</v>
      </c>
    </row>
    <row r="19" spans="1:9" x14ac:dyDescent="0.2">
      <c r="A19" s="122">
        <v>15</v>
      </c>
      <c r="B19" s="123" t="s">
        <v>450</v>
      </c>
      <c r="C19" s="122">
        <v>0.7</v>
      </c>
      <c r="D19" s="122">
        <v>0.7</v>
      </c>
      <c r="E19" s="122">
        <v>0.9</v>
      </c>
      <c r="F19" s="122">
        <v>1</v>
      </c>
      <c r="G19" s="122">
        <v>1</v>
      </c>
      <c r="H19" s="122">
        <v>1</v>
      </c>
      <c r="I19" s="121">
        <v>0.88</v>
      </c>
    </row>
    <row r="20" spans="1:9" x14ac:dyDescent="0.2">
      <c r="A20" s="122">
        <v>16</v>
      </c>
      <c r="B20" s="123" t="s">
        <v>451</v>
      </c>
      <c r="C20" s="122">
        <v>0.5</v>
      </c>
      <c r="D20" s="122">
        <v>0.5</v>
      </c>
      <c r="E20" s="122">
        <v>0.8</v>
      </c>
      <c r="F20" s="122">
        <v>0.8</v>
      </c>
      <c r="G20" s="122">
        <v>0.9</v>
      </c>
      <c r="H20" s="122">
        <v>0.9</v>
      </c>
      <c r="I20" s="121">
        <v>0.68</v>
      </c>
    </row>
    <row r="21" spans="1:9" x14ac:dyDescent="0.2">
      <c r="A21" s="122">
        <v>17</v>
      </c>
      <c r="B21" s="123" t="s">
        <v>452</v>
      </c>
      <c r="C21" s="122">
        <v>0.9</v>
      </c>
      <c r="D21" s="122">
        <v>0.8</v>
      </c>
      <c r="E21" s="122">
        <v>0.7</v>
      </c>
      <c r="F21" s="122">
        <v>0.9</v>
      </c>
      <c r="G21" s="122">
        <v>0.8</v>
      </c>
      <c r="H21" s="122">
        <v>0.8</v>
      </c>
      <c r="I21" s="121">
        <v>0.82</v>
      </c>
    </row>
    <row r="22" spans="1:9" x14ac:dyDescent="0.2">
      <c r="A22" s="122">
        <v>18</v>
      </c>
      <c r="B22" s="123" t="s">
        <v>453</v>
      </c>
      <c r="C22" s="122">
        <v>1.4</v>
      </c>
      <c r="D22" s="122">
        <v>1.2</v>
      </c>
      <c r="E22" s="122">
        <v>1.3</v>
      </c>
      <c r="F22" s="122">
        <v>1.2</v>
      </c>
      <c r="G22" s="122">
        <v>1.2</v>
      </c>
      <c r="H22" s="122">
        <v>1.2</v>
      </c>
      <c r="I22" s="121">
        <v>1.25</v>
      </c>
    </row>
    <row r="23" spans="1:9" x14ac:dyDescent="0.2">
      <c r="A23" s="122">
        <v>19</v>
      </c>
      <c r="B23" s="123" t="s">
        <v>454</v>
      </c>
      <c r="C23" s="122">
        <v>0.5</v>
      </c>
      <c r="D23" s="122">
        <v>0.5</v>
      </c>
      <c r="E23" s="122">
        <v>0.1</v>
      </c>
      <c r="F23" s="122">
        <v>0.1</v>
      </c>
      <c r="G23" s="122">
        <v>0.1</v>
      </c>
      <c r="H23" s="122">
        <v>0.1</v>
      </c>
      <c r="I23" s="121">
        <v>0.26</v>
      </c>
    </row>
    <row r="24" spans="1:9" x14ac:dyDescent="0.2">
      <c r="A24" s="122">
        <v>20</v>
      </c>
      <c r="B24" s="123" t="s">
        <v>455</v>
      </c>
      <c r="C24" s="122">
        <v>1.5</v>
      </c>
      <c r="D24" s="122">
        <v>1.8</v>
      </c>
      <c r="E24" s="122">
        <v>0.8</v>
      </c>
      <c r="F24" s="122">
        <v>1.4</v>
      </c>
      <c r="G24" s="122">
        <v>1.2</v>
      </c>
      <c r="H24" s="122">
        <v>1.2</v>
      </c>
      <c r="I24" s="121">
        <v>1.33</v>
      </c>
    </row>
    <row r="25" spans="1:9" x14ac:dyDescent="0.2">
      <c r="A25" s="122">
        <v>21</v>
      </c>
      <c r="B25" s="123" t="s">
        <v>456</v>
      </c>
      <c r="C25" s="122">
        <v>1.4</v>
      </c>
      <c r="D25" s="122">
        <v>1.4</v>
      </c>
      <c r="E25" s="122">
        <v>1.1000000000000001</v>
      </c>
      <c r="F25" s="122">
        <v>1.4</v>
      </c>
      <c r="G25" s="122">
        <v>1.2</v>
      </c>
      <c r="H25" s="122">
        <v>1.2</v>
      </c>
      <c r="I25" s="121">
        <v>1.29</v>
      </c>
    </row>
    <row r="26" spans="1:9" x14ac:dyDescent="0.2">
      <c r="A26" s="122">
        <v>22</v>
      </c>
      <c r="B26" s="123" t="s">
        <v>457</v>
      </c>
      <c r="C26" s="122">
        <v>1.3</v>
      </c>
      <c r="D26" s="122">
        <v>1.4</v>
      </c>
      <c r="E26" s="122">
        <v>1.5</v>
      </c>
      <c r="F26" s="122">
        <v>1.3</v>
      </c>
      <c r="G26" s="122">
        <v>1.6</v>
      </c>
      <c r="H26" s="122">
        <v>1.6</v>
      </c>
      <c r="I26" s="121">
        <v>1.42</v>
      </c>
    </row>
    <row r="27" spans="1:9" x14ac:dyDescent="0.2">
      <c r="A27" s="122">
        <v>23</v>
      </c>
      <c r="B27" s="123" t="s">
        <v>458</v>
      </c>
      <c r="C27" s="122">
        <v>0.7</v>
      </c>
      <c r="D27" s="122">
        <v>0.7</v>
      </c>
      <c r="E27" s="122">
        <v>1.1000000000000001</v>
      </c>
      <c r="F27" s="122">
        <v>0.6</v>
      </c>
      <c r="G27" s="122">
        <v>0.5</v>
      </c>
      <c r="H27" s="122">
        <v>0.5</v>
      </c>
      <c r="I27" s="121">
        <v>0.73</v>
      </c>
    </row>
    <row r="28" spans="1:9" x14ac:dyDescent="0.2">
      <c r="A28" s="122">
        <v>24</v>
      </c>
      <c r="B28" s="123" t="s">
        <v>459</v>
      </c>
      <c r="C28" s="122">
        <v>1.4</v>
      </c>
      <c r="D28" s="122">
        <v>1.3</v>
      </c>
      <c r="E28" s="122">
        <v>1.1000000000000001</v>
      </c>
      <c r="F28" s="122">
        <v>1.2</v>
      </c>
      <c r="G28" s="122">
        <v>1.1000000000000001</v>
      </c>
      <c r="H28" s="122">
        <v>1.1000000000000001</v>
      </c>
      <c r="I28" s="121">
        <v>1.21</v>
      </c>
    </row>
    <row r="29" spans="1:9" x14ac:dyDescent="0.2">
      <c r="A29" s="122">
        <v>25</v>
      </c>
      <c r="B29" s="123" t="s">
        <v>460</v>
      </c>
      <c r="C29" s="122">
        <v>1</v>
      </c>
      <c r="D29" s="122">
        <v>1</v>
      </c>
      <c r="E29" s="122">
        <v>0.9</v>
      </c>
      <c r="F29" s="122">
        <v>1.1000000000000001</v>
      </c>
      <c r="G29" s="122">
        <v>1</v>
      </c>
      <c r="H29" s="122">
        <v>1</v>
      </c>
      <c r="I29" s="121">
        <v>0.99</v>
      </c>
    </row>
    <row r="30" spans="1:9" x14ac:dyDescent="0.2">
      <c r="A30" s="151">
        <v>26</v>
      </c>
      <c r="B30" s="152" t="s">
        <v>461</v>
      </c>
      <c r="C30" s="122">
        <v>1.1000000000000001</v>
      </c>
      <c r="D30" s="122">
        <v>0.8</v>
      </c>
      <c r="E30" s="122">
        <v>1.1000000000000001</v>
      </c>
      <c r="F30" s="122">
        <v>1.1000000000000001</v>
      </c>
      <c r="G30" s="122">
        <v>1.5</v>
      </c>
      <c r="H30" s="122">
        <v>1.5</v>
      </c>
      <c r="I30" s="153">
        <v>1.1200000000000001</v>
      </c>
    </row>
    <row r="31" spans="1:9" x14ac:dyDescent="0.2">
      <c r="A31" s="122">
        <v>27</v>
      </c>
      <c r="B31" s="123" t="s">
        <v>462</v>
      </c>
      <c r="C31" s="122">
        <v>1</v>
      </c>
      <c r="D31" s="122">
        <v>0.8</v>
      </c>
      <c r="E31" s="122">
        <v>1</v>
      </c>
      <c r="F31" s="122">
        <v>1.1000000000000001</v>
      </c>
      <c r="G31" s="122">
        <v>0.9</v>
      </c>
      <c r="H31" s="122">
        <v>0.9</v>
      </c>
      <c r="I31" s="121">
        <v>0.95</v>
      </c>
    </row>
    <row r="32" spans="1:9" x14ac:dyDescent="0.2">
      <c r="A32" s="122">
        <v>28</v>
      </c>
      <c r="B32" s="123" t="s">
        <v>463</v>
      </c>
      <c r="C32" s="122">
        <v>0.9</v>
      </c>
      <c r="D32" s="122">
        <v>0.8</v>
      </c>
      <c r="E32" s="122">
        <v>0.8</v>
      </c>
      <c r="F32" s="122">
        <v>0.9</v>
      </c>
      <c r="G32" s="122">
        <v>0.9</v>
      </c>
      <c r="H32" s="122">
        <v>0.9</v>
      </c>
      <c r="I32" s="121">
        <v>0.86</v>
      </c>
    </row>
    <row r="33" spans="1:10" x14ac:dyDescent="0.2">
      <c r="A33" s="122">
        <v>29</v>
      </c>
      <c r="B33" s="123" t="s">
        <v>464</v>
      </c>
      <c r="C33" s="122">
        <v>1.7</v>
      </c>
      <c r="D33" s="122">
        <v>1.5</v>
      </c>
      <c r="E33" s="122">
        <v>1.6</v>
      </c>
      <c r="F33" s="122">
        <v>1.5</v>
      </c>
      <c r="G33" s="122">
        <v>1.5</v>
      </c>
      <c r="H33" s="122">
        <v>1.5</v>
      </c>
      <c r="I33" s="121">
        <v>1.56</v>
      </c>
    </row>
    <row r="34" spans="1:10" x14ac:dyDescent="0.2">
      <c r="A34" s="122">
        <v>30</v>
      </c>
      <c r="B34" s="123" t="s">
        <v>465</v>
      </c>
      <c r="C34" s="122">
        <v>0.6</v>
      </c>
      <c r="D34" s="122">
        <v>0.7</v>
      </c>
      <c r="E34" s="122">
        <v>0.7</v>
      </c>
      <c r="F34" s="122">
        <v>1.3</v>
      </c>
      <c r="G34" s="122">
        <v>1.1000000000000001</v>
      </c>
      <c r="H34" s="122">
        <v>1.1000000000000001</v>
      </c>
      <c r="I34" s="121">
        <v>0.88</v>
      </c>
    </row>
    <row r="35" spans="1:10" x14ac:dyDescent="0.2">
      <c r="A35" s="122">
        <v>31</v>
      </c>
      <c r="B35" s="123" t="s">
        <v>466</v>
      </c>
      <c r="C35" s="122">
        <v>1.5</v>
      </c>
      <c r="D35" s="122">
        <v>1.5</v>
      </c>
      <c r="E35" s="122">
        <v>1.4</v>
      </c>
      <c r="F35" s="122">
        <v>1.3</v>
      </c>
      <c r="G35" s="122">
        <v>1.3</v>
      </c>
      <c r="H35" s="122">
        <v>1.3</v>
      </c>
      <c r="I35" s="121">
        <v>1.43</v>
      </c>
    </row>
    <row r="36" spans="1:10" x14ac:dyDescent="0.2">
      <c r="A36" s="122">
        <v>32</v>
      </c>
      <c r="B36" s="123" t="s">
        <v>467</v>
      </c>
      <c r="C36" s="122">
        <v>0.5</v>
      </c>
      <c r="D36" s="122">
        <v>0.5</v>
      </c>
      <c r="E36" s="122">
        <v>1</v>
      </c>
      <c r="F36" s="122">
        <v>1.1000000000000001</v>
      </c>
      <c r="G36" s="122">
        <v>1.1000000000000001</v>
      </c>
      <c r="H36" s="122">
        <v>1.1000000000000001</v>
      </c>
      <c r="I36" s="121">
        <v>0.83</v>
      </c>
    </row>
    <row r="37" spans="1:10" x14ac:dyDescent="0.2">
      <c r="A37" s="122">
        <v>33</v>
      </c>
      <c r="B37" s="123" t="s">
        <v>468</v>
      </c>
      <c r="C37" s="122">
        <v>2.1</v>
      </c>
      <c r="D37" s="122">
        <v>2.1</v>
      </c>
      <c r="E37" s="122">
        <v>1</v>
      </c>
      <c r="F37" s="122">
        <v>1.4</v>
      </c>
      <c r="G37" s="122">
        <v>1.1000000000000001</v>
      </c>
      <c r="H37" s="122">
        <v>1.1000000000000001</v>
      </c>
      <c r="I37" s="121">
        <v>1.54</v>
      </c>
    </row>
    <row r="38" spans="1:10" x14ac:dyDescent="0.2">
      <c r="A38" s="122">
        <v>34</v>
      </c>
      <c r="B38" s="123" t="s">
        <v>469</v>
      </c>
      <c r="C38" s="122">
        <v>1.3</v>
      </c>
      <c r="D38" s="122">
        <v>1.3</v>
      </c>
      <c r="E38" s="122">
        <v>1.3</v>
      </c>
      <c r="F38" s="122">
        <v>1.3</v>
      </c>
      <c r="G38" s="122">
        <v>1.3</v>
      </c>
      <c r="H38" s="122">
        <v>1.3</v>
      </c>
      <c r="I38" s="121">
        <v>1.25</v>
      </c>
    </row>
    <row r="39" spans="1:10" x14ac:dyDescent="0.2">
      <c r="A39" s="122">
        <v>35</v>
      </c>
      <c r="B39" s="123" t="s">
        <v>470</v>
      </c>
      <c r="C39" s="122">
        <v>1.3</v>
      </c>
      <c r="D39" s="122">
        <v>1.4</v>
      </c>
      <c r="E39" s="122">
        <v>1.9</v>
      </c>
      <c r="F39" s="122">
        <v>1.3</v>
      </c>
      <c r="G39" s="122">
        <v>1.7</v>
      </c>
      <c r="H39" s="122">
        <v>1.7</v>
      </c>
      <c r="I39" s="121">
        <v>1.5</v>
      </c>
    </row>
    <row r="40" spans="1:10" x14ac:dyDescent="0.2">
      <c r="A40" s="122">
        <v>36</v>
      </c>
      <c r="B40" s="123" t="s">
        <v>471</v>
      </c>
      <c r="C40" s="122">
        <v>1.1000000000000001</v>
      </c>
      <c r="D40" s="122">
        <v>1.1000000000000001</v>
      </c>
      <c r="E40" s="122">
        <v>1</v>
      </c>
      <c r="F40" s="122">
        <v>2.9</v>
      </c>
      <c r="G40" s="122">
        <v>2.9</v>
      </c>
      <c r="H40" s="122">
        <v>2.9</v>
      </c>
      <c r="I40" s="121">
        <v>1.8</v>
      </c>
    </row>
    <row r="41" spans="1:10" ht="14.25" x14ac:dyDescent="0.2">
      <c r="A41" s="150"/>
      <c r="B41" s="154"/>
      <c r="C41" s="155"/>
      <c r="D41" s="150"/>
      <c r="E41" s="150"/>
      <c r="F41" s="150"/>
      <c r="G41" s="156"/>
      <c r="H41" s="157"/>
      <c r="I41" s="150"/>
    </row>
    <row r="42" spans="1:10" x14ac:dyDescent="0.2">
      <c r="A42" s="158"/>
      <c r="B42" s="146"/>
      <c r="C42" s="158"/>
      <c r="D42" s="158"/>
      <c r="E42" s="158"/>
      <c r="F42" s="158"/>
      <c r="G42" s="158"/>
      <c r="H42" s="159"/>
      <c r="I42" s="158"/>
    </row>
    <row r="43" spans="1:10" x14ac:dyDescent="0.2">
      <c r="A43" s="160"/>
      <c r="B43" s="161" t="s">
        <v>472</v>
      </c>
      <c r="C43" s="160"/>
      <c r="D43" s="160"/>
      <c r="E43" s="160"/>
      <c r="F43" s="160"/>
      <c r="G43" s="160"/>
      <c r="H43" s="160"/>
      <c r="I43" s="162">
        <v>1.11626817922616</v>
      </c>
      <c r="J43" s="75"/>
    </row>
    <row r="44" spans="1:10" x14ac:dyDescent="0.2">
      <c r="A44" s="159"/>
      <c r="B44" s="161" t="s">
        <v>473</v>
      </c>
      <c r="C44" s="159"/>
      <c r="D44" s="159"/>
      <c r="E44" s="159"/>
      <c r="F44" s="159"/>
      <c r="G44" s="159"/>
      <c r="H44" s="159"/>
      <c r="I44" s="162">
        <v>0.89749931824679419</v>
      </c>
      <c r="J44" s="75"/>
    </row>
    <row r="45" spans="1:10" x14ac:dyDescent="0.2">
      <c r="A45" s="160"/>
      <c r="B45" s="161" t="s">
        <v>474</v>
      </c>
      <c r="C45" s="160"/>
      <c r="D45" s="160"/>
      <c r="E45" s="160"/>
      <c r="F45" s="160"/>
      <c r="G45" s="160"/>
      <c r="H45" s="160"/>
      <c r="I45" s="162">
        <v>1.211841043637808</v>
      </c>
      <c r="J45" s="75"/>
    </row>
    <row r="46" spans="1:10" x14ac:dyDescent="0.2">
      <c r="A46" s="159"/>
      <c r="B46" s="161" t="s">
        <v>475</v>
      </c>
      <c r="C46" s="159"/>
      <c r="D46" s="159"/>
      <c r="E46" s="159"/>
      <c r="F46" s="159"/>
      <c r="G46" s="159"/>
      <c r="H46" s="159"/>
      <c r="I46" s="162">
        <v>1.1528532312613062</v>
      </c>
      <c r="J46" s="75"/>
    </row>
    <row r="47" spans="1:10" x14ac:dyDescent="0.2">
      <c r="A47" s="160"/>
      <c r="B47" s="161" t="s">
        <v>476</v>
      </c>
      <c r="C47" s="160"/>
      <c r="D47" s="160"/>
      <c r="E47" s="160"/>
      <c r="F47" s="160"/>
      <c r="G47" s="160"/>
      <c r="H47" s="160"/>
      <c r="I47" s="162">
        <v>1.2836269963281008</v>
      </c>
      <c r="J47" s="75"/>
    </row>
    <row r="48" spans="1:10" x14ac:dyDescent="0.2">
      <c r="A48" s="75"/>
      <c r="B48" s="75"/>
      <c r="C48" s="75"/>
      <c r="D48" s="75"/>
      <c r="E48" s="75"/>
      <c r="F48" s="75"/>
      <c r="G48" s="75"/>
      <c r="H48" s="75"/>
      <c r="I48" s="75"/>
      <c r="J48" s="75"/>
    </row>
    <row r="49" spans="1:10" x14ac:dyDescent="0.2">
      <c r="A49" s="75"/>
      <c r="B49" s="75"/>
      <c r="C49" s="75"/>
      <c r="D49" s="75"/>
      <c r="E49" s="75"/>
      <c r="F49" s="75"/>
      <c r="G49" s="75"/>
      <c r="H49" s="75"/>
      <c r="I49" s="75"/>
      <c r="J49" s="75"/>
    </row>
  </sheetData>
  <mergeCells count="1">
    <mergeCell ref="A1:I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3"/>
  <sheetViews>
    <sheetView topLeftCell="A31" workbookViewId="0">
      <selection activeCell="U13" sqref="U13"/>
    </sheetView>
  </sheetViews>
  <sheetFormatPr defaultRowHeight="12.75" x14ac:dyDescent="0.2"/>
  <cols>
    <col min="1" max="1" width="38" customWidth="1"/>
    <col min="2" max="2" width="17.28515625" customWidth="1"/>
  </cols>
  <sheetData>
    <row r="1" spans="1:11" s="67" customFormat="1" ht="15.75" customHeight="1" x14ac:dyDescent="0.25">
      <c r="A1" s="463" t="s">
        <v>567</v>
      </c>
      <c r="B1" s="464"/>
      <c r="C1" s="464"/>
    </row>
    <row r="2" spans="1:11" s="128" customFormat="1" ht="15.75" customHeight="1" x14ac:dyDescent="0.2">
      <c r="A2" s="410" t="s">
        <v>181</v>
      </c>
      <c r="B2" s="398" t="s">
        <v>153</v>
      </c>
      <c r="C2" s="398" t="s">
        <v>152</v>
      </c>
      <c r="D2" s="335"/>
      <c r="E2" s="335"/>
      <c r="F2" s="335"/>
      <c r="G2" s="335"/>
      <c r="H2" s="335"/>
      <c r="I2" s="335" t="s">
        <v>9</v>
      </c>
      <c r="J2" s="335" t="s">
        <v>8</v>
      </c>
      <c r="K2" s="335"/>
    </row>
    <row r="3" spans="1:11" s="67" customFormat="1" ht="15.75" x14ac:dyDescent="0.25">
      <c r="A3" s="411" t="s">
        <v>568</v>
      </c>
      <c r="B3" s="412">
        <v>0.82</v>
      </c>
      <c r="C3" s="398">
        <v>0.84</v>
      </c>
      <c r="D3" s="337"/>
      <c r="E3" s="337" t="s">
        <v>10</v>
      </c>
      <c r="F3" s="337" t="s">
        <v>4</v>
      </c>
      <c r="G3" s="337" t="s">
        <v>5</v>
      </c>
      <c r="H3" s="337" t="s">
        <v>6</v>
      </c>
      <c r="I3" s="337" t="s">
        <v>7</v>
      </c>
      <c r="J3" s="337"/>
      <c r="K3" s="337"/>
    </row>
    <row r="4" spans="1:11" s="67" customFormat="1" ht="15.75" x14ac:dyDescent="0.25"/>
    <row r="5" spans="1:11" x14ac:dyDescent="0.2">
      <c r="A5" s="405" t="s">
        <v>597</v>
      </c>
    </row>
    <row r="6" spans="1:11" x14ac:dyDescent="0.2">
      <c r="A6" s="398" t="s">
        <v>595</v>
      </c>
      <c r="B6" s="398" t="s">
        <v>596</v>
      </c>
    </row>
    <row r="7" spans="1:11" x14ac:dyDescent="0.2">
      <c r="A7" s="386" t="s">
        <v>583</v>
      </c>
      <c r="B7" s="374">
        <v>13680</v>
      </c>
    </row>
    <row r="8" spans="1:11" x14ac:dyDescent="0.2">
      <c r="A8" s="123" t="s">
        <v>582</v>
      </c>
      <c r="B8" s="375">
        <f>130*100</f>
        <v>13000</v>
      </c>
    </row>
    <row r="9" spans="1:11" x14ac:dyDescent="0.2">
      <c r="A9" s="123" t="s">
        <v>588</v>
      </c>
      <c r="B9" s="374">
        <f>220*100</f>
        <v>22000</v>
      </c>
    </row>
    <row r="11" spans="1:11" ht="15.75" x14ac:dyDescent="0.25">
      <c r="A11" s="405" t="s">
        <v>592</v>
      </c>
      <c r="B11" s="385"/>
      <c r="C11" s="385"/>
      <c r="D11" s="385"/>
      <c r="E11" s="67"/>
      <c r="F11" s="67"/>
      <c r="G11" s="67"/>
    </row>
    <row r="12" spans="1:11" ht="22.5" customHeight="1" x14ac:dyDescent="0.25">
      <c r="A12" s="381" t="s">
        <v>515</v>
      </c>
      <c r="B12" s="381" t="s">
        <v>580</v>
      </c>
      <c r="C12" s="381" t="s">
        <v>593</v>
      </c>
      <c r="D12" s="381" t="s">
        <v>594</v>
      </c>
      <c r="E12" s="382"/>
      <c r="F12" s="383"/>
      <c r="G12" s="383"/>
    </row>
    <row r="13" spans="1:11" ht="18.75" customHeight="1" x14ac:dyDescent="0.25">
      <c r="A13" s="381" t="s">
        <v>581</v>
      </c>
      <c r="B13" s="381">
        <v>61.5</v>
      </c>
      <c r="C13" s="121">
        <f>B13/B3</f>
        <v>75</v>
      </c>
      <c r="D13" s="409">
        <f>B13/C3</f>
        <v>73.214285714285722</v>
      </c>
      <c r="E13" s="384"/>
      <c r="F13" s="383"/>
      <c r="G13" s="383"/>
    </row>
    <row r="14" spans="1:11" s="67" customFormat="1" ht="15.75" x14ac:dyDescent="0.25">
      <c r="A14" s="332"/>
      <c r="B14" s="333"/>
      <c r="C14" s="333"/>
      <c r="D14" s="333"/>
      <c r="E14" s="333"/>
      <c r="F14" s="333"/>
    </row>
    <row r="15" spans="1:11" x14ac:dyDescent="0.2">
      <c r="A15" s="405" t="s">
        <v>600</v>
      </c>
    </row>
    <row r="16" spans="1:11" ht="25.5" x14ac:dyDescent="0.2">
      <c r="A16" s="381"/>
      <c r="B16" s="381" t="s">
        <v>578</v>
      </c>
      <c r="C16" s="381" t="s">
        <v>103</v>
      </c>
      <c r="D16" s="381" t="s">
        <v>584</v>
      </c>
      <c r="E16" s="381" t="s">
        <v>651</v>
      </c>
      <c r="F16" s="381" t="s">
        <v>585</v>
      </c>
      <c r="G16" s="381" t="s">
        <v>586</v>
      </c>
      <c r="H16" s="381" t="s">
        <v>579</v>
      </c>
      <c r="I16" s="381" t="s">
        <v>587</v>
      </c>
    </row>
    <row r="17" spans="1:9" ht="12.75" customHeight="1" x14ac:dyDescent="0.2">
      <c r="A17" s="456" t="s">
        <v>591</v>
      </c>
      <c r="B17" s="457"/>
      <c r="C17" s="457"/>
      <c r="D17" s="457"/>
      <c r="E17" s="457"/>
      <c r="F17" s="457"/>
      <c r="G17" s="457"/>
      <c r="H17" s="457"/>
      <c r="I17" s="458"/>
    </row>
    <row r="18" spans="1:9" ht="12.75" customHeight="1" x14ac:dyDescent="0.2">
      <c r="A18" s="376" t="s">
        <v>583</v>
      </c>
      <c r="B18" s="381">
        <v>4.4000000000000004</v>
      </c>
      <c r="C18" s="381">
        <v>4.2</v>
      </c>
      <c r="D18" s="381">
        <v>4.0999999999999996</v>
      </c>
      <c r="E18" s="381">
        <v>3.6</v>
      </c>
      <c r="F18" s="381">
        <v>3.5</v>
      </c>
      <c r="G18" s="381">
        <v>3.5</v>
      </c>
      <c r="H18" s="381">
        <v>4.0999999999999996</v>
      </c>
      <c r="I18" s="381">
        <v>4.0999999999999996</v>
      </c>
    </row>
    <row r="19" spans="1:9" ht="12.75" customHeight="1" x14ac:dyDescent="0.2">
      <c r="A19" s="377" t="s">
        <v>582</v>
      </c>
      <c r="B19" s="381">
        <v>0.9</v>
      </c>
      <c r="C19" s="381">
        <v>0.9</v>
      </c>
      <c r="D19" s="381">
        <v>0.4</v>
      </c>
      <c r="E19" s="381">
        <v>0.4</v>
      </c>
      <c r="F19" s="381">
        <v>0.6</v>
      </c>
      <c r="G19" s="381">
        <v>1</v>
      </c>
      <c r="H19" s="381">
        <v>1</v>
      </c>
      <c r="I19" s="381">
        <v>0.7</v>
      </c>
    </row>
    <row r="20" spans="1:9" ht="12.75" customHeight="1" x14ac:dyDescent="0.2">
      <c r="A20" s="378" t="s">
        <v>588</v>
      </c>
      <c r="B20" s="381">
        <v>0</v>
      </c>
      <c r="C20" s="381">
        <v>0</v>
      </c>
      <c r="D20" s="381">
        <v>0.2</v>
      </c>
      <c r="E20" s="381">
        <v>0.02</v>
      </c>
      <c r="F20" s="381">
        <v>0.4</v>
      </c>
      <c r="G20" s="381">
        <v>0.1</v>
      </c>
      <c r="H20" s="381">
        <v>0.1</v>
      </c>
      <c r="I20" s="381">
        <v>0</v>
      </c>
    </row>
    <row r="21" spans="1:9" ht="13.5" customHeight="1" x14ac:dyDescent="0.2">
      <c r="A21" s="456" t="s">
        <v>601</v>
      </c>
      <c r="B21" s="457"/>
      <c r="C21" s="457"/>
      <c r="D21" s="457"/>
      <c r="E21" s="457"/>
      <c r="F21" s="457"/>
      <c r="G21" s="457"/>
      <c r="H21" s="457"/>
      <c r="I21" s="458"/>
    </row>
    <row r="22" spans="1:9" ht="12.75" customHeight="1" x14ac:dyDescent="0.2">
      <c r="A22" s="376" t="s">
        <v>583</v>
      </c>
      <c r="B22" s="381">
        <f>B18*'Исходные данные'!$B$59/100</f>
        <v>601.92000000000007</v>
      </c>
      <c r="C22" s="381">
        <f>C18*'Исходные данные'!$B$59/100</f>
        <v>574.55999999999995</v>
      </c>
      <c r="D22" s="381">
        <f>D18*'Исходные данные'!$B$59/100</f>
        <v>560.87999999999988</v>
      </c>
      <c r="E22" s="381">
        <f>E18*'Исходные данные'!$B$59/100</f>
        <v>492.48</v>
      </c>
      <c r="F22" s="381">
        <f>F18*'Исходные данные'!$B$59/100</f>
        <v>478.8</v>
      </c>
      <c r="G22" s="381">
        <f>G18*'Исходные данные'!$B$59/100</f>
        <v>478.8</v>
      </c>
      <c r="H22" s="381">
        <f>H18*'Исходные данные'!$B$59/100</f>
        <v>560.87999999999988</v>
      </c>
      <c r="I22" s="381">
        <f>I18*'Исходные данные'!$B$59/100</f>
        <v>560.87999999999988</v>
      </c>
    </row>
    <row r="23" spans="1:9" ht="12.75" customHeight="1" x14ac:dyDescent="0.2">
      <c r="A23" s="377" t="s">
        <v>582</v>
      </c>
      <c r="B23" s="373">
        <f>B19*'Исходные данные'!$B$60/100</f>
        <v>117</v>
      </c>
      <c r="C23" s="373">
        <f>C19*'Исходные данные'!$B$60/100</f>
        <v>117</v>
      </c>
      <c r="D23" s="373">
        <f>D19*'Исходные данные'!$B$60/100</f>
        <v>52</v>
      </c>
      <c r="E23" s="373">
        <f>E19*'Исходные данные'!$B$60/100</f>
        <v>52</v>
      </c>
      <c r="F23" s="373">
        <f>F19*'Исходные данные'!$B$60/100</f>
        <v>78</v>
      </c>
      <c r="G23" s="373">
        <f>G19*'Исходные данные'!$B$60/100</f>
        <v>130</v>
      </c>
      <c r="H23" s="373">
        <f>H19*'Исходные данные'!$B$60/100</f>
        <v>130</v>
      </c>
      <c r="I23" s="373">
        <f>I19*'Исходные данные'!$B$60/100</f>
        <v>91</v>
      </c>
    </row>
    <row r="24" spans="1:9" ht="12.75" customHeight="1" x14ac:dyDescent="0.2">
      <c r="A24" s="378" t="s">
        <v>588</v>
      </c>
      <c r="B24" s="373">
        <f>B20*'Исходные данные'!$B$61/100</f>
        <v>0</v>
      </c>
      <c r="C24" s="373">
        <f>C20*'Исходные данные'!$B$61/100</f>
        <v>0</v>
      </c>
      <c r="D24" s="373">
        <f>D20*'Исходные данные'!$B$61/100</f>
        <v>44</v>
      </c>
      <c r="E24" s="373">
        <f>E20*'Исходные данные'!$B$61/100</f>
        <v>4.4000000000000004</v>
      </c>
      <c r="F24" s="373">
        <f>F20*'Исходные данные'!$B$61/100</f>
        <v>88</v>
      </c>
      <c r="G24" s="373">
        <f>G20*'Исходные данные'!$B$61/100</f>
        <v>22</v>
      </c>
      <c r="H24" s="373">
        <f>H20*'Исходные данные'!$B$61/100</f>
        <v>22</v>
      </c>
      <c r="I24" s="373">
        <f>I20*'Исходные данные'!$B$61/100</f>
        <v>0</v>
      </c>
    </row>
    <row r="25" spans="1:9" ht="12.75" customHeight="1" x14ac:dyDescent="0.2">
      <c r="A25" s="379" t="s">
        <v>599</v>
      </c>
      <c r="B25" s="137">
        <f t="shared" ref="B25:I25" si="0">B22+B23+B24</f>
        <v>718.92000000000007</v>
      </c>
      <c r="C25" s="137">
        <f t="shared" si="0"/>
        <v>691.56</v>
      </c>
      <c r="D25" s="137">
        <f t="shared" si="0"/>
        <v>656.87999999999988</v>
      </c>
      <c r="E25" s="137">
        <f t="shared" si="0"/>
        <v>548.88</v>
      </c>
      <c r="F25" s="137">
        <f t="shared" si="0"/>
        <v>644.79999999999995</v>
      </c>
      <c r="G25" s="137">
        <f t="shared" si="0"/>
        <v>630.79999999999995</v>
      </c>
      <c r="H25" s="137">
        <f t="shared" si="0"/>
        <v>712.87999999999988</v>
      </c>
      <c r="I25" s="137">
        <f t="shared" si="0"/>
        <v>651.87999999999988</v>
      </c>
    </row>
    <row r="26" spans="1:9" ht="15.75" customHeight="1" x14ac:dyDescent="0.2">
      <c r="A26" s="456" t="s">
        <v>598</v>
      </c>
      <c r="B26" s="457"/>
      <c r="C26" s="457"/>
      <c r="D26" s="457"/>
      <c r="E26" s="457"/>
      <c r="F26" s="457"/>
      <c r="G26" s="457"/>
      <c r="H26" s="457"/>
      <c r="I26" s="458"/>
    </row>
    <row r="27" spans="1:9" ht="12.75" customHeight="1" x14ac:dyDescent="0.2">
      <c r="A27" s="381" t="s">
        <v>589</v>
      </c>
      <c r="B27" s="373">
        <f>B25+'Исходные данные'!$C$65*100</f>
        <v>9865.2614634146339</v>
      </c>
      <c r="C27" s="373">
        <f>C25+'Исходные данные'!$C$65*100</f>
        <v>9837.9014634146333</v>
      </c>
      <c r="D27" s="373">
        <f>D25+'Исходные данные'!$C$65*100</f>
        <v>9803.221463414633</v>
      </c>
      <c r="E27" s="373">
        <f>E25+'Исходные данные'!$C$65*100</f>
        <v>9695.221463414633</v>
      </c>
      <c r="F27" s="373">
        <f>F25+'Исходные данные'!$C$65*100</f>
        <v>9791.1414634146331</v>
      </c>
      <c r="G27" s="373">
        <f>G25+'Исходные данные'!$C$65*100</f>
        <v>9777.1414634146331</v>
      </c>
      <c r="H27" s="373">
        <f>H25+'Исходные данные'!$C$65*100</f>
        <v>9859.221463414633</v>
      </c>
      <c r="I27" s="373">
        <f>I25+'Исходные данные'!$C$65*100</f>
        <v>9798.221463414633</v>
      </c>
    </row>
    <row r="28" spans="1:9" x14ac:dyDescent="0.2">
      <c r="A28" s="381" t="s">
        <v>590</v>
      </c>
      <c r="B28" s="373">
        <f>B25+'Исходные данные'!$D$65*100</f>
        <v>9647.4914285714294</v>
      </c>
      <c r="C28" s="373">
        <f>C25+'Исходные данные'!$D$65*100</f>
        <v>9620.1314285714288</v>
      </c>
      <c r="D28" s="373">
        <f>D25+'Исходные данные'!$D$65*100</f>
        <v>9585.4514285714286</v>
      </c>
      <c r="E28" s="373">
        <f>E25+'Исходные данные'!$D$65*100</f>
        <v>9477.4514285714286</v>
      </c>
      <c r="F28" s="373">
        <f>F25+'Исходные данные'!$D$65*100</f>
        <v>9573.3714285714286</v>
      </c>
      <c r="G28" s="373">
        <f>G25+'Исходные данные'!$D$65*100</f>
        <v>9559.3714285714286</v>
      </c>
      <c r="H28" s="373">
        <f>H25+'Исходные данные'!$D$65*100</f>
        <v>9641.4514285714286</v>
      </c>
      <c r="I28" s="373">
        <f>I25+'Исходные данные'!$D$65*100</f>
        <v>9580.4514285714286</v>
      </c>
    </row>
    <row r="29" spans="1:9" s="67" customFormat="1" ht="15.75" x14ac:dyDescent="0.25">
      <c r="A29" s="332"/>
      <c r="B29" s="333"/>
      <c r="C29" s="333"/>
      <c r="D29" s="333"/>
      <c r="E29" s="333"/>
      <c r="F29" s="333"/>
    </row>
    <row r="30" spans="1:9" s="67" customFormat="1" ht="15.75" customHeight="1" x14ac:dyDescent="0.25">
      <c r="A30" s="405" t="s">
        <v>649</v>
      </c>
      <c r="B30"/>
      <c r="C30"/>
      <c r="D30"/>
      <c r="E30"/>
      <c r="F30"/>
      <c r="G30"/>
      <c r="H30"/>
    </row>
    <row r="31" spans="1:9" s="67" customFormat="1" ht="26.25" customHeight="1" x14ac:dyDescent="0.25">
      <c r="A31" s="381"/>
      <c r="B31" s="381" t="s">
        <v>650</v>
      </c>
      <c r="C31" s="381" t="s">
        <v>585</v>
      </c>
      <c r="D31" s="381" t="s">
        <v>578</v>
      </c>
      <c r="E31" s="381" t="s">
        <v>586</v>
      </c>
      <c r="F31" s="381" t="s">
        <v>579</v>
      </c>
      <c r="G31" s="381" t="s">
        <v>587</v>
      </c>
      <c r="H31" s="381" t="s">
        <v>138</v>
      </c>
    </row>
    <row r="32" spans="1:9" s="67" customFormat="1" ht="15.75" x14ac:dyDescent="0.25">
      <c r="A32" s="389" t="s">
        <v>602</v>
      </c>
      <c r="B32" s="392">
        <v>99.992314269119987</v>
      </c>
      <c r="C32" s="392">
        <v>101.43277978079999</v>
      </c>
      <c r="D32" s="392">
        <v>134.08333137888002</v>
      </c>
      <c r="E32" s="392">
        <v>98.911965135359992</v>
      </c>
      <c r="F32" s="392">
        <v>116.4376288608</v>
      </c>
      <c r="G32" s="392">
        <v>156.29050801727996</v>
      </c>
      <c r="H32" s="392">
        <v>180.53834413055998</v>
      </c>
    </row>
    <row r="33" spans="1:11" s="67" customFormat="1" ht="15.75" x14ac:dyDescent="0.25">
      <c r="A33" s="387" t="s">
        <v>603</v>
      </c>
      <c r="B33" s="373"/>
      <c r="C33" s="373"/>
      <c r="D33" s="373"/>
      <c r="E33" s="373"/>
      <c r="F33" s="373"/>
      <c r="G33" s="373"/>
      <c r="H33" s="373"/>
    </row>
    <row r="34" spans="1:11" s="67" customFormat="1" ht="15.75" x14ac:dyDescent="0.25">
      <c r="A34" s="388" t="s">
        <v>604</v>
      </c>
      <c r="B34" s="373">
        <v>17.28558614016</v>
      </c>
      <c r="C34" s="373">
        <v>15.725081835839996</v>
      </c>
      <c r="D34" s="373">
        <v>23.767680942719998</v>
      </c>
      <c r="E34" s="373">
        <v>13.804461153599998</v>
      </c>
      <c r="F34" s="373">
        <v>17.525663725439994</v>
      </c>
      <c r="G34" s="373">
        <v>26.76865075872</v>
      </c>
      <c r="H34" s="373">
        <v>24.007758527999997</v>
      </c>
    </row>
    <row r="35" spans="1:11" s="67" customFormat="1" ht="23.25" customHeight="1" x14ac:dyDescent="0.25">
      <c r="A35" s="388" t="s">
        <v>605</v>
      </c>
      <c r="B35" s="373">
        <v>69.62249973119998</v>
      </c>
      <c r="C35" s="373">
        <v>72.02327558399999</v>
      </c>
      <c r="D35" s="373">
        <v>93.630258259200019</v>
      </c>
      <c r="E35" s="373">
        <v>72.02327558399999</v>
      </c>
      <c r="F35" s="373">
        <v>84.027154848000009</v>
      </c>
      <c r="G35" s="373">
        <v>110.43568922879999</v>
      </c>
      <c r="H35" s="373">
        <v>132.04267190399997</v>
      </c>
    </row>
    <row r="36" spans="1:11" s="67" customFormat="1" ht="15.75" x14ac:dyDescent="0.25">
      <c r="A36" s="388" t="s">
        <v>606</v>
      </c>
      <c r="B36" s="373">
        <v>13.08422839776</v>
      </c>
      <c r="C36" s="373">
        <v>13.684422360959999</v>
      </c>
      <c r="D36" s="373">
        <v>16.685392176960001</v>
      </c>
      <c r="E36" s="373">
        <v>13.08422839776</v>
      </c>
      <c r="F36" s="373">
        <v>14.884810287360001</v>
      </c>
      <c r="G36" s="373">
        <v>19.08616802976</v>
      </c>
      <c r="H36" s="373">
        <v>24.487913698559996</v>
      </c>
    </row>
    <row r="37" spans="1:11" s="67" customFormat="1" ht="19.5" customHeight="1" x14ac:dyDescent="0.25">
      <c r="A37" s="390" t="s">
        <v>607</v>
      </c>
      <c r="B37" s="392">
        <v>8.0425991068799991</v>
      </c>
      <c r="C37" s="392">
        <v>11.283646508159999</v>
      </c>
      <c r="D37" s="392">
        <v>15.00484908</v>
      </c>
      <c r="E37" s="392">
        <v>16.685392176959997</v>
      </c>
      <c r="F37" s="392">
        <v>19.206206822399999</v>
      </c>
      <c r="G37" s="392">
        <v>22.927409394239998</v>
      </c>
      <c r="H37" s="392">
        <v>25.32818524704</v>
      </c>
    </row>
    <row r="38" spans="1:11" s="67" customFormat="1" ht="15.75" x14ac:dyDescent="0.25">
      <c r="A38" s="387" t="s">
        <v>603</v>
      </c>
      <c r="B38" s="373"/>
      <c r="C38" s="373"/>
      <c r="D38" s="373"/>
      <c r="E38" s="373"/>
      <c r="F38" s="373"/>
      <c r="G38" s="373"/>
      <c r="H38" s="373"/>
    </row>
    <row r="39" spans="1:11" s="67" customFormat="1" ht="15.75" x14ac:dyDescent="0.25">
      <c r="A39" s="388" t="s">
        <v>608</v>
      </c>
      <c r="B39" s="373">
        <v>2.0406594748799995</v>
      </c>
      <c r="C39" s="373">
        <v>2.2807370601599994</v>
      </c>
      <c r="D39" s="373">
        <v>3.0009698159999996</v>
      </c>
      <c r="E39" s="373">
        <v>2.2807370601599994</v>
      </c>
      <c r="F39" s="373">
        <v>1.8005818895999999</v>
      </c>
      <c r="G39" s="373">
        <v>2.5208146454400007</v>
      </c>
      <c r="H39" s="373">
        <v>2.5208146454400007</v>
      </c>
    </row>
    <row r="40" spans="1:11" s="67" customFormat="1" ht="18.75" customHeight="1" x14ac:dyDescent="0.25">
      <c r="A40" s="388" t="s">
        <v>605</v>
      </c>
      <c r="B40" s="373">
        <v>4.8015517055999997</v>
      </c>
      <c r="C40" s="373">
        <v>7.2023275583999995</v>
      </c>
      <c r="D40" s="373">
        <v>9.6031034111999993</v>
      </c>
      <c r="E40" s="373">
        <v>12.003879263999998</v>
      </c>
      <c r="F40" s="373">
        <v>14.404655116799999</v>
      </c>
      <c r="G40" s="373">
        <v>16.805430969599996</v>
      </c>
      <c r="H40" s="373">
        <v>19.206206822399999</v>
      </c>
    </row>
    <row r="41" spans="1:11" s="67" customFormat="1" ht="15.75" x14ac:dyDescent="0.25">
      <c r="A41" s="388" t="s">
        <v>606</v>
      </c>
      <c r="B41" s="373">
        <v>1.2003879263999999</v>
      </c>
      <c r="C41" s="373">
        <v>1.8005818895999999</v>
      </c>
      <c r="D41" s="373">
        <v>2.4007758527999998</v>
      </c>
      <c r="E41" s="373">
        <v>2.4007758527999998</v>
      </c>
      <c r="F41" s="373">
        <v>3.0009698159999996</v>
      </c>
      <c r="G41" s="373">
        <v>3.6011637791999997</v>
      </c>
      <c r="H41" s="373">
        <v>3.6011637791999997</v>
      </c>
    </row>
    <row r="42" spans="1:11" s="67" customFormat="1" ht="16.5" customHeight="1" x14ac:dyDescent="0.25">
      <c r="A42" s="391" t="s">
        <v>609</v>
      </c>
      <c r="B42" s="392">
        <v>11.043568922879997</v>
      </c>
      <c r="C42" s="392">
        <v>8.0425991068799991</v>
      </c>
      <c r="D42" s="392">
        <v>0</v>
      </c>
      <c r="E42" s="392">
        <v>5.7618620467199984</v>
      </c>
      <c r="F42" s="392">
        <v>5.5217844614399985</v>
      </c>
      <c r="G42" s="392">
        <v>3.4811249865599989</v>
      </c>
      <c r="H42" s="392">
        <v>5.5217844614399985</v>
      </c>
    </row>
    <row r="43" spans="1:11" s="67" customFormat="1" ht="15.75" customHeight="1" x14ac:dyDescent="0.25">
      <c r="A43" s="393" t="s">
        <v>599</v>
      </c>
      <c r="B43" s="392">
        <v>119.07848229887999</v>
      </c>
      <c r="C43" s="392">
        <v>120.75902539584</v>
      </c>
      <c r="D43" s="392">
        <v>149.08818045888</v>
      </c>
      <c r="E43" s="392">
        <v>121.35921935903998</v>
      </c>
      <c r="F43" s="392">
        <v>141.16562014464</v>
      </c>
      <c r="G43" s="392">
        <v>182.69904239807994</v>
      </c>
      <c r="H43" s="392">
        <v>211.38831383903999</v>
      </c>
    </row>
    <row r="44" spans="1:11" s="67" customFormat="1" ht="15.75" x14ac:dyDescent="0.25">
      <c r="A44" s="403"/>
      <c r="B44" s="404"/>
      <c r="C44" s="404"/>
      <c r="D44" s="404"/>
      <c r="E44" s="404"/>
      <c r="F44" s="404"/>
      <c r="G44" s="404"/>
      <c r="H44" s="404"/>
    </row>
    <row r="45" spans="1:11" ht="15.75" x14ac:dyDescent="0.25">
      <c r="A45" s="405" t="s">
        <v>622</v>
      </c>
      <c r="J45" s="67"/>
      <c r="K45" s="67"/>
    </row>
    <row r="46" spans="1:11" ht="51" x14ac:dyDescent="0.25">
      <c r="A46" s="396" t="s">
        <v>181</v>
      </c>
      <c r="B46" s="396" t="s">
        <v>613</v>
      </c>
      <c r="J46" s="67"/>
      <c r="K46" s="67"/>
    </row>
    <row r="47" spans="1:11" ht="15.75" x14ac:dyDescent="0.25">
      <c r="A47" s="460" t="s">
        <v>614</v>
      </c>
      <c r="B47" s="460"/>
      <c r="J47" s="67"/>
      <c r="K47" s="67"/>
    </row>
    <row r="48" spans="1:11" ht="15.75" x14ac:dyDescent="0.25">
      <c r="A48" s="397" t="s">
        <v>615</v>
      </c>
      <c r="B48" s="396">
        <v>7.2</v>
      </c>
      <c r="C48" s="408"/>
      <c r="J48" s="67"/>
      <c r="K48" s="67"/>
    </row>
    <row r="49" spans="1:11" ht="15.75" x14ac:dyDescent="0.25">
      <c r="A49" s="460" t="s">
        <v>616</v>
      </c>
      <c r="B49" s="460"/>
      <c r="C49" s="408"/>
      <c r="J49" s="67"/>
      <c r="K49" s="67"/>
    </row>
    <row r="50" spans="1:11" ht="15.75" x14ac:dyDescent="0.25">
      <c r="A50" s="397" t="s">
        <v>617</v>
      </c>
      <c r="B50" s="396">
        <v>2.1</v>
      </c>
      <c r="C50" s="408"/>
      <c r="J50" s="67"/>
      <c r="K50" s="67"/>
    </row>
    <row r="51" spans="1:11" ht="15.75" x14ac:dyDescent="0.25">
      <c r="A51" s="397" t="s">
        <v>618</v>
      </c>
      <c r="B51" s="396">
        <v>4.9000000000000004</v>
      </c>
      <c r="C51" s="408"/>
      <c r="J51" s="67"/>
      <c r="K51" s="67"/>
    </row>
    <row r="52" spans="1:11" ht="15.75" x14ac:dyDescent="0.25">
      <c r="A52" s="397" t="s">
        <v>105</v>
      </c>
      <c r="B52" s="396">
        <v>5.0999999999999996</v>
      </c>
      <c r="C52" s="408"/>
      <c r="J52" s="67"/>
      <c r="K52" s="67"/>
    </row>
    <row r="53" spans="1:11" ht="15.75" x14ac:dyDescent="0.25">
      <c r="A53" s="397" t="s">
        <v>138</v>
      </c>
      <c r="B53" s="396">
        <v>1.5</v>
      </c>
      <c r="C53" s="408"/>
      <c r="J53" s="67"/>
      <c r="K53" s="67"/>
    </row>
    <row r="54" spans="1:11" x14ac:dyDescent="0.2">
      <c r="A54" s="397" t="s">
        <v>619</v>
      </c>
      <c r="B54" s="396">
        <v>2.1</v>
      </c>
      <c r="C54" s="408"/>
    </row>
    <row r="55" spans="1:11" x14ac:dyDescent="0.2">
      <c r="A55" s="397" t="s">
        <v>620</v>
      </c>
      <c r="B55" s="396">
        <v>2.1</v>
      </c>
      <c r="C55" s="408"/>
    </row>
    <row r="56" spans="1:11" x14ac:dyDescent="0.2">
      <c r="A56" s="397" t="s">
        <v>621</v>
      </c>
      <c r="B56" s="396">
        <v>11.6</v>
      </c>
      <c r="C56" s="408"/>
    </row>
    <row r="57" spans="1:11" x14ac:dyDescent="0.2">
      <c r="A57" s="397" t="s">
        <v>182</v>
      </c>
      <c r="B57" s="396">
        <v>14.7</v>
      </c>
      <c r="C57" s="408"/>
    </row>
    <row r="58" spans="1:11" x14ac:dyDescent="0.2">
      <c r="A58" s="397" t="s">
        <v>183</v>
      </c>
      <c r="B58" s="396">
        <v>15</v>
      </c>
      <c r="C58" s="408"/>
    </row>
    <row r="59" spans="1:11" x14ac:dyDescent="0.2">
      <c r="A59" s="397" t="s">
        <v>630</v>
      </c>
      <c r="B59" s="402">
        <v>2.7</v>
      </c>
    </row>
    <row r="60" spans="1:11" x14ac:dyDescent="0.2">
      <c r="A60" s="443"/>
      <c r="B60" s="444"/>
    </row>
    <row r="61" spans="1:11" x14ac:dyDescent="0.2">
      <c r="A61" s="405" t="s">
        <v>631</v>
      </c>
    </row>
    <row r="62" spans="1:11" x14ac:dyDescent="0.2">
      <c r="A62" s="399"/>
      <c r="B62" s="461" t="s">
        <v>624</v>
      </c>
      <c r="C62" s="461"/>
      <c r="D62" s="461"/>
      <c r="E62" s="461"/>
      <c r="F62" s="461"/>
      <c r="G62" s="461"/>
      <c r="H62" s="461"/>
      <c r="I62" s="461"/>
      <c r="J62" s="461"/>
      <c r="K62" s="461"/>
    </row>
    <row r="63" spans="1:11" x14ac:dyDescent="0.2">
      <c r="A63" s="400" t="s">
        <v>623</v>
      </c>
      <c r="B63" s="396">
        <v>1</v>
      </c>
      <c r="C63" s="396">
        <v>2</v>
      </c>
      <c r="D63" s="396">
        <v>3</v>
      </c>
      <c r="E63" s="396">
        <v>4</v>
      </c>
      <c r="F63" s="396">
        <v>5</v>
      </c>
      <c r="G63" s="396">
        <v>6</v>
      </c>
      <c r="H63" s="396">
        <v>7</v>
      </c>
      <c r="I63" s="396">
        <v>8</v>
      </c>
      <c r="J63" s="396">
        <v>9</v>
      </c>
      <c r="K63" s="396">
        <v>10</v>
      </c>
    </row>
    <row r="64" spans="1:11" x14ac:dyDescent="0.2">
      <c r="A64" s="396" t="s">
        <v>625</v>
      </c>
      <c r="B64" s="396"/>
      <c r="C64" s="396"/>
      <c r="D64" s="396"/>
      <c r="E64" s="396"/>
      <c r="F64" s="396"/>
      <c r="G64" s="396"/>
      <c r="H64" s="396"/>
      <c r="I64" s="396"/>
      <c r="J64" s="396"/>
      <c r="K64" s="396"/>
    </row>
    <row r="65" spans="1:11" x14ac:dyDescent="0.2">
      <c r="A65" s="397" t="s">
        <v>626</v>
      </c>
      <c r="B65" s="396">
        <v>1.2</v>
      </c>
      <c r="C65" s="396">
        <v>1.2</v>
      </c>
      <c r="D65" s="396">
        <v>1.1399999999999999</v>
      </c>
      <c r="E65" s="396">
        <v>1.08</v>
      </c>
      <c r="F65" s="396">
        <v>1.03</v>
      </c>
      <c r="G65" s="396">
        <v>0.96</v>
      </c>
      <c r="H65" s="396">
        <v>0.92</v>
      </c>
      <c r="I65" s="396">
        <v>0.88</v>
      </c>
      <c r="J65" s="396">
        <v>0.84</v>
      </c>
      <c r="K65" s="396">
        <v>0.75</v>
      </c>
    </row>
    <row r="66" spans="1:11" x14ac:dyDescent="0.2">
      <c r="A66" s="397" t="s">
        <v>627</v>
      </c>
      <c r="B66" s="396">
        <v>1.1599999999999999</v>
      </c>
      <c r="C66" s="396">
        <v>1.1499999999999999</v>
      </c>
      <c r="D66" s="396" t="s">
        <v>628</v>
      </c>
      <c r="E66" s="396">
        <v>1.06</v>
      </c>
      <c r="F66" s="396">
        <v>1.03</v>
      </c>
      <c r="G66" s="396">
        <v>1</v>
      </c>
      <c r="H66" s="396">
        <v>0.96</v>
      </c>
      <c r="I66" s="396">
        <v>0.92</v>
      </c>
      <c r="J66" s="396">
        <v>0.84</v>
      </c>
      <c r="K66" s="396">
        <v>0.73</v>
      </c>
    </row>
    <row r="67" spans="1:11" x14ac:dyDescent="0.2">
      <c r="A67" s="397" t="s">
        <v>629</v>
      </c>
      <c r="B67" s="396">
        <v>1.1200000000000001</v>
      </c>
      <c r="C67" s="396">
        <v>1.1000000000000001</v>
      </c>
      <c r="D67" s="396">
        <v>1.07</v>
      </c>
      <c r="E67" s="396">
        <v>1.04</v>
      </c>
      <c r="F67" s="396">
        <v>1</v>
      </c>
      <c r="G67" s="396">
        <v>0.95</v>
      </c>
      <c r="H67" s="396">
        <v>0.9</v>
      </c>
      <c r="I67" s="396">
        <v>0.82</v>
      </c>
      <c r="J67" s="396"/>
      <c r="K67" s="396"/>
    </row>
    <row r="68" spans="1:11" x14ac:dyDescent="0.2">
      <c r="A68" s="397" t="s">
        <v>630</v>
      </c>
      <c r="B68" s="398">
        <v>1.1399999999999999</v>
      </c>
      <c r="C68" s="398">
        <v>1.1000000000000001</v>
      </c>
      <c r="D68" s="398">
        <v>1</v>
      </c>
      <c r="E68" s="398">
        <v>1.03</v>
      </c>
      <c r="F68" s="398">
        <v>1</v>
      </c>
      <c r="G68" s="398">
        <v>0.96</v>
      </c>
      <c r="H68" s="398">
        <v>0.9</v>
      </c>
      <c r="I68" s="398">
        <v>0.82</v>
      </c>
      <c r="J68" s="398"/>
      <c r="K68" s="398"/>
    </row>
    <row r="69" spans="1:11" s="67" customFormat="1" ht="15.75" x14ac:dyDescent="0.25">
      <c r="A69" s="403"/>
      <c r="B69" s="404"/>
      <c r="C69" s="404"/>
      <c r="D69" s="404"/>
      <c r="E69" s="404"/>
      <c r="F69" s="404"/>
      <c r="G69" s="404"/>
      <c r="H69" s="404"/>
      <c r="J69" s="403"/>
      <c r="K69" s="404"/>
    </row>
    <row r="70" spans="1:11" x14ac:dyDescent="0.2">
      <c r="A70" s="406" t="s">
        <v>648</v>
      </c>
    </row>
    <row r="71" spans="1:11" ht="33" customHeight="1" x14ac:dyDescent="0.2">
      <c r="A71" s="396" t="s">
        <v>647</v>
      </c>
      <c r="B71" s="400" t="s">
        <v>182</v>
      </c>
      <c r="C71" s="400" t="s">
        <v>621</v>
      </c>
      <c r="D71" s="400" t="s">
        <v>103</v>
      </c>
      <c r="E71" s="400" t="s">
        <v>618</v>
      </c>
      <c r="F71" s="400" t="s">
        <v>579</v>
      </c>
      <c r="G71" s="400" t="s">
        <v>587</v>
      </c>
      <c r="H71" s="400" t="s">
        <v>632</v>
      </c>
      <c r="I71" s="400" t="s">
        <v>633</v>
      </c>
    </row>
    <row r="72" spans="1:11" x14ac:dyDescent="0.2">
      <c r="A72" s="396" t="s">
        <v>634</v>
      </c>
      <c r="B72" s="396">
        <v>0.5</v>
      </c>
      <c r="C72" s="396">
        <v>0.36</v>
      </c>
      <c r="D72" s="396">
        <v>0.54</v>
      </c>
      <c r="E72" s="396">
        <v>0.62</v>
      </c>
      <c r="F72" s="396">
        <v>0.62</v>
      </c>
      <c r="G72" s="396">
        <v>0.48</v>
      </c>
      <c r="H72" s="396">
        <v>0.43</v>
      </c>
      <c r="I72" s="396">
        <v>0.66</v>
      </c>
    </row>
    <row r="73" spans="1:11" x14ac:dyDescent="0.2">
      <c r="A73" s="396" t="s">
        <v>635</v>
      </c>
      <c r="B73" s="396">
        <v>0.61</v>
      </c>
      <c r="C73" s="396">
        <v>0.5</v>
      </c>
      <c r="D73" s="396">
        <v>0.67</v>
      </c>
      <c r="E73" s="396">
        <v>0.73</v>
      </c>
      <c r="F73" s="396">
        <v>0.71</v>
      </c>
      <c r="G73" s="396">
        <v>0.62</v>
      </c>
      <c r="H73" s="396">
        <v>0.57999999999999996</v>
      </c>
      <c r="I73" s="396">
        <v>0.74</v>
      </c>
    </row>
    <row r="74" spans="1:11" x14ac:dyDescent="0.2">
      <c r="A74" s="396" t="s">
        <v>636</v>
      </c>
      <c r="B74" s="396">
        <v>0.75</v>
      </c>
      <c r="C74" s="396">
        <v>0.69</v>
      </c>
      <c r="D74" s="396">
        <v>0.79</v>
      </c>
      <c r="E74" s="396">
        <v>0.83</v>
      </c>
      <c r="F74" s="396">
        <v>0.81</v>
      </c>
      <c r="G74" s="396">
        <v>0.74</v>
      </c>
      <c r="H74" s="396">
        <v>0.72</v>
      </c>
      <c r="I74" s="396">
        <v>0.85</v>
      </c>
    </row>
    <row r="75" spans="1:11" x14ac:dyDescent="0.2">
      <c r="A75" s="396" t="s">
        <v>637</v>
      </c>
      <c r="B75" s="396">
        <v>0.88</v>
      </c>
      <c r="C75" s="396">
        <v>0.86</v>
      </c>
      <c r="D75" s="396">
        <v>0.89</v>
      </c>
      <c r="E75" s="396">
        <v>0.92</v>
      </c>
      <c r="F75" s="396">
        <v>0.92</v>
      </c>
      <c r="G75" s="396">
        <v>0.88</v>
      </c>
      <c r="H75" s="396">
        <v>0.86</v>
      </c>
      <c r="I75" s="396">
        <v>0.93</v>
      </c>
    </row>
    <row r="76" spans="1:11" x14ac:dyDescent="0.2">
      <c r="A76" s="396" t="s">
        <v>638</v>
      </c>
      <c r="B76" s="396">
        <v>1</v>
      </c>
      <c r="C76" s="396">
        <v>1</v>
      </c>
      <c r="D76" s="396">
        <v>1</v>
      </c>
      <c r="E76" s="396">
        <v>1</v>
      </c>
      <c r="F76" s="396">
        <v>1</v>
      </c>
      <c r="G76" s="396">
        <v>1</v>
      </c>
      <c r="H76" s="396">
        <v>1</v>
      </c>
      <c r="I76" s="401">
        <v>1</v>
      </c>
    </row>
    <row r="77" spans="1:11" x14ac:dyDescent="0.2">
      <c r="A77" s="396" t="s">
        <v>639</v>
      </c>
      <c r="B77" s="396">
        <v>1.1000000000000001</v>
      </c>
      <c r="C77" s="396">
        <v>1.08</v>
      </c>
      <c r="D77" s="396">
        <v>1.07</v>
      </c>
      <c r="E77" s="396">
        <v>1.08</v>
      </c>
      <c r="F77" s="396">
        <v>1.08</v>
      </c>
      <c r="G77" s="396">
        <v>1.1100000000000001</v>
      </c>
      <c r="H77" s="396">
        <v>1.1299999999999999</v>
      </c>
      <c r="I77" s="396">
        <v>1.08</v>
      </c>
    </row>
    <row r="78" spans="1:11" x14ac:dyDescent="0.2">
      <c r="A78" s="396" t="s">
        <v>640</v>
      </c>
      <c r="B78" s="396">
        <v>1.18</v>
      </c>
      <c r="C78" s="396">
        <v>1.1599999999999999</v>
      </c>
      <c r="D78" s="396">
        <v>1.1399999999999999</v>
      </c>
      <c r="E78" s="396">
        <v>1.1499999999999999</v>
      </c>
      <c r="F78" s="396">
        <v>1.1200000000000001</v>
      </c>
      <c r="G78" s="396">
        <v>1.22</v>
      </c>
      <c r="H78" s="396">
        <v>1.25</v>
      </c>
      <c r="I78" s="396">
        <v>1.1299999999999999</v>
      </c>
    </row>
    <row r="79" spans="1:11" x14ac:dyDescent="0.2">
      <c r="A79" s="396" t="s">
        <v>641</v>
      </c>
      <c r="B79" s="396">
        <v>1.24</v>
      </c>
      <c r="C79" s="396">
        <v>1.23</v>
      </c>
      <c r="D79" s="396">
        <v>1.19</v>
      </c>
      <c r="E79" s="396">
        <v>1.21</v>
      </c>
      <c r="F79" s="396">
        <v>1.17</v>
      </c>
      <c r="G79" s="396">
        <v>1.31</v>
      </c>
      <c r="H79" s="396">
        <v>1.32</v>
      </c>
      <c r="I79" s="396">
        <v>1.18</v>
      </c>
    </row>
    <row r="80" spans="1:11" x14ac:dyDescent="0.2">
      <c r="A80" s="396" t="s">
        <v>642</v>
      </c>
      <c r="B80" s="396">
        <v>1.28</v>
      </c>
      <c r="C80" s="396">
        <v>1.26</v>
      </c>
      <c r="D80" s="396">
        <v>1.22</v>
      </c>
      <c r="E80" s="396">
        <v>1.26</v>
      </c>
      <c r="F80" s="396">
        <v>1.2</v>
      </c>
      <c r="G80" s="396">
        <v>1.39</v>
      </c>
      <c r="H80" s="396">
        <v>1.39</v>
      </c>
      <c r="I80" s="396">
        <v>1.22</v>
      </c>
    </row>
    <row r="81" spans="1:9" x14ac:dyDescent="0.2">
      <c r="A81" s="396" t="s">
        <v>643</v>
      </c>
      <c r="B81" s="396">
        <v>1.32</v>
      </c>
      <c r="C81" s="396">
        <v>1.3</v>
      </c>
      <c r="D81" s="396">
        <v>1.25</v>
      </c>
      <c r="E81" s="396">
        <v>1.3</v>
      </c>
      <c r="F81" s="396">
        <v>1.22</v>
      </c>
      <c r="G81" s="396" t="s">
        <v>644</v>
      </c>
      <c r="H81" s="396">
        <v>1.43</v>
      </c>
      <c r="I81" s="396">
        <v>1.26</v>
      </c>
    </row>
    <row r="82" spans="1:9" x14ac:dyDescent="0.2">
      <c r="A82" s="396" t="s">
        <v>645</v>
      </c>
      <c r="B82" s="396">
        <v>1.35</v>
      </c>
      <c r="C82" s="396" t="s">
        <v>644</v>
      </c>
      <c r="D82" s="396">
        <v>1.27</v>
      </c>
      <c r="E82" s="396" t="s">
        <v>644</v>
      </c>
      <c r="F82" s="396">
        <v>1.24</v>
      </c>
      <c r="G82" s="396" t="s">
        <v>644</v>
      </c>
      <c r="H82" s="396" t="s">
        <v>644</v>
      </c>
      <c r="I82" s="396" t="s">
        <v>644</v>
      </c>
    </row>
    <row r="83" spans="1:9" x14ac:dyDescent="0.2">
      <c r="A83" s="396" t="s">
        <v>646</v>
      </c>
      <c r="B83" s="396" t="s">
        <v>644</v>
      </c>
      <c r="C83" s="396" t="s">
        <v>644</v>
      </c>
      <c r="D83" s="396">
        <v>1.29</v>
      </c>
      <c r="E83" s="396" t="s">
        <v>644</v>
      </c>
      <c r="F83" s="396">
        <v>1.26</v>
      </c>
      <c r="G83" s="396" t="s">
        <v>644</v>
      </c>
      <c r="H83" s="396" t="s">
        <v>644</v>
      </c>
      <c r="I83" s="396" t="s">
        <v>644</v>
      </c>
    </row>
  </sheetData>
  <mergeCells count="7">
    <mergeCell ref="B62:K62"/>
    <mergeCell ref="A1:C1"/>
    <mergeCell ref="A17:I17"/>
    <mergeCell ref="A21:I21"/>
    <mergeCell ref="A26:I26"/>
    <mergeCell ref="A47:B47"/>
    <mergeCell ref="A49:B4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90" zoomScaleNormal="100" zoomScaleSheetLayoutView="90" workbookViewId="0">
      <selection activeCell="B19" sqref="B19"/>
    </sheetView>
  </sheetViews>
  <sheetFormatPr defaultRowHeight="15.75" x14ac:dyDescent="0.25"/>
  <cols>
    <col min="1" max="1" width="44.85546875" style="67" customWidth="1"/>
    <col min="2" max="2" width="22.140625" style="67" customWidth="1"/>
    <col min="3" max="3" width="20" style="67" customWidth="1"/>
    <col min="4" max="4" width="9.140625" style="67"/>
    <col min="5" max="5" width="16.42578125" style="67" customWidth="1"/>
    <col min="6" max="6" width="14.5703125" style="67" bestFit="1" customWidth="1"/>
    <col min="7" max="7" width="12.28515625" style="67" customWidth="1"/>
    <col min="8" max="9" width="9.140625" style="67" hidden="1" customWidth="1"/>
    <col min="10" max="16384" width="9.140625" style="67"/>
  </cols>
  <sheetData>
    <row r="1" spans="1:3" x14ac:dyDescent="0.25">
      <c r="A1" s="452" t="s">
        <v>662</v>
      </c>
      <c r="B1" s="452"/>
      <c r="C1" s="452"/>
    </row>
    <row r="2" spans="1:3" s="342" customFormat="1" ht="15.75" customHeight="1" x14ac:dyDescent="0.25">
      <c r="A2" s="339" t="s">
        <v>511</v>
      </c>
      <c r="B2" s="340" t="s">
        <v>188</v>
      </c>
      <c r="C2" s="341" t="s">
        <v>512</v>
      </c>
    </row>
    <row r="3" spans="1:3" x14ac:dyDescent="0.25">
      <c r="A3" s="336" t="s">
        <v>571</v>
      </c>
      <c r="B3" s="208">
        <v>1.5</v>
      </c>
      <c r="C3" s="338">
        <v>40000</v>
      </c>
    </row>
    <row r="4" spans="1:3" ht="31.5" x14ac:dyDescent="0.25">
      <c r="A4" s="336" t="s">
        <v>575</v>
      </c>
      <c r="B4" s="208">
        <v>20</v>
      </c>
      <c r="C4" s="338">
        <v>1000</v>
      </c>
    </row>
    <row r="5" spans="1:3" ht="31.5" x14ac:dyDescent="0.25">
      <c r="A5" s="336" t="s">
        <v>513</v>
      </c>
      <c r="B5" s="208">
        <v>2.5</v>
      </c>
      <c r="C5" s="338">
        <v>33700</v>
      </c>
    </row>
    <row r="6" spans="1:3" x14ac:dyDescent="0.25">
      <c r="A6" s="336" t="s">
        <v>514</v>
      </c>
      <c r="B6" s="208">
        <v>0.75</v>
      </c>
      <c r="C6" s="338">
        <v>3500</v>
      </c>
    </row>
    <row r="8" spans="1:3" x14ac:dyDescent="0.25">
      <c r="A8" s="334" t="s">
        <v>566</v>
      </c>
      <c r="B8" s="128"/>
      <c r="C8" s="128"/>
    </row>
    <row r="9" spans="1:3" x14ac:dyDescent="0.25">
      <c r="A9" s="209" t="s">
        <v>330</v>
      </c>
      <c r="B9" s="451" t="s">
        <v>565</v>
      </c>
      <c r="C9" s="451"/>
    </row>
    <row r="10" spans="1:3" x14ac:dyDescent="0.25">
      <c r="A10" s="209" t="s">
        <v>558</v>
      </c>
      <c r="B10" s="451">
        <v>11.8</v>
      </c>
      <c r="C10" s="451"/>
    </row>
  </sheetData>
  <mergeCells count="3">
    <mergeCell ref="B9:C9"/>
    <mergeCell ref="B10:C10"/>
    <mergeCell ref="A1:C1"/>
  </mergeCells>
  <pageMargins left="0.7" right="0.7" top="0.75" bottom="0.75" header="0.3" footer="0.3"/>
  <pageSetup paperSize="9" orientation="portrait" verticalDpi="0" r:id="rId1"/>
  <headerFooter>
    <oddFooter>&amp;LОтдел СЭР села ЯНИИСХ</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41"/>
  <sheetViews>
    <sheetView view="pageBreakPreview" topLeftCell="A103" zoomScale="80" zoomScaleNormal="100" zoomScaleSheetLayoutView="80" workbookViewId="0">
      <selection activeCell="A82" sqref="A82"/>
    </sheetView>
  </sheetViews>
  <sheetFormatPr defaultRowHeight="15.75" x14ac:dyDescent="0.25"/>
  <cols>
    <col min="1" max="1" width="35" style="68" customWidth="1"/>
    <col min="2" max="2" width="28" style="69" customWidth="1"/>
    <col min="3" max="3" width="17.140625" style="67" customWidth="1"/>
    <col min="4" max="4" width="16.42578125" style="67" customWidth="1"/>
    <col min="5" max="5" width="11.85546875" style="67" bestFit="1" customWidth="1"/>
    <col min="6" max="6" width="16.42578125" style="67" customWidth="1"/>
    <col min="7" max="8" width="11.85546875" style="67" bestFit="1" customWidth="1"/>
    <col min="9" max="10" width="9.140625" style="67"/>
    <col min="11" max="11" width="0" style="67" hidden="1" customWidth="1"/>
    <col min="12" max="12" width="38.42578125" style="67" customWidth="1"/>
    <col min="13" max="20" width="9.140625" style="67"/>
    <col min="21" max="21" width="28" style="67" customWidth="1"/>
    <col min="22" max="29" width="9.140625" style="67"/>
    <col min="30" max="30" width="23.42578125" style="67" customWidth="1"/>
    <col min="31" max="16384" width="9.140625" style="67"/>
  </cols>
  <sheetData>
    <row r="1" spans="1:11" x14ac:dyDescent="0.25">
      <c r="A1" s="462" t="s">
        <v>577</v>
      </c>
      <c r="B1" s="462"/>
      <c r="C1" s="462"/>
      <c r="D1" s="462"/>
      <c r="E1" s="462"/>
      <c r="F1" s="462"/>
      <c r="G1" s="462"/>
      <c r="H1" s="462"/>
    </row>
    <row r="2" spans="1:11" s="385" customFormat="1" ht="12.75" x14ac:dyDescent="0.2">
      <c r="A2" s="413" t="s">
        <v>570</v>
      </c>
      <c r="B2" s="414"/>
      <c r="C2" s="380"/>
      <c r="D2" s="380"/>
      <c r="E2" s="380"/>
      <c r="F2" s="380"/>
    </row>
    <row r="3" spans="1:11" s="385" customFormat="1" ht="25.5" x14ac:dyDescent="0.2">
      <c r="A3" s="415" t="s">
        <v>503</v>
      </c>
      <c r="B3" s="416">
        <f>B4*B9</f>
        <v>40605</v>
      </c>
      <c r="C3" s="416" t="s">
        <v>504</v>
      </c>
      <c r="D3" s="380"/>
      <c r="E3" s="380"/>
      <c r="F3" s="380"/>
    </row>
    <row r="4" spans="1:11" s="385" customFormat="1" ht="44.25" customHeight="1" x14ac:dyDescent="0.2">
      <c r="A4" s="415" t="s">
        <v>661</v>
      </c>
      <c r="B4" s="417">
        <v>16242</v>
      </c>
      <c r="C4" s="416" t="s">
        <v>504</v>
      </c>
      <c r="D4" s="380"/>
      <c r="E4" s="380"/>
      <c r="F4" s="380"/>
    </row>
    <row r="5" spans="1:11" s="385" customFormat="1" ht="25.5" x14ac:dyDescent="0.2">
      <c r="A5" s="418" t="s">
        <v>505</v>
      </c>
      <c r="B5" s="153">
        <v>1973</v>
      </c>
      <c r="C5" s="419" t="s">
        <v>506</v>
      </c>
      <c r="D5" s="380"/>
      <c r="E5" s="380"/>
      <c r="F5" s="380"/>
    </row>
    <row r="6" spans="1:11" s="385" customFormat="1" ht="12.75" x14ac:dyDescent="0.2">
      <c r="A6" s="418" t="s">
        <v>507</v>
      </c>
      <c r="B6" s="420">
        <f>B5/12</f>
        <v>164.41666666666666</v>
      </c>
      <c r="C6" s="419" t="s">
        <v>506</v>
      </c>
      <c r="D6" s="380"/>
      <c r="E6" s="380"/>
      <c r="F6" s="380"/>
    </row>
    <row r="7" spans="1:11" s="385" customFormat="1" ht="25.5" x14ac:dyDescent="0.2">
      <c r="A7" s="415" t="s">
        <v>660</v>
      </c>
      <c r="B7" s="421">
        <v>247</v>
      </c>
      <c r="C7" s="416" t="s">
        <v>508</v>
      </c>
      <c r="D7" s="380"/>
      <c r="E7" s="380"/>
      <c r="F7" s="380"/>
    </row>
    <row r="8" spans="1:11" s="385" customFormat="1" ht="12.75" x14ac:dyDescent="0.2">
      <c r="A8" s="418" t="s">
        <v>509</v>
      </c>
      <c r="B8" s="422">
        <f>B7/12</f>
        <v>20.583333333333332</v>
      </c>
      <c r="C8" s="419" t="s">
        <v>508</v>
      </c>
      <c r="D8" s="380"/>
      <c r="E8" s="380"/>
      <c r="F8" s="380"/>
    </row>
    <row r="9" spans="1:11" s="385" customFormat="1" ht="12.75" x14ac:dyDescent="0.2">
      <c r="A9" s="418" t="s">
        <v>18</v>
      </c>
      <c r="B9" s="423">
        <v>2.5</v>
      </c>
      <c r="C9" s="137"/>
      <c r="D9" s="380"/>
      <c r="E9" s="380"/>
      <c r="F9" s="380"/>
    </row>
    <row r="10" spans="1:11" s="385" customFormat="1" ht="12.75" x14ac:dyDescent="0.2">
      <c r="A10" s="424" t="s">
        <v>510</v>
      </c>
      <c r="B10" s="446">
        <f>B6/B8</f>
        <v>7.9878542510121457</v>
      </c>
      <c r="C10" s="137"/>
      <c r="D10" s="380"/>
      <c r="E10" s="380"/>
      <c r="F10" s="380"/>
    </row>
    <row r="11" spans="1:11" s="385" customFormat="1" ht="12.75" x14ac:dyDescent="0.2">
      <c r="A11" s="425"/>
      <c r="B11" s="426"/>
      <c r="C11" s="427"/>
      <c r="D11" s="380"/>
      <c r="E11" s="380"/>
      <c r="F11" s="380"/>
    </row>
    <row r="12" spans="1:11" s="385" customFormat="1" ht="12.75" x14ac:dyDescent="0.2">
      <c r="A12" s="465" t="s">
        <v>154</v>
      </c>
      <c r="B12" s="465"/>
      <c r="C12" s="465"/>
      <c r="D12" s="465"/>
      <c r="E12" s="465"/>
      <c r="F12" s="465"/>
      <c r="G12" s="465"/>
      <c r="H12" s="465"/>
    </row>
    <row r="13" spans="1:11" s="428" customFormat="1" ht="12.75" x14ac:dyDescent="0.2">
      <c r="A13" s="455" t="s">
        <v>155</v>
      </c>
      <c r="B13" s="455" t="s">
        <v>156</v>
      </c>
      <c r="C13" s="455" t="s">
        <v>157</v>
      </c>
      <c r="D13" s="455"/>
      <c r="E13" s="455"/>
      <c r="F13" s="455"/>
      <c r="G13" s="455"/>
      <c r="H13" s="455"/>
      <c r="J13" s="429"/>
    </row>
    <row r="14" spans="1:11" s="428" customFormat="1" ht="12.75" x14ac:dyDescent="0.2">
      <c r="A14" s="455"/>
      <c r="B14" s="455"/>
      <c r="C14" s="381">
        <v>1</v>
      </c>
      <c r="D14" s="381">
        <v>2</v>
      </c>
      <c r="E14" s="381">
        <v>3</v>
      </c>
      <c r="F14" s="381">
        <v>4</v>
      </c>
      <c r="G14" s="381">
        <v>5</v>
      </c>
      <c r="H14" s="381">
        <v>6</v>
      </c>
    </row>
    <row r="15" spans="1:11" s="385" customFormat="1" ht="17.25" customHeight="1" x14ac:dyDescent="0.2">
      <c r="A15" s="466" t="s">
        <v>401</v>
      </c>
      <c r="B15" s="430" t="s">
        <v>158</v>
      </c>
      <c r="C15" s="431">
        <v>1.18</v>
      </c>
      <c r="D15" s="431">
        <v>1.28</v>
      </c>
      <c r="E15" s="431">
        <v>1.4</v>
      </c>
      <c r="F15" s="431">
        <v>1.58</v>
      </c>
      <c r="G15" s="431">
        <v>1.82</v>
      </c>
      <c r="H15" s="431">
        <v>2.12</v>
      </c>
      <c r="K15" s="432">
        <v>666</v>
      </c>
    </row>
    <row r="16" spans="1:11" s="385" customFormat="1" ht="16.5" customHeight="1" x14ac:dyDescent="0.2">
      <c r="A16" s="467"/>
      <c r="B16" s="433" t="s">
        <v>159</v>
      </c>
      <c r="C16" s="431">
        <f t="shared" ref="C16:H16" si="0">$B$3/$B$9*C15</f>
        <v>19165.559999999998</v>
      </c>
      <c r="D16" s="431">
        <f t="shared" si="0"/>
        <v>20789.760000000002</v>
      </c>
      <c r="E16" s="431">
        <f t="shared" si="0"/>
        <v>22738.799999999999</v>
      </c>
      <c r="F16" s="431">
        <f t="shared" si="0"/>
        <v>25662.36</v>
      </c>
      <c r="G16" s="431">
        <f t="shared" si="0"/>
        <v>29560.440000000002</v>
      </c>
      <c r="H16" s="431">
        <f t="shared" si="0"/>
        <v>34433.040000000001</v>
      </c>
    </row>
    <row r="17" spans="1:8" s="385" customFormat="1" ht="33" customHeight="1" x14ac:dyDescent="0.2">
      <c r="A17" s="467"/>
      <c r="B17" s="433" t="s">
        <v>160</v>
      </c>
      <c r="C17" s="431">
        <f t="shared" ref="C17:H17" si="1">C16/$B$8</f>
        <v>931.12032388663965</v>
      </c>
      <c r="D17" s="431">
        <f t="shared" si="1"/>
        <v>1010.0288259109313</v>
      </c>
      <c r="E17" s="431">
        <f t="shared" si="1"/>
        <v>1104.719028340081</v>
      </c>
      <c r="F17" s="431">
        <f t="shared" si="1"/>
        <v>1246.7543319838057</v>
      </c>
      <c r="G17" s="431">
        <f t="shared" si="1"/>
        <v>1436.1347368421054</v>
      </c>
      <c r="H17" s="431">
        <f t="shared" si="1"/>
        <v>1672.8602429149798</v>
      </c>
    </row>
    <row r="18" spans="1:8" s="385" customFormat="1" ht="12.75" x14ac:dyDescent="0.2">
      <c r="A18" s="468"/>
      <c r="B18" s="433" t="s">
        <v>161</v>
      </c>
      <c r="C18" s="409">
        <f t="shared" ref="C18:H18" si="2">C16/$B$6</f>
        <v>116.56701469842878</v>
      </c>
      <c r="D18" s="409">
        <f t="shared" si="2"/>
        <v>126.44557526609226</v>
      </c>
      <c r="E18" s="409">
        <f t="shared" si="2"/>
        <v>138.29984794728838</v>
      </c>
      <c r="F18" s="409">
        <f t="shared" si="2"/>
        <v>156.08125696908263</v>
      </c>
      <c r="G18" s="409">
        <f t="shared" si="2"/>
        <v>179.78980233147493</v>
      </c>
      <c r="H18" s="409">
        <f t="shared" si="2"/>
        <v>209.42548403446528</v>
      </c>
    </row>
    <row r="19" spans="1:8" s="385" customFormat="1" ht="15.75" customHeight="1" x14ac:dyDescent="0.2">
      <c r="A19" s="466" t="s">
        <v>399</v>
      </c>
      <c r="B19" s="430" t="s">
        <v>158</v>
      </c>
      <c r="C19" s="431">
        <v>1.3</v>
      </c>
      <c r="D19" s="431">
        <v>1.4</v>
      </c>
      <c r="E19" s="431">
        <v>1.56</v>
      </c>
      <c r="F19" s="431">
        <v>1.76</v>
      </c>
      <c r="G19" s="431">
        <v>2</v>
      </c>
      <c r="H19" s="431">
        <v>2.34</v>
      </c>
    </row>
    <row r="20" spans="1:8" s="385" customFormat="1" ht="12.75" x14ac:dyDescent="0.2">
      <c r="A20" s="467"/>
      <c r="B20" s="433" t="s">
        <v>159</v>
      </c>
      <c r="C20" s="431">
        <f t="shared" ref="C20:H20" si="3">$B$3/$B$9*C19</f>
        <v>21114.600000000002</v>
      </c>
      <c r="D20" s="431">
        <f t="shared" si="3"/>
        <v>22738.799999999999</v>
      </c>
      <c r="E20" s="431">
        <f t="shared" si="3"/>
        <v>25337.52</v>
      </c>
      <c r="F20" s="431">
        <f t="shared" si="3"/>
        <v>28585.920000000002</v>
      </c>
      <c r="G20" s="431">
        <f t="shared" si="3"/>
        <v>32484</v>
      </c>
      <c r="H20" s="431">
        <f t="shared" si="3"/>
        <v>38006.28</v>
      </c>
    </row>
    <row r="21" spans="1:8" s="385" customFormat="1" ht="25.5" x14ac:dyDescent="0.2">
      <c r="A21" s="467"/>
      <c r="B21" s="433" t="s">
        <v>160</v>
      </c>
      <c r="C21" s="431">
        <f t="shared" ref="C21:H21" si="4">C20/$B$8</f>
        <v>1025.8105263157897</v>
      </c>
      <c r="D21" s="431">
        <f t="shared" si="4"/>
        <v>1104.719028340081</v>
      </c>
      <c r="E21" s="431">
        <f t="shared" si="4"/>
        <v>1230.9726315789474</v>
      </c>
      <c r="F21" s="431">
        <f t="shared" si="4"/>
        <v>1388.7896356275305</v>
      </c>
      <c r="G21" s="431">
        <f t="shared" si="4"/>
        <v>1578.17004048583</v>
      </c>
      <c r="H21" s="431">
        <f t="shared" si="4"/>
        <v>1846.4589473684211</v>
      </c>
    </row>
    <row r="22" spans="1:8" s="385" customFormat="1" ht="12.75" x14ac:dyDescent="0.2">
      <c r="A22" s="468"/>
      <c r="B22" s="433" t="s">
        <v>161</v>
      </c>
      <c r="C22" s="409">
        <f t="shared" ref="C22:H22" si="5">C20/$B$6</f>
        <v>128.42128737962497</v>
      </c>
      <c r="D22" s="409">
        <f t="shared" si="5"/>
        <v>138.29984794728838</v>
      </c>
      <c r="E22" s="409">
        <f t="shared" si="5"/>
        <v>154.10554485554994</v>
      </c>
      <c r="F22" s="409">
        <f t="shared" si="5"/>
        <v>173.86266599087685</v>
      </c>
      <c r="G22" s="409">
        <f t="shared" si="5"/>
        <v>197.57121135326915</v>
      </c>
      <c r="H22" s="409">
        <f t="shared" si="5"/>
        <v>231.15831728332489</v>
      </c>
    </row>
    <row r="23" spans="1:8" s="385" customFormat="1" ht="15.75" customHeight="1" x14ac:dyDescent="0.2">
      <c r="A23" s="466" t="s">
        <v>400</v>
      </c>
      <c r="B23" s="430" t="s">
        <v>158</v>
      </c>
      <c r="C23" s="431">
        <v>1.44</v>
      </c>
      <c r="D23" s="431">
        <v>1.56</v>
      </c>
      <c r="E23" s="431">
        <v>1.72</v>
      </c>
      <c r="F23" s="431">
        <v>1.94</v>
      </c>
      <c r="G23" s="431">
        <v>2.2200000000000002</v>
      </c>
      <c r="H23" s="431">
        <v>2.58</v>
      </c>
    </row>
    <row r="24" spans="1:8" s="385" customFormat="1" ht="12.75" x14ac:dyDescent="0.2">
      <c r="A24" s="467"/>
      <c r="B24" s="433" t="s">
        <v>159</v>
      </c>
      <c r="C24" s="431">
        <f t="shared" ref="C24:H24" si="6">$B$3/$B$9*C23</f>
        <v>23388.48</v>
      </c>
      <c r="D24" s="431">
        <f t="shared" si="6"/>
        <v>25337.52</v>
      </c>
      <c r="E24" s="431">
        <f t="shared" si="6"/>
        <v>27936.239999999998</v>
      </c>
      <c r="F24" s="431">
        <f t="shared" si="6"/>
        <v>31509.48</v>
      </c>
      <c r="G24" s="431">
        <f t="shared" si="6"/>
        <v>36057.240000000005</v>
      </c>
      <c r="H24" s="431">
        <f t="shared" si="6"/>
        <v>41904.36</v>
      </c>
    </row>
    <row r="25" spans="1:8" s="385" customFormat="1" ht="25.5" x14ac:dyDescent="0.2">
      <c r="A25" s="467"/>
      <c r="B25" s="433" t="s">
        <v>160</v>
      </c>
      <c r="C25" s="431">
        <f t="shared" ref="C25:H25" si="7">C24/$B$8</f>
        <v>1136.2824291497975</v>
      </c>
      <c r="D25" s="431">
        <f t="shared" si="7"/>
        <v>1230.9726315789474</v>
      </c>
      <c r="E25" s="431">
        <f t="shared" si="7"/>
        <v>1357.2262348178137</v>
      </c>
      <c r="F25" s="431">
        <f t="shared" si="7"/>
        <v>1530.8249392712551</v>
      </c>
      <c r="G25" s="431">
        <f t="shared" si="7"/>
        <v>1751.7687449392715</v>
      </c>
      <c r="H25" s="431">
        <f t="shared" si="7"/>
        <v>2035.8393522267208</v>
      </c>
    </row>
    <row r="26" spans="1:8" s="385" customFormat="1" ht="12.75" x14ac:dyDescent="0.2">
      <c r="A26" s="468"/>
      <c r="B26" s="433" t="s">
        <v>161</v>
      </c>
      <c r="C26" s="409">
        <f t="shared" ref="C26:H26" si="8">C24/$B$6</f>
        <v>142.25127217435377</v>
      </c>
      <c r="D26" s="409">
        <f t="shared" si="8"/>
        <v>154.10554485554994</v>
      </c>
      <c r="E26" s="409">
        <f t="shared" si="8"/>
        <v>169.91124176381146</v>
      </c>
      <c r="F26" s="409">
        <f t="shared" si="8"/>
        <v>191.64407501267107</v>
      </c>
      <c r="G26" s="409">
        <f t="shared" si="8"/>
        <v>219.30404460212878</v>
      </c>
      <c r="H26" s="409">
        <f t="shared" si="8"/>
        <v>254.86686264571719</v>
      </c>
    </row>
    <row r="27" spans="1:8" s="385" customFormat="1" ht="16.5" customHeight="1" x14ac:dyDescent="0.2">
      <c r="A27" s="466" t="s">
        <v>402</v>
      </c>
      <c r="B27" s="430" t="s">
        <v>158</v>
      </c>
      <c r="C27" s="431">
        <v>1.0269999999999999</v>
      </c>
      <c r="D27" s="431">
        <v>1.1180000000000001</v>
      </c>
      <c r="E27" s="431">
        <v>1.2150000000000001</v>
      </c>
      <c r="F27" s="431">
        <v>1.343</v>
      </c>
      <c r="G27" s="431">
        <v>1.512</v>
      </c>
      <c r="H27" s="431">
        <v>1.7609999999999999</v>
      </c>
    </row>
    <row r="28" spans="1:8" s="385" customFormat="1" ht="12.75" x14ac:dyDescent="0.2">
      <c r="A28" s="467"/>
      <c r="B28" s="433" t="s">
        <v>159</v>
      </c>
      <c r="C28" s="431">
        <f t="shared" ref="C28:H28" si="9">$B$3/$B$9*C27</f>
        <v>16680.534</v>
      </c>
      <c r="D28" s="431">
        <f t="shared" si="9"/>
        <v>18158.556</v>
      </c>
      <c r="E28" s="431">
        <f t="shared" si="9"/>
        <v>19734.030000000002</v>
      </c>
      <c r="F28" s="431">
        <f t="shared" si="9"/>
        <v>21813.006000000001</v>
      </c>
      <c r="G28" s="431">
        <f t="shared" si="9"/>
        <v>24557.903999999999</v>
      </c>
      <c r="H28" s="431">
        <f t="shared" si="9"/>
        <v>28602.161999999997</v>
      </c>
    </row>
    <row r="29" spans="1:8" s="385" customFormat="1" ht="20.25" customHeight="1" x14ac:dyDescent="0.2">
      <c r="A29" s="467"/>
      <c r="B29" s="433" t="s">
        <v>160</v>
      </c>
      <c r="C29" s="431">
        <f t="shared" ref="C29:H29" si="10">C28/$B$8</f>
        <v>810.39031578947368</v>
      </c>
      <c r="D29" s="431">
        <f t="shared" si="10"/>
        <v>882.19705263157903</v>
      </c>
      <c r="E29" s="431">
        <f t="shared" si="10"/>
        <v>958.73829959514183</v>
      </c>
      <c r="F29" s="431">
        <f t="shared" si="10"/>
        <v>1059.7411821862349</v>
      </c>
      <c r="G29" s="431">
        <f t="shared" si="10"/>
        <v>1193.0965506072876</v>
      </c>
      <c r="H29" s="431">
        <f t="shared" si="10"/>
        <v>1389.5787206477733</v>
      </c>
    </row>
    <row r="30" spans="1:8" s="385" customFormat="1" ht="12.75" x14ac:dyDescent="0.2">
      <c r="A30" s="467"/>
      <c r="B30" s="434" t="s">
        <v>161</v>
      </c>
      <c r="C30" s="409">
        <f t="shared" ref="C30:H30" si="11">C28/$B$6</f>
        <v>101.4528170299037</v>
      </c>
      <c r="D30" s="409">
        <f t="shared" si="11"/>
        <v>110.44230714647746</v>
      </c>
      <c r="E30" s="409">
        <f t="shared" si="11"/>
        <v>120.02451089711101</v>
      </c>
      <c r="F30" s="409">
        <f t="shared" si="11"/>
        <v>132.66906842372023</v>
      </c>
      <c r="G30" s="409">
        <f t="shared" si="11"/>
        <v>149.36383578307147</v>
      </c>
      <c r="H30" s="409">
        <f t="shared" si="11"/>
        <v>173.96145159655347</v>
      </c>
    </row>
    <row r="31" spans="1:8" s="385" customFormat="1" ht="16.5" customHeight="1" x14ac:dyDescent="0.2">
      <c r="A31" s="466" t="s">
        <v>403</v>
      </c>
      <c r="B31" s="430" t="s">
        <v>158</v>
      </c>
      <c r="C31" s="431">
        <v>1</v>
      </c>
      <c r="D31" s="431">
        <v>1.07</v>
      </c>
      <c r="E31" s="431">
        <v>1.1499999999999999</v>
      </c>
      <c r="F31" s="431">
        <v>1.25</v>
      </c>
      <c r="G31" s="431">
        <v>1.38</v>
      </c>
      <c r="H31" s="431">
        <v>1.58</v>
      </c>
    </row>
    <row r="32" spans="1:8" s="385" customFormat="1" ht="12.75" x14ac:dyDescent="0.2">
      <c r="A32" s="467"/>
      <c r="B32" s="433" t="s">
        <v>159</v>
      </c>
      <c r="C32" s="431">
        <f t="shared" ref="C32:H32" si="12">$B$3/$B$9*C31</f>
        <v>16242</v>
      </c>
      <c r="D32" s="431">
        <f t="shared" si="12"/>
        <v>17378.940000000002</v>
      </c>
      <c r="E32" s="431">
        <f t="shared" si="12"/>
        <v>18678.3</v>
      </c>
      <c r="F32" s="431">
        <f t="shared" si="12"/>
        <v>20302.5</v>
      </c>
      <c r="G32" s="431">
        <f t="shared" si="12"/>
        <v>22413.96</v>
      </c>
      <c r="H32" s="431">
        <f t="shared" si="12"/>
        <v>25662.36</v>
      </c>
    </row>
    <row r="33" spans="1:8" s="385" customFormat="1" ht="25.5" x14ac:dyDescent="0.2">
      <c r="A33" s="467"/>
      <c r="B33" s="433" t="s">
        <v>160</v>
      </c>
      <c r="C33" s="431">
        <f t="shared" ref="C33:H33" si="13">C32/$B$8</f>
        <v>789.08502024291499</v>
      </c>
      <c r="D33" s="431">
        <f t="shared" si="13"/>
        <v>844.32097165991922</v>
      </c>
      <c r="E33" s="431">
        <f t="shared" si="13"/>
        <v>907.44777327935219</v>
      </c>
      <c r="F33" s="431">
        <f t="shared" si="13"/>
        <v>986.35627530364377</v>
      </c>
      <c r="G33" s="431">
        <f t="shared" si="13"/>
        <v>1088.9373279352226</v>
      </c>
      <c r="H33" s="431">
        <f t="shared" si="13"/>
        <v>1246.7543319838057</v>
      </c>
    </row>
    <row r="34" spans="1:8" s="385" customFormat="1" ht="12.75" x14ac:dyDescent="0.2">
      <c r="A34" s="468"/>
      <c r="B34" s="435" t="s">
        <v>161</v>
      </c>
      <c r="C34" s="409">
        <f t="shared" ref="C34:H34" si="14">C32/$B$6</f>
        <v>98.785605676634574</v>
      </c>
      <c r="D34" s="409">
        <f t="shared" si="14"/>
        <v>105.700598073999</v>
      </c>
      <c r="E34" s="409">
        <f t="shared" si="14"/>
        <v>113.60344652812975</v>
      </c>
      <c r="F34" s="409">
        <f t="shared" si="14"/>
        <v>123.48200709579322</v>
      </c>
      <c r="G34" s="409">
        <f t="shared" si="14"/>
        <v>136.32413583375569</v>
      </c>
      <c r="H34" s="409">
        <f t="shared" si="14"/>
        <v>156.08125696908263</v>
      </c>
    </row>
    <row r="35" spans="1:8" s="385" customFormat="1" ht="12.75" x14ac:dyDescent="0.2">
      <c r="A35" s="436"/>
      <c r="B35" s="437"/>
    </row>
    <row r="36" spans="1:8" s="385" customFormat="1" ht="12.75" x14ac:dyDescent="0.2">
      <c r="A36" s="436"/>
      <c r="B36" s="437"/>
    </row>
    <row r="37" spans="1:8" s="385" customFormat="1" ht="12.75" x14ac:dyDescent="0.2">
      <c r="A37" s="469" t="s">
        <v>164</v>
      </c>
      <c r="B37" s="469"/>
      <c r="C37" s="469"/>
      <c r="D37" s="469"/>
    </row>
    <row r="38" spans="1:8" s="385" customFormat="1" ht="75.75" customHeight="1" x14ac:dyDescent="0.2">
      <c r="A38" s="455" t="s">
        <v>165</v>
      </c>
      <c r="B38" s="455"/>
      <c r="C38" s="455" t="s">
        <v>170</v>
      </c>
      <c r="D38" s="455"/>
    </row>
    <row r="39" spans="1:8" s="385" customFormat="1" ht="32.25" customHeight="1" x14ac:dyDescent="0.2">
      <c r="A39" s="453" t="s">
        <v>166</v>
      </c>
      <c r="B39" s="453"/>
      <c r="C39" s="459"/>
      <c r="D39" s="459"/>
      <c r="E39" s="385">
        <v>26</v>
      </c>
    </row>
    <row r="40" spans="1:8" s="385" customFormat="1" ht="31.5" customHeight="1" x14ac:dyDescent="0.2">
      <c r="A40" s="453" t="s">
        <v>167</v>
      </c>
      <c r="B40" s="453"/>
      <c r="C40" s="459"/>
      <c r="D40" s="459"/>
      <c r="E40" s="385">
        <v>27</v>
      </c>
    </row>
    <row r="41" spans="1:8" s="385" customFormat="1" ht="60.75" customHeight="1" x14ac:dyDescent="0.2">
      <c r="A41" s="453" t="s">
        <v>168</v>
      </c>
      <c r="B41" s="453"/>
      <c r="C41" s="459"/>
      <c r="D41" s="459"/>
      <c r="E41" s="385">
        <v>28</v>
      </c>
    </row>
    <row r="42" spans="1:8" s="385" customFormat="1" ht="28.5" customHeight="1" x14ac:dyDescent="0.2">
      <c r="A42" s="453" t="s">
        <v>171</v>
      </c>
      <c r="B42" s="453"/>
      <c r="C42" s="459">
        <v>30</v>
      </c>
      <c r="D42" s="459"/>
      <c r="E42" s="385">
        <v>29</v>
      </c>
    </row>
    <row r="43" spans="1:8" s="385" customFormat="1" ht="29.25" customHeight="1" x14ac:dyDescent="0.2">
      <c r="A43" s="453" t="s">
        <v>169</v>
      </c>
      <c r="B43" s="453"/>
      <c r="C43" s="459">
        <v>100</v>
      </c>
      <c r="D43" s="459"/>
      <c r="E43" s="385">
        <v>30</v>
      </c>
    </row>
    <row r="44" spans="1:8" s="385" customFormat="1" ht="12.75" x14ac:dyDescent="0.2">
      <c r="A44" s="436"/>
      <c r="B44" s="437"/>
    </row>
    <row r="45" spans="1:8" s="385" customFormat="1" ht="21.75" customHeight="1" x14ac:dyDescent="0.2">
      <c r="A45" s="454" t="s">
        <v>162</v>
      </c>
      <c r="B45" s="454"/>
      <c r="C45" s="454"/>
      <c r="D45" s="454"/>
    </row>
    <row r="46" spans="1:8" s="385" customFormat="1" ht="25.5" x14ac:dyDescent="0.2">
      <c r="A46" s="381" t="s">
        <v>174</v>
      </c>
      <c r="B46" s="438" t="s">
        <v>175</v>
      </c>
    </row>
    <row r="47" spans="1:8" s="385" customFormat="1" ht="12.75" x14ac:dyDescent="0.2">
      <c r="A47" s="435" t="s">
        <v>176</v>
      </c>
      <c r="B47" s="438">
        <v>10</v>
      </c>
    </row>
    <row r="48" spans="1:8" s="385" customFormat="1" ht="12.75" x14ac:dyDescent="0.2">
      <c r="A48" s="439" t="s">
        <v>177</v>
      </c>
      <c r="B48" s="438">
        <v>15</v>
      </c>
    </row>
    <row r="49" spans="1:12" s="385" customFormat="1" ht="12.75" x14ac:dyDescent="0.2">
      <c r="A49" s="435" t="s">
        <v>178</v>
      </c>
      <c r="B49" s="438">
        <v>20</v>
      </c>
    </row>
    <row r="50" spans="1:12" s="385" customFormat="1" ht="12.75" x14ac:dyDescent="0.2">
      <c r="A50" s="435" t="s">
        <v>179</v>
      </c>
      <c r="B50" s="438">
        <v>25</v>
      </c>
    </row>
    <row r="51" spans="1:12" s="385" customFormat="1" ht="12.75" x14ac:dyDescent="0.2">
      <c r="A51" s="435" t="s">
        <v>180</v>
      </c>
      <c r="B51" s="438">
        <v>30</v>
      </c>
    </row>
    <row r="53" spans="1:12" ht="15.75" customHeight="1" x14ac:dyDescent="0.25">
      <c r="A53" s="463" t="s">
        <v>567</v>
      </c>
      <c r="B53" s="464"/>
      <c r="C53" s="464"/>
    </row>
    <row r="54" spans="1:12" s="128" customFormat="1" ht="15.75" customHeight="1" x14ac:dyDescent="0.2">
      <c r="A54" s="410" t="s">
        <v>181</v>
      </c>
      <c r="B54" s="398" t="s">
        <v>153</v>
      </c>
      <c r="C54" s="398" t="s">
        <v>152</v>
      </c>
      <c r="D54" s="335"/>
      <c r="E54" s="335"/>
      <c r="F54" s="335"/>
      <c r="G54" s="335"/>
      <c r="H54" s="335"/>
      <c r="I54" s="335" t="s">
        <v>9</v>
      </c>
      <c r="J54" s="335" t="s">
        <v>8</v>
      </c>
      <c r="K54" s="335"/>
      <c r="L54" s="335"/>
    </row>
    <row r="55" spans="1:12" x14ac:dyDescent="0.25">
      <c r="A55" s="411" t="s">
        <v>568</v>
      </c>
      <c r="B55" s="412">
        <v>0.82</v>
      </c>
      <c r="C55" s="398">
        <v>0.84</v>
      </c>
      <c r="D55" s="337"/>
      <c r="E55" s="337" t="s">
        <v>10</v>
      </c>
      <c r="F55" s="337" t="s">
        <v>4</v>
      </c>
      <c r="G55" s="337" t="s">
        <v>5</v>
      </c>
      <c r="H55" s="337" t="s">
        <v>6</v>
      </c>
      <c r="I55" s="337" t="s">
        <v>7</v>
      </c>
      <c r="J55" s="337"/>
      <c r="K55" s="337"/>
      <c r="L55" s="337"/>
    </row>
    <row r="56" spans="1:12" x14ac:dyDescent="0.25">
      <c r="A56" s="67"/>
      <c r="B56" s="67"/>
    </row>
    <row r="57" spans="1:12" customFormat="1" ht="12.75" x14ac:dyDescent="0.2">
      <c r="A57" s="405" t="s">
        <v>597</v>
      </c>
    </row>
    <row r="58" spans="1:12" customFormat="1" ht="12.75" x14ac:dyDescent="0.2">
      <c r="A58" s="398" t="s">
        <v>595</v>
      </c>
      <c r="B58" s="398" t="s">
        <v>596</v>
      </c>
    </row>
    <row r="59" spans="1:12" customFormat="1" ht="12.75" x14ac:dyDescent="0.2">
      <c r="A59" s="386" t="s">
        <v>583</v>
      </c>
      <c r="B59" s="374">
        <v>13680</v>
      </c>
    </row>
    <row r="60" spans="1:12" customFormat="1" ht="12.75" x14ac:dyDescent="0.2">
      <c r="A60" s="123" t="s">
        <v>582</v>
      </c>
      <c r="B60" s="375">
        <f>130*100</f>
        <v>13000</v>
      </c>
    </row>
    <row r="61" spans="1:12" customFormat="1" ht="12.75" x14ac:dyDescent="0.2">
      <c r="A61" s="123" t="s">
        <v>588</v>
      </c>
      <c r="B61" s="374">
        <f>220*100</f>
        <v>22000</v>
      </c>
    </row>
    <row r="62" spans="1:12" customFormat="1" ht="12.75" x14ac:dyDescent="0.2"/>
    <row r="63" spans="1:12" customFormat="1" x14ac:dyDescent="0.25">
      <c r="A63" s="405" t="s">
        <v>659</v>
      </c>
      <c r="B63" s="385"/>
      <c r="C63" s="385"/>
      <c r="D63" s="385"/>
      <c r="E63" s="67"/>
      <c r="F63" s="67"/>
      <c r="G63" s="67"/>
    </row>
    <row r="64" spans="1:12" customFormat="1" ht="22.5" customHeight="1" x14ac:dyDescent="0.25">
      <c r="A64" s="381" t="s">
        <v>515</v>
      </c>
      <c r="B64" s="381" t="s">
        <v>580</v>
      </c>
      <c r="C64" s="381" t="s">
        <v>593</v>
      </c>
      <c r="D64" s="381" t="s">
        <v>594</v>
      </c>
      <c r="E64" s="382"/>
      <c r="F64" s="383"/>
      <c r="G64" s="383"/>
    </row>
    <row r="65" spans="1:9" customFormat="1" ht="18.75" customHeight="1" x14ac:dyDescent="0.25">
      <c r="A65" s="381" t="s">
        <v>581</v>
      </c>
      <c r="B65" s="381">
        <v>75</v>
      </c>
      <c r="C65" s="447">
        <f>B65/B55</f>
        <v>91.463414634146346</v>
      </c>
      <c r="D65" s="448">
        <f>B65/C55</f>
        <v>89.285714285714292</v>
      </c>
      <c r="E65" s="384"/>
      <c r="F65" s="383"/>
      <c r="G65" s="383"/>
    </row>
    <row r="66" spans="1:9" x14ac:dyDescent="0.25">
      <c r="A66" s="332"/>
      <c r="B66" s="333"/>
      <c r="C66" s="333"/>
      <c r="D66" s="333"/>
      <c r="E66" s="333"/>
      <c r="F66" s="333"/>
    </row>
    <row r="67" spans="1:9" customFormat="1" ht="12.75" x14ac:dyDescent="0.2">
      <c r="A67" s="405" t="s">
        <v>600</v>
      </c>
    </row>
    <row r="68" spans="1:9" customFormat="1" ht="25.5" x14ac:dyDescent="0.2">
      <c r="A68" s="122"/>
      <c r="B68" s="122" t="s">
        <v>578</v>
      </c>
      <c r="C68" s="122" t="s">
        <v>103</v>
      </c>
      <c r="D68" s="122" t="s">
        <v>584</v>
      </c>
      <c r="E68" s="122" t="s">
        <v>651</v>
      </c>
      <c r="F68" s="122" t="s">
        <v>585</v>
      </c>
      <c r="G68" s="122" t="s">
        <v>586</v>
      </c>
      <c r="H68" s="122" t="s">
        <v>579</v>
      </c>
      <c r="I68" s="122" t="s">
        <v>587</v>
      </c>
    </row>
    <row r="69" spans="1:9" customFormat="1" ht="12.75" customHeight="1" x14ac:dyDescent="0.2">
      <c r="A69" s="456" t="s">
        <v>591</v>
      </c>
      <c r="B69" s="457"/>
      <c r="C69" s="457"/>
      <c r="D69" s="457"/>
      <c r="E69" s="457"/>
      <c r="F69" s="457"/>
      <c r="G69" s="457"/>
      <c r="H69" s="457"/>
      <c r="I69" s="458"/>
    </row>
    <row r="70" spans="1:9" customFormat="1" ht="12.75" customHeight="1" x14ac:dyDescent="0.2">
      <c r="A70" s="376" t="s">
        <v>583</v>
      </c>
      <c r="B70" s="122">
        <v>4.4000000000000004</v>
      </c>
      <c r="C70" s="122">
        <v>4.2</v>
      </c>
      <c r="D70" s="122">
        <v>4.0999999999999996</v>
      </c>
      <c r="E70" s="122">
        <v>3.6</v>
      </c>
      <c r="F70" s="122">
        <v>3.5</v>
      </c>
      <c r="G70" s="122">
        <v>3.5</v>
      </c>
      <c r="H70" s="122">
        <v>4.0999999999999996</v>
      </c>
      <c r="I70" s="122">
        <v>4.0999999999999996</v>
      </c>
    </row>
    <row r="71" spans="1:9" customFormat="1" ht="12.75" customHeight="1" x14ac:dyDescent="0.2">
      <c r="A71" s="377" t="s">
        <v>582</v>
      </c>
      <c r="B71" s="122">
        <v>0.9</v>
      </c>
      <c r="C71" s="122">
        <v>0.9</v>
      </c>
      <c r="D71" s="122">
        <v>0.4</v>
      </c>
      <c r="E71" s="122">
        <v>0.4</v>
      </c>
      <c r="F71" s="122">
        <v>0.6</v>
      </c>
      <c r="G71" s="122">
        <v>1</v>
      </c>
      <c r="H71" s="122">
        <v>1</v>
      </c>
      <c r="I71" s="122">
        <v>0.7</v>
      </c>
    </row>
    <row r="72" spans="1:9" customFormat="1" ht="12.75" customHeight="1" x14ac:dyDescent="0.2">
      <c r="A72" s="378" t="s">
        <v>588</v>
      </c>
      <c r="B72" s="122">
        <v>0</v>
      </c>
      <c r="C72" s="122">
        <v>0</v>
      </c>
      <c r="D72" s="122">
        <v>0.2</v>
      </c>
      <c r="E72" s="122">
        <v>0.02</v>
      </c>
      <c r="F72" s="122">
        <v>0.4</v>
      </c>
      <c r="G72" s="122">
        <v>0.1</v>
      </c>
      <c r="H72" s="122">
        <v>0.1</v>
      </c>
      <c r="I72" s="122">
        <v>0</v>
      </c>
    </row>
    <row r="73" spans="1:9" customFormat="1" ht="13.5" customHeight="1" x14ac:dyDescent="0.2">
      <c r="A73" s="456" t="s">
        <v>601</v>
      </c>
      <c r="B73" s="457"/>
      <c r="C73" s="457"/>
      <c r="D73" s="457"/>
      <c r="E73" s="457"/>
      <c r="F73" s="457"/>
      <c r="G73" s="457"/>
      <c r="H73" s="457"/>
      <c r="I73" s="458"/>
    </row>
    <row r="74" spans="1:9" customFormat="1" ht="12.75" customHeight="1" x14ac:dyDescent="0.2">
      <c r="A74" s="376" t="s">
        <v>583</v>
      </c>
      <c r="B74" s="122">
        <f>B70*'Исходные данные'!$B$59/100</f>
        <v>601.92000000000007</v>
      </c>
      <c r="C74" s="372">
        <f>C70*'Исходные данные'!$B$59/100</f>
        <v>574.55999999999995</v>
      </c>
      <c r="D74" s="372">
        <f>D70*'Исходные данные'!$B$59/100</f>
        <v>560.87999999999988</v>
      </c>
      <c r="E74" s="372">
        <f>E70*'Исходные данные'!$B$59/100</f>
        <v>492.48</v>
      </c>
      <c r="F74" s="372">
        <f>F70*'Исходные данные'!$B$59/100</f>
        <v>478.8</v>
      </c>
      <c r="G74" s="372">
        <f>G70*'Исходные данные'!$B$59/100</f>
        <v>478.8</v>
      </c>
      <c r="H74" s="372">
        <f>H70*'Исходные данные'!$B$59/100</f>
        <v>560.87999999999988</v>
      </c>
      <c r="I74" s="372">
        <f>I70*'Исходные данные'!$B$59/100</f>
        <v>560.87999999999988</v>
      </c>
    </row>
    <row r="75" spans="1:9" customFormat="1" ht="12.75" customHeight="1" x14ac:dyDescent="0.2">
      <c r="A75" s="377" t="s">
        <v>582</v>
      </c>
      <c r="B75" s="373">
        <f>B71*'Исходные данные'!$B$60/100</f>
        <v>117</v>
      </c>
      <c r="C75" s="373">
        <f>C71*'Исходные данные'!$B$60/100</f>
        <v>117</v>
      </c>
      <c r="D75" s="373">
        <f>D71*'Исходные данные'!$B$60/100</f>
        <v>52</v>
      </c>
      <c r="E75" s="373">
        <f>E71*'Исходные данные'!$B$60/100</f>
        <v>52</v>
      </c>
      <c r="F75" s="373">
        <f>F71*'Исходные данные'!$B$60/100</f>
        <v>78</v>
      </c>
      <c r="G75" s="373">
        <f>G71*'Исходные данные'!$B$60/100</f>
        <v>130</v>
      </c>
      <c r="H75" s="373">
        <f>H71*'Исходные данные'!$B$60/100</f>
        <v>130</v>
      </c>
      <c r="I75" s="373">
        <f>I71*'Исходные данные'!$B$60/100</f>
        <v>91</v>
      </c>
    </row>
    <row r="76" spans="1:9" customFormat="1" ht="12.75" customHeight="1" x14ac:dyDescent="0.2">
      <c r="A76" s="378" t="s">
        <v>588</v>
      </c>
      <c r="B76" s="373">
        <f>B72*'Исходные данные'!$B$61/100</f>
        <v>0</v>
      </c>
      <c r="C76" s="373">
        <f>C72*'Исходные данные'!$B$61/100</f>
        <v>0</v>
      </c>
      <c r="D76" s="373">
        <f>D72*'Исходные данные'!$B$61/100</f>
        <v>44</v>
      </c>
      <c r="E76" s="373">
        <f>E72*'Исходные данные'!$B$61/100</f>
        <v>4.4000000000000004</v>
      </c>
      <c r="F76" s="373">
        <f>F72*'Исходные данные'!$B$61/100</f>
        <v>88</v>
      </c>
      <c r="G76" s="373">
        <f>G72*'Исходные данные'!$B$61/100</f>
        <v>22</v>
      </c>
      <c r="H76" s="373">
        <f>H72*'Исходные данные'!$B$61/100</f>
        <v>22</v>
      </c>
      <c r="I76" s="373">
        <f>I72*'Исходные данные'!$B$61/100</f>
        <v>0</v>
      </c>
    </row>
    <row r="77" spans="1:9" customFormat="1" ht="12.75" customHeight="1" x14ac:dyDescent="0.2">
      <c r="A77" s="379" t="s">
        <v>599</v>
      </c>
      <c r="B77" s="137">
        <f t="shared" ref="B77:I77" si="15">B74+B75+B76</f>
        <v>718.92000000000007</v>
      </c>
      <c r="C77" s="137">
        <f t="shared" si="15"/>
        <v>691.56</v>
      </c>
      <c r="D77" s="137">
        <f t="shared" si="15"/>
        <v>656.87999999999988</v>
      </c>
      <c r="E77" s="137">
        <f t="shared" si="15"/>
        <v>548.88</v>
      </c>
      <c r="F77" s="137">
        <f t="shared" si="15"/>
        <v>644.79999999999995</v>
      </c>
      <c r="G77" s="137">
        <f t="shared" si="15"/>
        <v>630.79999999999995</v>
      </c>
      <c r="H77" s="137">
        <f t="shared" si="15"/>
        <v>712.87999999999988</v>
      </c>
      <c r="I77" s="137">
        <f t="shared" si="15"/>
        <v>651.87999999999988</v>
      </c>
    </row>
    <row r="78" spans="1:9" customFormat="1" ht="15.75" customHeight="1" x14ac:dyDescent="0.2">
      <c r="A78" s="456" t="s">
        <v>598</v>
      </c>
      <c r="B78" s="457"/>
      <c r="C78" s="457"/>
      <c r="D78" s="457"/>
      <c r="E78" s="457"/>
      <c r="F78" s="457"/>
      <c r="G78" s="457"/>
      <c r="H78" s="457"/>
      <c r="I78" s="458"/>
    </row>
    <row r="79" spans="1:9" customFormat="1" ht="12.75" customHeight="1" x14ac:dyDescent="0.2">
      <c r="A79" s="122" t="s">
        <v>589</v>
      </c>
      <c r="B79" s="373">
        <f>B77+'Исходные данные'!$C$65*100</f>
        <v>9865.2614634146339</v>
      </c>
      <c r="C79" s="373">
        <f>C77+'Исходные данные'!$C$65*100</f>
        <v>9837.9014634146333</v>
      </c>
      <c r="D79" s="373">
        <f>D77+'Исходные данные'!$C$65*100</f>
        <v>9803.221463414633</v>
      </c>
      <c r="E79" s="373">
        <f>E77+'Исходные данные'!$C$65*100</f>
        <v>9695.221463414633</v>
      </c>
      <c r="F79" s="373">
        <f>F77+'Исходные данные'!$C$65*100</f>
        <v>9791.1414634146331</v>
      </c>
      <c r="G79" s="373">
        <f>G77+'Исходные данные'!$C$65*100</f>
        <v>9777.1414634146331</v>
      </c>
      <c r="H79" s="373">
        <f>H77+'Исходные данные'!$C$65*100</f>
        <v>9859.221463414633</v>
      </c>
      <c r="I79" s="373">
        <f>I77+'Исходные данные'!$C$65*100</f>
        <v>9798.221463414633</v>
      </c>
    </row>
    <row r="80" spans="1:9" customFormat="1" ht="12.75" x14ac:dyDescent="0.2">
      <c r="A80" s="122" t="s">
        <v>590</v>
      </c>
      <c r="B80" s="373">
        <f>B77+'Исходные данные'!$D$65*100</f>
        <v>9647.4914285714294</v>
      </c>
      <c r="C80" s="373">
        <f>C77+'Исходные данные'!$D$65*100</f>
        <v>9620.1314285714288</v>
      </c>
      <c r="D80" s="373">
        <f>D77+'Исходные данные'!$D$65*100</f>
        <v>9585.4514285714286</v>
      </c>
      <c r="E80" s="373">
        <f>E77+'Исходные данные'!$D$65*100</f>
        <v>9477.4514285714286</v>
      </c>
      <c r="F80" s="373">
        <f>F77+'Исходные данные'!$D$65*100</f>
        <v>9573.3714285714286</v>
      </c>
      <c r="G80" s="373">
        <f>G77+'Исходные данные'!$D$65*100</f>
        <v>9559.3714285714286</v>
      </c>
      <c r="H80" s="373">
        <f>H77+'Исходные данные'!$D$65*100</f>
        <v>9641.4514285714286</v>
      </c>
      <c r="I80" s="373">
        <f>I77+'Исходные данные'!$D$65*100</f>
        <v>9580.4514285714286</v>
      </c>
    </row>
    <row r="81" spans="1:46" x14ac:dyDescent="0.25">
      <c r="A81" s="332"/>
      <c r="B81" s="333"/>
      <c r="C81" s="333"/>
      <c r="D81" s="333"/>
      <c r="E81" s="333"/>
      <c r="F81" s="333"/>
    </row>
    <row r="82" spans="1:46" ht="15.75" customHeight="1" x14ac:dyDescent="0.25">
      <c r="A82" s="405" t="s">
        <v>649</v>
      </c>
      <c r="B82"/>
      <c r="C82"/>
      <c r="D82"/>
      <c r="E82"/>
      <c r="F82"/>
      <c r="G82"/>
      <c r="H82"/>
      <c r="L82" s="394" t="s">
        <v>610</v>
      </c>
      <c r="M82" s="394"/>
      <c r="N82" s="394"/>
      <c r="O82" s="394"/>
      <c r="P82" s="394"/>
      <c r="Q82" s="394"/>
      <c r="R82" s="394"/>
      <c r="S82" s="394"/>
      <c r="T82" s="394"/>
      <c r="U82">
        <v>2017</v>
      </c>
      <c r="V82"/>
      <c r="W82"/>
      <c r="X82"/>
      <c r="Y82"/>
      <c r="Z82"/>
      <c r="AA82"/>
      <c r="AB82"/>
      <c r="AC82"/>
      <c r="AD82">
        <v>2018</v>
      </c>
      <c r="AE82"/>
      <c r="AF82"/>
      <c r="AG82"/>
      <c r="AH82"/>
      <c r="AI82"/>
      <c r="AJ82"/>
      <c r="AK82"/>
      <c r="AL82"/>
      <c r="AM82">
        <v>2019</v>
      </c>
      <c r="AN82"/>
      <c r="AO82"/>
      <c r="AP82"/>
      <c r="AQ82"/>
      <c r="AR82"/>
      <c r="AS82"/>
      <c r="AT82"/>
    </row>
    <row r="83" spans="1:46" ht="25.5" x14ac:dyDescent="0.25">
      <c r="A83" s="372"/>
      <c r="B83" s="372" t="s">
        <v>650</v>
      </c>
      <c r="C83" s="372" t="s">
        <v>585</v>
      </c>
      <c r="D83" s="372" t="s">
        <v>578</v>
      </c>
      <c r="E83" s="372" t="s">
        <v>586</v>
      </c>
      <c r="F83" s="372" t="s">
        <v>579</v>
      </c>
      <c r="G83" s="372" t="s">
        <v>587</v>
      </c>
      <c r="H83" s="372" t="s">
        <v>138</v>
      </c>
      <c r="L83" s="372"/>
      <c r="M83" s="372" t="s">
        <v>584</v>
      </c>
      <c r="N83" s="372" t="s">
        <v>585</v>
      </c>
      <c r="O83" s="372" t="s">
        <v>578</v>
      </c>
      <c r="P83" s="372" t="s">
        <v>586</v>
      </c>
      <c r="Q83" s="372" t="s">
        <v>579</v>
      </c>
      <c r="R83" s="372" t="s">
        <v>587</v>
      </c>
      <c r="S83" s="372" t="s">
        <v>138</v>
      </c>
      <c r="T83"/>
      <c r="U83" s="372"/>
      <c r="V83" s="372" t="s">
        <v>584</v>
      </c>
      <c r="W83" s="372" t="s">
        <v>585</v>
      </c>
      <c r="X83" s="372" t="s">
        <v>578</v>
      </c>
      <c r="Y83" s="372" t="s">
        <v>586</v>
      </c>
      <c r="Z83" s="372" t="s">
        <v>579</v>
      </c>
      <c r="AA83" s="372" t="s">
        <v>587</v>
      </c>
      <c r="AB83" s="372" t="s">
        <v>138</v>
      </c>
      <c r="AC83"/>
      <c r="AD83" s="372"/>
      <c r="AE83" s="372" t="s">
        <v>584</v>
      </c>
      <c r="AF83" s="372" t="s">
        <v>585</v>
      </c>
      <c r="AG83" s="372" t="s">
        <v>578</v>
      </c>
      <c r="AH83" s="372" t="s">
        <v>586</v>
      </c>
      <c r="AI83" s="372" t="s">
        <v>579</v>
      </c>
      <c r="AJ83" s="372" t="s">
        <v>587</v>
      </c>
      <c r="AK83" s="372" t="s">
        <v>138</v>
      </c>
      <c r="AL83"/>
      <c r="AM83" s="372"/>
      <c r="AN83" s="372" t="s">
        <v>584</v>
      </c>
      <c r="AO83" s="372" t="s">
        <v>585</v>
      </c>
      <c r="AP83" s="372" t="s">
        <v>578</v>
      </c>
      <c r="AQ83" s="372" t="s">
        <v>586</v>
      </c>
      <c r="AR83" s="372" t="s">
        <v>579</v>
      </c>
      <c r="AS83" s="372" t="s">
        <v>587</v>
      </c>
      <c r="AT83" s="372" t="s">
        <v>138</v>
      </c>
    </row>
    <row r="84" spans="1:46" x14ac:dyDescent="0.25">
      <c r="A84" s="389" t="s">
        <v>602</v>
      </c>
      <c r="B84" s="392">
        <f t="shared" ref="B84:H84" si="16">B86+B87+B88</f>
        <v>99.992314269119987</v>
      </c>
      <c r="C84" s="392">
        <f t="shared" si="16"/>
        <v>101.43277978079999</v>
      </c>
      <c r="D84" s="392">
        <f t="shared" si="16"/>
        <v>134.08333137888002</v>
      </c>
      <c r="E84" s="392">
        <f t="shared" si="16"/>
        <v>98.911965135359992</v>
      </c>
      <c r="F84" s="392">
        <f t="shared" si="16"/>
        <v>116.4376288608</v>
      </c>
      <c r="G84" s="392">
        <f t="shared" si="16"/>
        <v>156.29050801727996</v>
      </c>
      <c r="H84" s="392">
        <f t="shared" si="16"/>
        <v>180.53834413055998</v>
      </c>
      <c r="L84" s="389" t="s">
        <v>602</v>
      </c>
      <c r="M84" s="392">
        <f t="shared" ref="M84:S84" si="17">M86+M87+M88</f>
        <v>83.300000000000011</v>
      </c>
      <c r="N84" s="392">
        <f t="shared" si="17"/>
        <v>84.5</v>
      </c>
      <c r="O84" s="392">
        <f t="shared" si="17"/>
        <v>111.7</v>
      </c>
      <c r="P84" s="392">
        <f t="shared" si="17"/>
        <v>82.4</v>
      </c>
      <c r="Q84" s="392">
        <f t="shared" si="17"/>
        <v>97</v>
      </c>
      <c r="R84" s="392">
        <f t="shared" si="17"/>
        <v>130.19999999999999</v>
      </c>
      <c r="S84" s="392">
        <f t="shared" si="17"/>
        <v>150.4</v>
      </c>
      <c r="T84"/>
      <c r="U84" s="389" t="s">
        <v>602</v>
      </c>
      <c r="V84" s="392">
        <f t="shared" ref="V84:AB84" si="18">V86+V87+V88</f>
        <v>88.298000000000002</v>
      </c>
      <c r="W84" s="392">
        <f t="shared" si="18"/>
        <v>89.570000000000007</v>
      </c>
      <c r="X84" s="392">
        <f t="shared" si="18"/>
        <v>118.40200000000002</v>
      </c>
      <c r="Y84" s="392">
        <f t="shared" si="18"/>
        <v>87.344000000000008</v>
      </c>
      <c r="Z84" s="392">
        <f t="shared" si="18"/>
        <v>102.82000000000001</v>
      </c>
      <c r="AA84" s="392">
        <f t="shared" si="18"/>
        <v>138.012</v>
      </c>
      <c r="AB84" s="392">
        <f t="shared" si="18"/>
        <v>159.42399999999998</v>
      </c>
      <c r="AC84"/>
      <c r="AD84" s="389" t="s">
        <v>602</v>
      </c>
      <c r="AE84" s="392">
        <f t="shared" ref="AE84:AK84" si="19">AE86+AE87+AE88</f>
        <v>91.829920000000001</v>
      </c>
      <c r="AF84" s="392">
        <f t="shared" si="19"/>
        <v>93.152800000000013</v>
      </c>
      <c r="AG84" s="392">
        <f t="shared" si="19"/>
        <v>123.13808000000003</v>
      </c>
      <c r="AH84" s="392">
        <f t="shared" si="19"/>
        <v>90.837760000000003</v>
      </c>
      <c r="AI84" s="392">
        <f t="shared" si="19"/>
        <v>106.9328</v>
      </c>
      <c r="AJ84" s="392">
        <f t="shared" si="19"/>
        <v>143.53248000000002</v>
      </c>
      <c r="AK84" s="392">
        <f t="shared" si="19"/>
        <v>165.80095999999998</v>
      </c>
      <c r="AL84"/>
      <c r="AM84" s="389" t="s">
        <v>602</v>
      </c>
      <c r="AN84" s="392">
        <f t="shared" ref="AN84:AT84" si="20">AN86+AN87+AN88</f>
        <v>96.054096319999985</v>
      </c>
      <c r="AO84" s="392">
        <f t="shared" si="20"/>
        <v>97.437828799999991</v>
      </c>
      <c r="AP84" s="392">
        <f t="shared" si="20"/>
        <v>128.80243168000004</v>
      </c>
      <c r="AQ84" s="392">
        <f t="shared" si="20"/>
        <v>95.016296960000005</v>
      </c>
      <c r="AR84" s="392">
        <f t="shared" si="20"/>
        <v>111.8517088</v>
      </c>
      <c r="AS84" s="392">
        <f t="shared" si="20"/>
        <v>150.13497407999998</v>
      </c>
      <c r="AT84" s="392">
        <f t="shared" si="20"/>
        <v>173.42780415999999</v>
      </c>
    </row>
    <row r="85" spans="1:46" x14ac:dyDescent="0.25">
      <c r="A85" s="387" t="s">
        <v>603</v>
      </c>
      <c r="B85" s="373"/>
      <c r="C85" s="373"/>
      <c r="D85" s="373"/>
      <c r="E85" s="373"/>
      <c r="F85" s="373"/>
      <c r="G85" s="373"/>
      <c r="H85" s="373"/>
      <c r="L85" s="387" t="s">
        <v>603</v>
      </c>
      <c r="M85" s="373"/>
      <c r="N85" s="373"/>
      <c r="O85" s="373"/>
      <c r="P85" s="373"/>
      <c r="Q85" s="373"/>
      <c r="R85" s="373"/>
      <c r="S85" s="373"/>
      <c r="T85"/>
      <c r="U85" s="387" t="s">
        <v>603</v>
      </c>
      <c r="V85" s="373"/>
      <c r="W85" s="373"/>
      <c r="X85" s="373"/>
      <c r="Y85" s="373"/>
      <c r="Z85" s="373"/>
      <c r="AA85" s="373"/>
      <c r="AB85" s="373"/>
      <c r="AC85"/>
      <c r="AD85" s="387" t="s">
        <v>603</v>
      </c>
      <c r="AE85" s="373"/>
      <c r="AF85" s="373"/>
      <c r="AG85" s="373"/>
      <c r="AH85" s="373"/>
      <c r="AI85" s="373"/>
      <c r="AJ85" s="373"/>
      <c r="AK85" s="373"/>
      <c r="AL85"/>
      <c r="AM85" s="387" t="s">
        <v>603</v>
      </c>
      <c r="AN85" s="373"/>
      <c r="AO85" s="373"/>
      <c r="AP85" s="373"/>
      <c r="AQ85" s="373"/>
      <c r="AR85" s="373"/>
      <c r="AS85" s="373"/>
      <c r="AT85" s="373"/>
    </row>
    <row r="86" spans="1:46" x14ac:dyDescent="0.25">
      <c r="A86" s="388" t="s">
        <v>604</v>
      </c>
      <c r="B86" s="373">
        <f>AN86*$M$103/100</f>
        <v>17.28558614016</v>
      </c>
      <c r="C86" s="373">
        <f>'Исходные данные'!AO86*'Исходные данные'!$M$103/100</f>
        <v>15.725081835839996</v>
      </c>
      <c r="D86" s="373">
        <f>'Исходные данные'!AP86*'Исходные данные'!$M$103/100</f>
        <v>23.767680942719998</v>
      </c>
      <c r="E86" s="373">
        <f>'Исходные данные'!AQ86*'Исходные данные'!$M$103/100</f>
        <v>13.804461153599998</v>
      </c>
      <c r="F86" s="373">
        <f>'Исходные данные'!AR86*'Исходные данные'!$M$103/100</f>
        <v>17.525663725439994</v>
      </c>
      <c r="G86" s="373">
        <f>'Исходные данные'!AS86*'Исходные данные'!$M$103/100</f>
        <v>26.76865075872</v>
      </c>
      <c r="H86" s="373">
        <f>'Исходные данные'!AT86*'Исходные данные'!$M$103/100</f>
        <v>24.007758527999997</v>
      </c>
      <c r="L86" s="388" t="s">
        <v>604</v>
      </c>
      <c r="M86" s="373">
        <v>14.4</v>
      </c>
      <c r="N86" s="373">
        <v>13.1</v>
      </c>
      <c r="O86" s="373">
        <v>19.8</v>
      </c>
      <c r="P86" s="373">
        <v>11.5</v>
      </c>
      <c r="Q86" s="373">
        <v>14.6</v>
      </c>
      <c r="R86" s="373">
        <v>22.3</v>
      </c>
      <c r="S86" s="373">
        <v>20</v>
      </c>
      <c r="T86"/>
      <c r="U86" s="388" t="s">
        <v>604</v>
      </c>
      <c r="V86" s="373">
        <f>M86*'Исходные данные'!$M$99/100</f>
        <v>15.264000000000001</v>
      </c>
      <c r="W86" s="373">
        <f>N86*'Исходные данные'!$M$99/100</f>
        <v>13.885999999999999</v>
      </c>
      <c r="X86" s="373">
        <f>O86*'Исходные данные'!$M$99/100</f>
        <v>20.988000000000003</v>
      </c>
      <c r="Y86" s="373">
        <f>P86*'Исходные данные'!$M$99/100</f>
        <v>12.19</v>
      </c>
      <c r="Z86" s="373">
        <f>Q86*'Исходные данные'!$M$99/100</f>
        <v>15.475999999999999</v>
      </c>
      <c r="AA86" s="373">
        <f>R86*'Исходные данные'!$M$99/100</f>
        <v>23.638000000000002</v>
      </c>
      <c r="AB86" s="373">
        <f>S86*'Исходные данные'!$M$99/100</f>
        <v>21.2</v>
      </c>
      <c r="AC86"/>
      <c r="AD86" s="388" t="s">
        <v>604</v>
      </c>
      <c r="AE86" s="373">
        <f>V86*'Исходные данные'!$M$100/100</f>
        <v>15.874560000000001</v>
      </c>
      <c r="AF86" s="373">
        <f>W86*'Исходные данные'!$M$100/100</f>
        <v>14.44144</v>
      </c>
      <c r="AG86" s="373">
        <f>X86*'Исходные данные'!$M$100/100</f>
        <v>21.827520000000003</v>
      </c>
      <c r="AH86" s="373">
        <f>Y86*'Исходные данные'!$M$100/100</f>
        <v>12.6776</v>
      </c>
      <c r="AI86" s="373">
        <f>Z86*'Исходные данные'!$M$100/100</f>
        <v>16.095039999999997</v>
      </c>
      <c r="AJ86" s="373">
        <f>AA86*'Исходные данные'!$M$100/100</f>
        <v>24.583520000000004</v>
      </c>
      <c r="AK86" s="373">
        <f>AB86*'Исходные данные'!$M$100/100</f>
        <v>22.047999999999998</v>
      </c>
      <c r="AL86"/>
      <c r="AM86" s="388" t="s">
        <v>604</v>
      </c>
      <c r="AN86" s="373">
        <f>AE86*'Исходные данные'!$M$101/100</f>
        <v>16.604789759999999</v>
      </c>
      <c r="AO86" s="373">
        <f>AF86*'Исходные данные'!$M$101/100</f>
        <v>15.105746239999998</v>
      </c>
      <c r="AP86" s="373">
        <f>AG86*'Исходные данные'!$M$101/100</f>
        <v>22.831585920000002</v>
      </c>
      <c r="AQ86" s="373">
        <f>AH86*'Исходные данные'!$M$101/100</f>
        <v>13.260769599999998</v>
      </c>
      <c r="AR86" s="373">
        <f>AI86*'Исходные данные'!$M$101/100</f>
        <v>16.835411839999995</v>
      </c>
      <c r="AS86" s="373">
        <f>AJ86*'Исходные данные'!$M$101/100</f>
        <v>25.714361920000002</v>
      </c>
      <c r="AT86" s="373">
        <f>AK86*'Исходные данные'!$M$101/100</f>
        <v>23.062207999999995</v>
      </c>
    </row>
    <row r="87" spans="1:46" ht="23.25" customHeight="1" x14ac:dyDescent="0.25">
      <c r="A87" s="388" t="s">
        <v>605</v>
      </c>
      <c r="B87" s="373">
        <f>'Исходные данные'!AN87*'Исходные данные'!$M$103/100</f>
        <v>69.62249973119998</v>
      </c>
      <c r="C87" s="373">
        <f>'Исходные данные'!AO87*'Исходные данные'!$M$103/100</f>
        <v>72.02327558399999</v>
      </c>
      <c r="D87" s="373">
        <f>'Исходные данные'!AP87*'Исходные данные'!$M$103/100</f>
        <v>93.630258259200019</v>
      </c>
      <c r="E87" s="373">
        <f>'Исходные данные'!AQ87*'Исходные данные'!$M$103/100</f>
        <v>72.02327558399999</v>
      </c>
      <c r="F87" s="373">
        <f>'Исходные данные'!AR87*'Исходные данные'!$M$103/100</f>
        <v>84.027154848000009</v>
      </c>
      <c r="G87" s="373">
        <f>'Исходные данные'!AS87*'Исходные данные'!$M$103/100</f>
        <v>110.43568922879999</v>
      </c>
      <c r="H87" s="373">
        <f>'Исходные данные'!AT87*'Исходные данные'!$M$103/100</f>
        <v>132.04267190399997</v>
      </c>
      <c r="L87" s="388" t="s">
        <v>605</v>
      </c>
      <c r="M87" s="373">
        <v>58</v>
      </c>
      <c r="N87" s="373">
        <v>60</v>
      </c>
      <c r="O87" s="373">
        <v>78</v>
      </c>
      <c r="P87" s="373">
        <v>60</v>
      </c>
      <c r="Q87" s="373">
        <v>70</v>
      </c>
      <c r="R87" s="373">
        <v>92</v>
      </c>
      <c r="S87" s="373">
        <v>110</v>
      </c>
      <c r="T87"/>
      <c r="U87" s="388" t="s">
        <v>605</v>
      </c>
      <c r="V87" s="373">
        <f>M87*'Исходные данные'!$M$99/100</f>
        <v>61.48</v>
      </c>
      <c r="W87" s="373">
        <f>N87*'Исходные данные'!$M$99/100</f>
        <v>63.6</v>
      </c>
      <c r="X87" s="373">
        <f>O87*'Исходные данные'!$M$99/100</f>
        <v>82.68</v>
      </c>
      <c r="Y87" s="373">
        <f>P87*'Исходные данные'!$M$99/100</f>
        <v>63.6</v>
      </c>
      <c r="Z87" s="373">
        <f>Q87*'Исходные данные'!$M$99/100</f>
        <v>74.2</v>
      </c>
      <c r="AA87" s="373">
        <f>R87*'Исходные данные'!$M$99/100</f>
        <v>97.52</v>
      </c>
      <c r="AB87" s="373">
        <f>S87*'Исходные данные'!$M$99/100</f>
        <v>116.6</v>
      </c>
      <c r="AC87"/>
      <c r="AD87" s="388" t="s">
        <v>605</v>
      </c>
      <c r="AE87" s="373">
        <f>V87*'Исходные данные'!$M$100/100</f>
        <v>63.9392</v>
      </c>
      <c r="AF87" s="373">
        <f>W87*'Исходные данные'!$M$100/100</f>
        <v>66.144000000000005</v>
      </c>
      <c r="AG87" s="373">
        <f>X87*'Исходные данные'!$M$100/100</f>
        <v>85.987200000000016</v>
      </c>
      <c r="AH87" s="373">
        <f>Y87*'Исходные данные'!$M$100/100</f>
        <v>66.144000000000005</v>
      </c>
      <c r="AI87" s="373">
        <f>Z87*'Исходные данные'!$M$100/100</f>
        <v>77.168000000000006</v>
      </c>
      <c r="AJ87" s="373">
        <f>AA87*'Исходные данные'!$M$100/100</f>
        <v>101.4208</v>
      </c>
      <c r="AK87" s="373">
        <f>AB87*'Исходные данные'!$M$100/100</f>
        <v>121.264</v>
      </c>
      <c r="AL87"/>
      <c r="AM87" s="388" t="s">
        <v>605</v>
      </c>
      <c r="AN87" s="373">
        <f>AE87*'Исходные данные'!$M$101/100</f>
        <v>66.880403199999989</v>
      </c>
      <c r="AO87" s="373">
        <f>AF87*'Исходные данные'!$M$101/100</f>
        <v>69.186623999999995</v>
      </c>
      <c r="AP87" s="373">
        <f>AG87*'Исходные данные'!$M$101/100</f>
        <v>89.942611200000016</v>
      </c>
      <c r="AQ87" s="373">
        <f>AH87*'Исходные данные'!$M$101/100</f>
        <v>69.186623999999995</v>
      </c>
      <c r="AR87" s="373">
        <f>AI87*'Исходные данные'!$M$101/100</f>
        <v>80.717728000000008</v>
      </c>
      <c r="AS87" s="373">
        <f>AJ87*'Исходные данные'!$M$101/100</f>
        <v>106.08615679999998</v>
      </c>
      <c r="AT87" s="373">
        <f>AK87*'Исходные данные'!$M$101/100</f>
        <v>126.84214399999999</v>
      </c>
    </row>
    <row r="88" spans="1:46" x14ac:dyDescent="0.25">
      <c r="A88" s="388" t="s">
        <v>606</v>
      </c>
      <c r="B88" s="373">
        <f>'Исходные данные'!AN88*'Исходные данные'!$M$103/100</f>
        <v>13.08422839776</v>
      </c>
      <c r="C88" s="373">
        <f>'Исходные данные'!AO88*'Исходные данные'!$M$103/100</f>
        <v>13.684422360959999</v>
      </c>
      <c r="D88" s="373">
        <f>'Исходные данные'!AP88*'Исходные данные'!$M$103/100</f>
        <v>16.685392176960001</v>
      </c>
      <c r="E88" s="373">
        <f>'Исходные данные'!AQ88*'Исходные данные'!$M$103/100</f>
        <v>13.08422839776</v>
      </c>
      <c r="F88" s="373">
        <f>'Исходные данные'!AR88*'Исходные данные'!$M$103/100</f>
        <v>14.884810287360001</v>
      </c>
      <c r="G88" s="373">
        <f>'Исходные данные'!AS88*'Исходные данные'!$M$103/100</f>
        <v>19.08616802976</v>
      </c>
      <c r="H88" s="373">
        <f>'Исходные данные'!AT88*'Исходные данные'!$M$103/100</f>
        <v>24.487913698559996</v>
      </c>
      <c r="L88" s="388" t="s">
        <v>606</v>
      </c>
      <c r="M88" s="373">
        <v>10.9</v>
      </c>
      <c r="N88" s="373">
        <v>11.4</v>
      </c>
      <c r="O88" s="373">
        <v>13.9</v>
      </c>
      <c r="P88" s="373">
        <v>10.9</v>
      </c>
      <c r="Q88" s="373">
        <v>12.4</v>
      </c>
      <c r="R88" s="373">
        <v>15.9</v>
      </c>
      <c r="S88" s="373">
        <v>20.399999999999999</v>
      </c>
      <c r="T88"/>
      <c r="U88" s="388" t="s">
        <v>606</v>
      </c>
      <c r="V88" s="373">
        <f>M88*'Исходные данные'!$M$99/100</f>
        <v>11.554</v>
      </c>
      <c r="W88" s="373">
        <f>N88*'Исходные данные'!$M$99/100</f>
        <v>12.084000000000001</v>
      </c>
      <c r="X88" s="373">
        <f>O88*'Исходные данные'!$M$99/100</f>
        <v>14.734000000000002</v>
      </c>
      <c r="Y88" s="373">
        <f>P88*'Исходные данные'!$M$99/100</f>
        <v>11.554</v>
      </c>
      <c r="Z88" s="373">
        <f>Q88*'Исходные данные'!$M$99/100</f>
        <v>13.144</v>
      </c>
      <c r="AA88" s="373">
        <f>R88*'Исходные данные'!$M$99/100</f>
        <v>16.853999999999999</v>
      </c>
      <c r="AB88" s="373">
        <f>S88*'Исходные данные'!$M$99/100</f>
        <v>21.623999999999995</v>
      </c>
      <c r="AC88"/>
      <c r="AD88" s="388" t="s">
        <v>606</v>
      </c>
      <c r="AE88" s="373">
        <f>V88*'Исходные данные'!$M$100/100</f>
        <v>12.016159999999999</v>
      </c>
      <c r="AF88" s="373">
        <f>W88*'Исходные данные'!$M$100/100</f>
        <v>12.567360000000001</v>
      </c>
      <c r="AG88" s="373">
        <f>X88*'Исходные данные'!$M$100/100</f>
        <v>15.323360000000003</v>
      </c>
      <c r="AH88" s="373">
        <f>Y88*'Исходные данные'!$M$100/100</f>
        <v>12.016159999999999</v>
      </c>
      <c r="AI88" s="373">
        <f>Z88*'Исходные данные'!$M$100/100</f>
        <v>13.669760000000002</v>
      </c>
      <c r="AJ88" s="373">
        <f>AA88*'Исходные данные'!$M$100/100</f>
        <v>17.52816</v>
      </c>
      <c r="AK88" s="373">
        <f>AB88*'Исходные данные'!$M$100/100</f>
        <v>22.488959999999999</v>
      </c>
      <c r="AL88"/>
      <c r="AM88" s="388" t="s">
        <v>606</v>
      </c>
      <c r="AN88" s="373">
        <f>AE88*'Исходные данные'!$M$101/100</f>
        <v>12.56890336</v>
      </c>
      <c r="AO88" s="373">
        <f>AF88*'Исходные данные'!$M$101/100</f>
        <v>13.14545856</v>
      </c>
      <c r="AP88" s="373">
        <f>AG88*'Исходные данные'!$M$101/100</f>
        <v>16.028234560000001</v>
      </c>
      <c r="AQ88" s="373">
        <f>AH88*'Исходные данные'!$M$101/100</f>
        <v>12.56890336</v>
      </c>
      <c r="AR88" s="373">
        <f>AI88*'Исходные данные'!$M$101/100</f>
        <v>14.298568960000003</v>
      </c>
      <c r="AS88" s="373">
        <f>AJ88*'Исходные данные'!$M$101/100</f>
        <v>18.33445536</v>
      </c>
      <c r="AT88" s="373">
        <f>AK88*'Исходные данные'!$M$101/100</f>
        <v>23.523452159999998</v>
      </c>
    </row>
    <row r="89" spans="1:46" ht="19.5" customHeight="1" x14ac:dyDescent="0.25">
      <c r="A89" s="390" t="s">
        <v>607</v>
      </c>
      <c r="B89" s="392">
        <f t="shared" ref="B89:H89" si="21">B91+B92+B93</f>
        <v>8.0425991068799991</v>
      </c>
      <c r="C89" s="392">
        <f t="shared" si="21"/>
        <v>11.283646508159999</v>
      </c>
      <c r="D89" s="392">
        <f t="shared" si="21"/>
        <v>15.00484908</v>
      </c>
      <c r="E89" s="392">
        <f t="shared" si="21"/>
        <v>16.685392176959997</v>
      </c>
      <c r="F89" s="392">
        <f t="shared" si="21"/>
        <v>19.206206822399999</v>
      </c>
      <c r="G89" s="392">
        <f t="shared" si="21"/>
        <v>22.927409394239998</v>
      </c>
      <c r="H89" s="392">
        <f t="shared" si="21"/>
        <v>25.32818524704</v>
      </c>
      <c r="L89" s="390" t="s">
        <v>607</v>
      </c>
      <c r="M89" s="392">
        <f t="shared" ref="M89:S89" si="22">M91+M92+M93</f>
        <v>6.7</v>
      </c>
      <c r="N89" s="392">
        <f t="shared" si="22"/>
        <v>9.4</v>
      </c>
      <c r="O89" s="392">
        <f t="shared" si="22"/>
        <v>12.5</v>
      </c>
      <c r="P89" s="392">
        <f t="shared" si="22"/>
        <v>13.9</v>
      </c>
      <c r="Q89" s="392">
        <f t="shared" si="22"/>
        <v>16</v>
      </c>
      <c r="R89" s="392">
        <f t="shared" si="22"/>
        <v>19.100000000000001</v>
      </c>
      <c r="S89" s="392">
        <f t="shared" si="22"/>
        <v>21.1</v>
      </c>
      <c r="T89"/>
      <c r="U89" s="390" t="s">
        <v>607</v>
      </c>
      <c r="V89" s="392">
        <f t="shared" ref="V89:AB89" si="23">V91+V92+V93</f>
        <v>7.1020000000000003</v>
      </c>
      <c r="W89" s="392">
        <f t="shared" si="23"/>
        <v>9.9640000000000004</v>
      </c>
      <c r="X89" s="392">
        <f t="shared" si="23"/>
        <v>13.25</v>
      </c>
      <c r="Y89" s="392">
        <f t="shared" si="23"/>
        <v>14.733999999999998</v>
      </c>
      <c r="Z89" s="392">
        <f t="shared" si="23"/>
        <v>16.96</v>
      </c>
      <c r="AA89" s="392">
        <f t="shared" si="23"/>
        <v>20.245999999999999</v>
      </c>
      <c r="AB89" s="392">
        <f t="shared" si="23"/>
        <v>22.366</v>
      </c>
      <c r="AC89"/>
      <c r="AD89" s="390" t="s">
        <v>607</v>
      </c>
      <c r="AE89" s="392">
        <f t="shared" ref="AE89:AK89" si="24">AE91+AE92+AE93</f>
        <v>7.3860800000000006</v>
      </c>
      <c r="AF89" s="392">
        <f t="shared" si="24"/>
        <v>10.362560000000002</v>
      </c>
      <c r="AG89" s="392">
        <f t="shared" si="24"/>
        <v>13.780000000000001</v>
      </c>
      <c r="AH89" s="392">
        <f t="shared" si="24"/>
        <v>15.323359999999999</v>
      </c>
      <c r="AI89" s="392">
        <f t="shared" si="24"/>
        <v>17.638400000000001</v>
      </c>
      <c r="AJ89" s="392">
        <f t="shared" si="24"/>
        <v>21.05584</v>
      </c>
      <c r="AK89" s="392">
        <f t="shared" si="24"/>
        <v>23.260640000000002</v>
      </c>
      <c r="AL89"/>
      <c r="AM89" s="390" t="s">
        <v>607</v>
      </c>
      <c r="AN89" s="392">
        <f t="shared" ref="AN89:AT89" si="25">AN91+AN92+AN93</f>
        <v>7.72583968</v>
      </c>
      <c r="AO89" s="392">
        <f t="shared" si="25"/>
        <v>10.839237760000001</v>
      </c>
      <c r="AP89" s="392">
        <f t="shared" si="25"/>
        <v>14.413880000000001</v>
      </c>
      <c r="AQ89" s="392">
        <f t="shared" si="25"/>
        <v>16.028234559999998</v>
      </c>
      <c r="AR89" s="392">
        <f t="shared" si="25"/>
        <v>18.449766400000001</v>
      </c>
      <c r="AS89" s="392">
        <f t="shared" si="25"/>
        <v>22.024408639999997</v>
      </c>
      <c r="AT89" s="392">
        <f t="shared" si="25"/>
        <v>24.330629440000003</v>
      </c>
    </row>
    <row r="90" spans="1:46" x14ac:dyDescent="0.25">
      <c r="A90" s="387" t="s">
        <v>603</v>
      </c>
      <c r="B90" s="373"/>
      <c r="C90" s="373"/>
      <c r="D90" s="373"/>
      <c r="E90" s="373"/>
      <c r="F90" s="373"/>
      <c r="G90" s="373"/>
      <c r="H90" s="373"/>
      <c r="L90" s="387" t="s">
        <v>603</v>
      </c>
      <c r="M90" s="373"/>
      <c r="N90" s="373"/>
      <c r="O90" s="373"/>
      <c r="P90" s="373"/>
      <c r="Q90" s="373"/>
      <c r="R90" s="373"/>
      <c r="S90" s="373"/>
      <c r="T90"/>
      <c r="U90" s="387" t="s">
        <v>603</v>
      </c>
      <c r="V90" s="373"/>
      <c r="W90" s="373"/>
      <c r="X90" s="373"/>
      <c r="Y90" s="373"/>
      <c r="Z90" s="373"/>
      <c r="AA90" s="373"/>
      <c r="AB90" s="373"/>
      <c r="AC90"/>
      <c r="AD90" s="387" t="s">
        <v>603</v>
      </c>
      <c r="AE90" s="373"/>
      <c r="AF90" s="373"/>
      <c r="AG90" s="373"/>
      <c r="AH90" s="373"/>
      <c r="AI90" s="373"/>
      <c r="AJ90" s="373"/>
      <c r="AK90" s="373"/>
      <c r="AL90"/>
      <c r="AM90" s="387" t="s">
        <v>603</v>
      </c>
      <c r="AN90" s="373"/>
      <c r="AO90" s="373"/>
      <c r="AP90" s="373"/>
      <c r="AQ90" s="373"/>
      <c r="AR90" s="373"/>
      <c r="AS90" s="373"/>
      <c r="AT90" s="373"/>
    </row>
    <row r="91" spans="1:46" ht="25.5" x14ac:dyDescent="0.25">
      <c r="A91" s="388" t="s">
        <v>608</v>
      </c>
      <c r="B91" s="373">
        <f>'Исходные данные'!AN91*'Исходные данные'!$M$103/100</f>
        <v>2.0406594748799995</v>
      </c>
      <c r="C91" s="373">
        <f>'Исходные данные'!AO91*'Исходные данные'!$M$103/100</f>
        <v>2.2807370601599994</v>
      </c>
      <c r="D91" s="373">
        <f>'Исходные данные'!AP91*'Исходные данные'!$M$103/100</f>
        <v>3.0009698159999996</v>
      </c>
      <c r="E91" s="373">
        <f>'Исходные данные'!AQ91*'Исходные данные'!$M$103/100</f>
        <v>2.2807370601599994</v>
      </c>
      <c r="F91" s="373">
        <f>'Исходные данные'!AR91*'Исходные данные'!$M$103/100</f>
        <v>1.8005818895999999</v>
      </c>
      <c r="G91" s="373">
        <f>'Исходные данные'!AS91*'Исходные данные'!$M$103/100</f>
        <v>2.5208146454400007</v>
      </c>
      <c r="H91" s="373">
        <f>'Исходные данные'!AT91*'Исходные данные'!$M$103/100</f>
        <v>2.5208146454400007</v>
      </c>
      <c r="L91" s="388" t="s">
        <v>608</v>
      </c>
      <c r="M91" s="373">
        <v>1.7</v>
      </c>
      <c r="N91" s="373">
        <v>1.9</v>
      </c>
      <c r="O91" s="373">
        <v>2.5</v>
      </c>
      <c r="P91" s="373">
        <v>1.9</v>
      </c>
      <c r="Q91" s="373">
        <v>1.5</v>
      </c>
      <c r="R91" s="373">
        <v>2.1</v>
      </c>
      <c r="S91" s="373">
        <v>2.1</v>
      </c>
      <c r="T91"/>
      <c r="U91" s="388" t="s">
        <v>608</v>
      </c>
      <c r="V91" s="373">
        <f>M91*'Исходные данные'!$M$99/100</f>
        <v>1.8019999999999998</v>
      </c>
      <c r="W91" s="373">
        <f>N91*'Исходные данные'!$M$99/100</f>
        <v>2.0139999999999998</v>
      </c>
      <c r="X91" s="373">
        <f>O91*'Исходные данные'!$M$99/100</f>
        <v>2.65</v>
      </c>
      <c r="Y91" s="373">
        <f>P91*'Исходные данные'!$M$99/100</f>
        <v>2.0139999999999998</v>
      </c>
      <c r="Z91" s="373">
        <f>Q91*'Исходные данные'!$M$99/100</f>
        <v>1.59</v>
      </c>
      <c r="AA91" s="373">
        <f>R91*'Исходные данные'!$M$99/100</f>
        <v>2.2260000000000004</v>
      </c>
      <c r="AB91" s="373">
        <f>S91*'Исходные данные'!$M$99/100</f>
        <v>2.2260000000000004</v>
      </c>
      <c r="AC91"/>
      <c r="AD91" s="388" t="s">
        <v>608</v>
      </c>
      <c r="AE91" s="373">
        <f>V91*'Исходные данные'!$M$100/100</f>
        <v>1.87408</v>
      </c>
      <c r="AF91" s="373">
        <f>W91*'Исходные данные'!$M$100/100</f>
        <v>2.09456</v>
      </c>
      <c r="AG91" s="373">
        <f>X91*'Исходные данные'!$M$100/100</f>
        <v>2.7559999999999998</v>
      </c>
      <c r="AH91" s="373">
        <f>Y91*'Исходные данные'!$M$100/100</f>
        <v>2.09456</v>
      </c>
      <c r="AI91" s="373">
        <f>Z91*'Исходные данные'!$M$100/100</f>
        <v>1.6536000000000002</v>
      </c>
      <c r="AJ91" s="373">
        <f>AA91*'Исходные данные'!$M$100/100</f>
        <v>2.3150400000000007</v>
      </c>
      <c r="AK91" s="373">
        <f>AB91*'Исходные данные'!$M$100/100</f>
        <v>2.3150400000000007</v>
      </c>
      <c r="AL91"/>
      <c r="AM91" s="388" t="s">
        <v>608</v>
      </c>
      <c r="AN91" s="373">
        <f>AE91*'Исходные данные'!$M$101/100</f>
        <v>1.9602876799999998</v>
      </c>
      <c r="AO91" s="373">
        <f>AF91*'Исходные данные'!$M$101/100</f>
        <v>2.1909097599999998</v>
      </c>
      <c r="AP91" s="373">
        <f>AG91*'Исходные данные'!$M$101/100</f>
        <v>2.8827759999999993</v>
      </c>
      <c r="AQ91" s="373">
        <f>AH91*'Исходные данные'!$M$101/100</f>
        <v>2.1909097599999998</v>
      </c>
      <c r="AR91" s="373">
        <f>AI91*'Исходные данные'!$M$101/100</f>
        <v>1.7296656000000001</v>
      </c>
      <c r="AS91" s="373">
        <f>AJ91*'Исходные данные'!$M$101/100</f>
        <v>2.4215318400000005</v>
      </c>
      <c r="AT91" s="373">
        <f>AK91*'Исходные данные'!$M$101/100</f>
        <v>2.4215318400000005</v>
      </c>
    </row>
    <row r="92" spans="1:46" ht="18.75" customHeight="1" x14ac:dyDescent="0.25">
      <c r="A92" s="388" t="s">
        <v>605</v>
      </c>
      <c r="B92" s="373">
        <f>'Исходные данные'!AN92*'Исходные данные'!$M$103/100</f>
        <v>4.8015517055999997</v>
      </c>
      <c r="C92" s="373">
        <f>'Исходные данные'!AO92*'Исходные данные'!$M$103/100</f>
        <v>7.2023275583999995</v>
      </c>
      <c r="D92" s="373">
        <f>'Исходные данные'!AP92*'Исходные данные'!$M$103/100</f>
        <v>9.6031034111999993</v>
      </c>
      <c r="E92" s="373">
        <f>'Исходные данные'!AQ92*'Исходные данные'!$M$103/100</f>
        <v>12.003879263999998</v>
      </c>
      <c r="F92" s="373">
        <f>'Исходные данные'!AR92*'Исходные данные'!$M$103/100</f>
        <v>14.404655116799999</v>
      </c>
      <c r="G92" s="373">
        <f>'Исходные данные'!AS92*'Исходные данные'!$M$103/100</f>
        <v>16.805430969599996</v>
      </c>
      <c r="H92" s="373">
        <f>'Исходные данные'!AT92*'Исходные данные'!$M$103/100</f>
        <v>19.206206822399999</v>
      </c>
      <c r="L92" s="388" t="s">
        <v>605</v>
      </c>
      <c r="M92" s="373">
        <v>4</v>
      </c>
      <c r="N92" s="373">
        <v>6</v>
      </c>
      <c r="O92" s="373">
        <v>8</v>
      </c>
      <c r="P92" s="373">
        <v>10</v>
      </c>
      <c r="Q92" s="373">
        <v>12</v>
      </c>
      <c r="R92" s="373">
        <v>14</v>
      </c>
      <c r="S92" s="373">
        <v>16</v>
      </c>
      <c r="T92"/>
      <c r="U92" s="388" t="s">
        <v>605</v>
      </c>
      <c r="V92" s="373">
        <f>M92*'Исходные данные'!$M$99/100</f>
        <v>4.24</v>
      </c>
      <c r="W92" s="373">
        <f>N92*'Исходные данные'!$M$99/100</f>
        <v>6.36</v>
      </c>
      <c r="X92" s="373">
        <f>O92*'Исходные данные'!$M$99/100</f>
        <v>8.48</v>
      </c>
      <c r="Y92" s="373">
        <f>P92*'Исходные данные'!$M$99/100</f>
        <v>10.6</v>
      </c>
      <c r="Z92" s="373">
        <f>Q92*'Исходные данные'!$M$99/100</f>
        <v>12.72</v>
      </c>
      <c r="AA92" s="373">
        <f>R92*'Исходные данные'!$M$99/100</f>
        <v>14.84</v>
      </c>
      <c r="AB92" s="373">
        <f>S92*'Исходные данные'!$M$99/100</f>
        <v>16.96</v>
      </c>
      <c r="AC92"/>
      <c r="AD92" s="388" t="s">
        <v>605</v>
      </c>
      <c r="AE92" s="373">
        <f>V92*'Исходные данные'!$M$100/100</f>
        <v>4.4096000000000002</v>
      </c>
      <c r="AF92" s="373">
        <f>W92*'Исходные данные'!$M$100/100</f>
        <v>6.6144000000000007</v>
      </c>
      <c r="AG92" s="373">
        <f>X92*'Исходные данные'!$M$100/100</f>
        <v>8.8192000000000004</v>
      </c>
      <c r="AH92" s="373">
        <f>Y92*'Исходные данные'!$M$100/100</f>
        <v>11.023999999999999</v>
      </c>
      <c r="AI92" s="373">
        <f>Z92*'Исходные данные'!$M$100/100</f>
        <v>13.228800000000001</v>
      </c>
      <c r="AJ92" s="373">
        <f>AA92*'Исходные данные'!$M$100/100</f>
        <v>15.433599999999998</v>
      </c>
      <c r="AK92" s="373">
        <f>AB92*'Исходные данные'!$M$100/100</f>
        <v>17.638400000000001</v>
      </c>
      <c r="AL92"/>
      <c r="AM92" s="388" t="s">
        <v>605</v>
      </c>
      <c r="AN92" s="373">
        <f>AE92*'Исходные данные'!$M$101/100</f>
        <v>4.6124416000000004</v>
      </c>
      <c r="AO92" s="373">
        <f>AF92*'Исходные данные'!$M$101/100</f>
        <v>6.9186624000000005</v>
      </c>
      <c r="AP92" s="373">
        <f>AG92*'Исходные данные'!$M$101/100</f>
        <v>9.2248832000000007</v>
      </c>
      <c r="AQ92" s="373">
        <f>AH92*'Исходные данные'!$M$101/100</f>
        <v>11.531103999999997</v>
      </c>
      <c r="AR92" s="373">
        <f>AI92*'Исходные данные'!$M$101/100</f>
        <v>13.837324800000001</v>
      </c>
      <c r="AS92" s="373">
        <f>AJ92*'Исходные данные'!$M$101/100</f>
        <v>16.143545599999996</v>
      </c>
      <c r="AT92" s="373">
        <f>AK92*'Исходные данные'!$M$101/100</f>
        <v>18.449766400000001</v>
      </c>
    </row>
    <row r="93" spans="1:46" x14ac:dyDescent="0.25">
      <c r="A93" s="388" t="s">
        <v>606</v>
      </c>
      <c r="B93" s="373">
        <f>'Исходные данные'!AN93*'Исходные данные'!$M$103/100</f>
        <v>1.2003879263999999</v>
      </c>
      <c r="C93" s="373">
        <f>'Исходные данные'!AO93*'Исходные данные'!$M$103/100</f>
        <v>1.8005818895999999</v>
      </c>
      <c r="D93" s="373">
        <f>'Исходные данные'!AP93*'Исходные данные'!$M$103/100</f>
        <v>2.4007758527999998</v>
      </c>
      <c r="E93" s="373">
        <f>'Исходные данные'!AQ93*'Исходные данные'!$M$103/100</f>
        <v>2.4007758527999998</v>
      </c>
      <c r="F93" s="373">
        <f>'Исходные данные'!AR93*'Исходные данные'!$M$103/100</f>
        <v>3.0009698159999996</v>
      </c>
      <c r="G93" s="373">
        <f>'Исходные данные'!AS93*'Исходные данные'!$M$103/100</f>
        <v>3.6011637791999997</v>
      </c>
      <c r="H93" s="373">
        <f>'Исходные данные'!AT93*'Исходные данные'!$M$103/100</f>
        <v>3.6011637791999997</v>
      </c>
      <c r="L93" s="388" t="s">
        <v>606</v>
      </c>
      <c r="M93" s="373">
        <v>1</v>
      </c>
      <c r="N93" s="373">
        <v>1.5</v>
      </c>
      <c r="O93" s="373">
        <v>2</v>
      </c>
      <c r="P93" s="373">
        <v>2</v>
      </c>
      <c r="Q93" s="373">
        <v>2.5</v>
      </c>
      <c r="R93" s="373">
        <v>3</v>
      </c>
      <c r="S93" s="373">
        <v>3</v>
      </c>
      <c r="T93"/>
      <c r="U93" s="388" t="s">
        <v>606</v>
      </c>
      <c r="V93" s="373">
        <f>M93*'Исходные данные'!$M$99/100</f>
        <v>1.06</v>
      </c>
      <c r="W93" s="373">
        <f>N93*'Исходные данные'!$M$99/100</f>
        <v>1.59</v>
      </c>
      <c r="X93" s="373">
        <f>O93*'Исходные данные'!$M$99/100</f>
        <v>2.12</v>
      </c>
      <c r="Y93" s="373">
        <f>P93*'Исходные данные'!$M$99/100</f>
        <v>2.12</v>
      </c>
      <c r="Z93" s="373">
        <f>Q93*'Исходные данные'!$M$99/100</f>
        <v>2.65</v>
      </c>
      <c r="AA93" s="373">
        <f>R93*'Исходные данные'!$M$99/100</f>
        <v>3.18</v>
      </c>
      <c r="AB93" s="373">
        <f>S93*'Исходные данные'!$M$99/100</f>
        <v>3.18</v>
      </c>
      <c r="AC93"/>
      <c r="AD93" s="388" t="s">
        <v>606</v>
      </c>
      <c r="AE93" s="373">
        <f>V93*'Исходные данные'!$M$100/100</f>
        <v>1.1024</v>
      </c>
      <c r="AF93" s="373">
        <f>W93*'Исходные данные'!$M$100/100</f>
        <v>1.6536000000000002</v>
      </c>
      <c r="AG93" s="373">
        <f>X93*'Исходные данные'!$M$100/100</f>
        <v>2.2048000000000001</v>
      </c>
      <c r="AH93" s="373">
        <f>Y93*'Исходные данные'!$M$100/100</f>
        <v>2.2048000000000001</v>
      </c>
      <c r="AI93" s="373">
        <f>Z93*'Исходные данные'!$M$100/100</f>
        <v>2.7559999999999998</v>
      </c>
      <c r="AJ93" s="373">
        <f>AA93*'Исходные данные'!$M$100/100</f>
        <v>3.3072000000000004</v>
      </c>
      <c r="AK93" s="373">
        <f>AB93*'Исходные данные'!$M$100/100</f>
        <v>3.3072000000000004</v>
      </c>
      <c r="AL93"/>
      <c r="AM93" s="388" t="s">
        <v>606</v>
      </c>
      <c r="AN93" s="373">
        <f>AE93*'Исходные данные'!$M$101/100</f>
        <v>1.1531104000000001</v>
      </c>
      <c r="AO93" s="373">
        <f>AF93*'Исходные данные'!$M$101/100</f>
        <v>1.7296656000000001</v>
      </c>
      <c r="AP93" s="373">
        <f>AG93*'Исходные данные'!$M$101/100</f>
        <v>2.3062208000000002</v>
      </c>
      <c r="AQ93" s="373">
        <f>AH93*'Исходные данные'!$M$101/100</f>
        <v>2.3062208000000002</v>
      </c>
      <c r="AR93" s="373">
        <f>AI93*'Исходные данные'!$M$101/100</f>
        <v>2.8827759999999993</v>
      </c>
      <c r="AS93" s="373">
        <f>AJ93*'Исходные данные'!$M$101/100</f>
        <v>3.4593312000000003</v>
      </c>
      <c r="AT93" s="373">
        <f>AK93*'Исходные данные'!$M$101/100</f>
        <v>3.4593312000000003</v>
      </c>
    </row>
    <row r="94" spans="1:46" ht="16.5" customHeight="1" x14ac:dyDescent="0.25">
      <c r="A94" s="391" t="s">
        <v>609</v>
      </c>
      <c r="B94" s="392">
        <f>'Исходные данные'!AN94*'Исходные данные'!$M$103/100</f>
        <v>11.043568922879997</v>
      </c>
      <c r="C94" s="392">
        <f>'Исходные данные'!AO94*'Исходные данные'!$M$103/100</f>
        <v>8.0425991068799991</v>
      </c>
      <c r="D94" s="392">
        <f>'Исходные данные'!AP94*'Исходные данные'!$M$103/100</f>
        <v>0</v>
      </c>
      <c r="E94" s="392">
        <f>'Исходные данные'!AQ94*'Исходные данные'!$M$103/100</f>
        <v>5.7618620467199984</v>
      </c>
      <c r="F94" s="392">
        <f>'Исходные данные'!AR94*'Исходные данные'!$M$103/100</f>
        <v>5.5217844614399985</v>
      </c>
      <c r="G94" s="392">
        <f>'Исходные данные'!AS94*'Исходные данные'!$M$103/100</f>
        <v>3.4811249865599989</v>
      </c>
      <c r="H94" s="392">
        <f>'Исходные данные'!AT94*'Исходные данные'!$M$103/100</f>
        <v>5.5217844614399985</v>
      </c>
      <c r="L94" s="391" t="s">
        <v>609</v>
      </c>
      <c r="M94" s="392">
        <v>9.1999999999999993</v>
      </c>
      <c r="N94" s="392">
        <v>6.7</v>
      </c>
      <c r="O94" s="392">
        <v>0</v>
      </c>
      <c r="P94" s="392">
        <v>4.8</v>
      </c>
      <c r="Q94" s="392">
        <v>4.5999999999999996</v>
      </c>
      <c r="R94" s="392">
        <v>2.9</v>
      </c>
      <c r="S94" s="392">
        <v>4.5999999999999996</v>
      </c>
      <c r="T94"/>
      <c r="U94" s="391" t="s">
        <v>609</v>
      </c>
      <c r="V94" s="392">
        <f>M94*'Исходные данные'!$M$99/100</f>
        <v>9.7519999999999989</v>
      </c>
      <c r="W94" s="392">
        <f>N94*'Исходные данные'!$M$99/100</f>
        <v>7.1020000000000003</v>
      </c>
      <c r="X94" s="392">
        <f>O94*'Исходные данные'!$M$99/100</f>
        <v>0</v>
      </c>
      <c r="Y94" s="392">
        <f>P94*'Исходные данные'!$M$99/100</f>
        <v>5.0879999999999992</v>
      </c>
      <c r="Z94" s="392">
        <f>Q94*'Исходные данные'!$M$99/100</f>
        <v>4.8759999999999994</v>
      </c>
      <c r="AA94" s="392">
        <f>R94*'Исходные данные'!$M$99/100</f>
        <v>3.0739999999999998</v>
      </c>
      <c r="AB94" s="392">
        <f>S94*'Исходные данные'!$M$99/100</f>
        <v>4.8759999999999994</v>
      </c>
      <c r="AC94"/>
      <c r="AD94" s="391" t="s">
        <v>609</v>
      </c>
      <c r="AE94" s="373">
        <f>V94*'Исходные данные'!$M$100/100</f>
        <v>10.142079999999998</v>
      </c>
      <c r="AF94" s="373">
        <f>W94*'Исходные данные'!$M$100/100</f>
        <v>7.3860800000000006</v>
      </c>
      <c r="AG94" s="373">
        <f>X94*'Исходные данные'!$M$100/100</f>
        <v>0</v>
      </c>
      <c r="AH94" s="373">
        <f>Y94*'Исходные данные'!$M$100/100</f>
        <v>5.2915199999999993</v>
      </c>
      <c r="AI94" s="373">
        <f>Z94*'Исходные данные'!$M$100/100</f>
        <v>5.0710399999999991</v>
      </c>
      <c r="AJ94" s="373">
        <f>AA94*'Исходные данные'!$M$100/100</f>
        <v>3.1969599999999998</v>
      </c>
      <c r="AK94" s="373">
        <f>AB94*'Исходные данные'!$M$100/100</f>
        <v>5.0710399999999991</v>
      </c>
      <c r="AL94"/>
      <c r="AM94" s="391" t="s">
        <v>609</v>
      </c>
      <c r="AN94" s="373">
        <f>AE94*'Исходные данные'!$M$101/100</f>
        <v>10.608615679999998</v>
      </c>
      <c r="AO94" s="373">
        <f>AF94*'Исходные данные'!$M$101/100</f>
        <v>7.72583968</v>
      </c>
      <c r="AP94" s="373">
        <f>AG94*'Исходные данные'!$M$101/100</f>
        <v>0</v>
      </c>
      <c r="AQ94" s="373">
        <f>AH94*'Исходные данные'!$M$101/100</f>
        <v>5.5349299199999988</v>
      </c>
      <c r="AR94" s="373">
        <f>AI94*'Исходные данные'!$M$101/100</f>
        <v>5.304307839999999</v>
      </c>
      <c r="AS94" s="373">
        <f>AJ94*'Исходные данные'!$M$101/100</f>
        <v>3.3440201599999995</v>
      </c>
      <c r="AT94" s="373">
        <f>AK94*'Исходные данные'!$M$101/100</f>
        <v>5.304307839999999</v>
      </c>
    </row>
    <row r="95" spans="1:46" ht="15.75" customHeight="1" x14ac:dyDescent="0.25">
      <c r="A95" s="393" t="s">
        <v>599</v>
      </c>
      <c r="B95" s="392">
        <f t="shared" ref="B95:H95" si="26">B84+B89+B94</f>
        <v>119.07848229887999</v>
      </c>
      <c r="C95" s="392">
        <f t="shared" si="26"/>
        <v>120.75902539584</v>
      </c>
      <c r="D95" s="392">
        <f t="shared" si="26"/>
        <v>149.08818045888</v>
      </c>
      <c r="E95" s="392">
        <f t="shared" si="26"/>
        <v>121.35921935903998</v>
      </c>
      <c r="F95" s="392">
        <f t="shared" si="26"/>
        <v>141.16562014464</v>
      </c>
      <c r="G95" s="392">
        <f t="shared" si="26"/>
        <v>182.69904239807994</v>
      </c>
      <c r="H95" s="392">
        <f t="shared" si="26"/>
        <v>211.38831383903999</v>
      </c>
      <c r="L95" s="393" t="s">
        <v>599</v>
      </c>
      <c r="M95" s="392">
        <f t="shared" ref="M95:S95" si="27">M84+M89+M94</f>
        <v>99.200000000000017</v>
      </c>
      <c r="N95" s="392">
        <f t="shared" si="27"/>
        <v>100.60000000000001</v>
      </c>
      <c r="O95" s="392">
        <f t="shared" si="27"/>
        <v>124.2</v>
      </c>
      <c r="P95" s="392">
        <f t="shared" si="27"/>
        <v>101.10000000000001</v>
      </c>
      <c r="Q95" s="392">
        <f t="shared" si="27"/>
        <v>117.6</v>
      </c>
      <c r="R95" s="392">
        <f t="shared" si="27"/>
        <v>152.19999999999999</v>
      </c>
      <c r="S95" s="392">
        <f t="shared" si="27"/>
        <v>176.1</v>
      </c>
      <c r="T95"/>
      <c r="U95" s="393" t="s">
        <v>599</v>
      </c>
      <c r="V95" s="392">
        <f t="shared" ref="V95:AB95" si="28">V84+V89+V94</f>
        <v>105.152</v>
      </c>
      <c r="W95" s="392">
        <f t="shared" si="28"/>
        <v>106.63600000000001</v>
      </c>
      <c r="X95" s="392">
        <f t="shared" si="28"/>
        <v>131.65200000000002</v>
      </c>
      <c r="Y95" s="392">
        <f t="shared" si="28"/>
        <v>107.166</v>
      </c>
      <c r="Z95" s="392">
        <f t="shared" si="28"/>
        <v>124.65600000000001</v>
      </c>
      <c r="AA95" s="392">
        <f t="shared" si="28"/>
        <v>161.33200000000002</v>
      </c>
      <c r="AB95" s="392">
        <f t="shared" si="28"/>
        <v>186.66599999999997</v>
      </c>
      <c r="AC95"/>
      <c r="AD95" s="393" t="s">
        <v>599</v>
      </c>
      <c r="AE95" s="392">
        <f t="shared" ref="AE95:AK95" si="29">AE84+AE89+AE94</f>
        <v>109.35808</v>
      </c>
      <c r="AF95" s="392">
        <f t="shared" si="29"/>
        <v>110.90144000000002</v>
      </c>
      <c r="AG95" s="392">
        <f t="shared" si="29"/>
        <v>136.91808000000003</v>
      </c>
      <c r="AH95" s="392">
        <f t="shared" si="29"/>
        <v>111.45264</v>
      </c>
      <c r="AI95" s="392">
        <f t="shared" si="29"/>
        <v>129.64224000000002</v>
      </c>
      <c r="AJ95" s="392">
        <f t="shared" si="29"/>
        <v>167.78528</v>
      </c>
      <c r="AK95" s="392">
        <f t="shared" si="29"/>
        <v>194.13263999999998</v>
      </c>
      <c r="AL95"/>
      <c r="AM95" s="393" t="s">
        <v>599</v>
      </c>
      <c r="AN95" s="392">
        <f t="shared" ref="AN95:AT95" si="30">AN84+AN89+AN94</f>
        <v>114.38855167999999</v>
      </c>
      <c r="AO95" s="392">
        <f t="shared" si="30"/>
        <v>116.00290623999999</v>
      </c>
      <c r="AP95" s="392">
        <f t="shared" si="30"/>
        <v>143.21631168000005</v>
      </c>
      <c r="AQ95" s="392">
        <f t="shared" si="30"/>
        <v>116.57946144</v>
      </c>
      <c r="AR95" s="392">
        <f t="shared" si="30"/>
        <v>135.60578304000001</v>
      </c>
      <c r="AS95" s="392">
        <f t="shared" si="30"/>
        <v>175.50340287999995</v>
      </c>
      <c r="AT95" s="392">
        <f t="shared" si="30"/>
        <v>203.06274144</v>
      </c>
    </row>
    <row r="96" spans="1:46" x14ac:dyDescent="0.25">
      <c r="A96" s="403"/>
      <c r="B96" s="404"/>
      <c r="C96" s="404"/>
      <c r="D96" s="404"/>
      <c r="E96" s="404"/>
      <c r="F96" s="404"/>
      <c r="G96" s="404"/>
      <c r="H96" s="404"/>
      <c r="L96" s="403"/>
      <c r="M96" s="404"/>
      <c r="N96" s="404"/>
      <c r="O96" s="404"/>
      <c r="P96" s="404"/>
      <c r="Q96" s="404"/>
      <c r="R96" s="404"/>
      <c r="S96" s="404"/>
      <c r="T96"/>
      <c r="U96" s="403"/>
      <c r="V96" s="404"/>
      <c r="W96" s="404"/>
      <c r="X96" s="404"/>
      <c r="Y96" s="404"/>
      <c r="Z96" s="404"/>
      <c r="AA96" s="404"/>
      <c r="AB96" s="404"/>
      <c r="AC96"/>
      <c r="AD96" s="403"/>
      <c r="AE96" s="404"/>
      <c r="AF96" s="404"/>
      <c r="AG96" s="404"/>
      <c r="AH96" s="404"/>
      <c r="AI96" s="404"/>
      <c r="AJ96" s="404"/>
      <c r="AK96" s="404"/>
      <c r="AL96"/>
      <c r="AM96" s="403"/>
      <c r="AN96" s="404"/>
      <c r="AO96" s="404"/>
      <c r="AP96" s="404"/>
      <c r="AQ96" s="404"/>
      <c r="AR96" s="404"/>
      <c r="AS96" s="404"/>
      <c r="AT96" s="404"/>
    </row>
    <row r="97" spans="1:13" customFormat="1" x14ac:dyDescent="0.25">
      <c r="A97" s="405" t="s">
        <v>622</v>
      </c>
      <c r="J97" s="67"/>
      <c r="K97" s="67"/>
      <c r="L97" t="s">
        <v>611</v>
      </c>
    </row>
    <row r="98" spans="1:13" customFormat="1" ht="25.5" x14ac:dyDescent="0.25">
      <c r="A98" s="395" t="s">
        <v>181</v>
      </c>
      <c r="B98" s="395" t="s">
        <v>613</v>
      </c>
      <c r="J98" s="67"/>
      <c r="K98" s="67"/>
      <c r="L98">
        <v>2016</v>
      </c>
      <c r="M98">
        <v>109.4</v>
      </c>
    </row>
    <row r="99" spans="1:13" customFormat="1" x14ac:dyDescent="0.25">
      <c r="A99" s="460" t="s">
        <v>614</v>
      </c>
      <c r="B99" s="460"/>
      <c r="J99" s="67"/>
      <c r="K99" s="67"/>
      <c r="L99">
        <v>2017</v>
      </c>
      <c r="M99">
        <v>106</v>
      </c>
    </row>
    <row r="100" spans="1:13" customFormat="1" x14ac:dyDescent="0.25">
      <c r="A100" s="397" t="s">
        <v>615</v>
      </c>
      <c r="B100" s="395">
        <v>7.2</v>
      </c>
      <c r="C100" s="408"/>
      <c r="J100" s="67"/>
      <c r="K100" s="67"/>
      <c r="L100">
        <v>2018</v>
      </c>
      <c r="M100">
        <v>104</v>
      </c>
    </row>
    <row r="101" spans="1:13" customFormat="1" x14ac:dyDescent="0.25">
      <c r="A101" s="460" t="s">
        <v>616</v>
      </c>
      <c r="B101" s="460"/>
      <c r="C101" s="408"/>
      <c r="J101" s="67"/>
      <c r="K101" s="67"/>
      <c r="L101">
        <v>2019</v>
      </c>
      <c r="M101">
        <v>104.6</v>
      </c>
    </row>
    <row r="102" spans="1:13" customFormat="1" x14ac:dyDescent="0.25">
      <c r="A102" s="397" t="s">
        <v>617</v>
      </c>
      <c r="B102" s="395">
        <v>2.1</v>
      </c>
      <c r="C102" s="408"/>
      <c r="J102" s="67"/>
      <c r="K102" s="67"/>
      <c r="L102" t="s">
        <v>612</v>
      </c>
    </row>
    <row r="103" spans="1:13" customFormat="1" x14ac:dyDescent="0.25">
      <c r="A103" s="397" t="s">
        <v>618</v>
      </c>
      <c r="B103" s="395">
        <v>4.9000000000000004</v>
      </c>
      <c r="C103" s="408"/>
      <c r="J103" s="67"/>
      <c r="K103" s="67"/>
      <c r="L103">
        <v>2020</v>
      </c>
      <c r="M103">
        <v>104.1</v>
      </c>
    </row>
    <row r="104" spans="1:13" customFormat="1" x14ac:dyDescent="0.25">
      <c r="A104" s="397" t="s">
        <v>105</v>
      </c>
      <c r="B104" s="395">
        <v>5.0999999999999996</v>
      </c>
      <c r="C104" s="408"/>
      <c r="J104" s="67"/>
      <c r="K104" s="67"/>
    </row>
    <row r="105" spans="1:13" customFormat="1" x14ac:dyDescent="0.25">
      <c r="A105" s="397" t="s">
        <v>138</v>
      </c>
      <c r="B105" s="395">
        <v>1.5</v>
      </c>
      <c r="C105" s="408"/>
      <c r="J105" s="67"/>
      <c r="K105" s="67"/>
    </row>
    <row r="106" spans="1:13" customFormat="1" ht="12.75" x14ac:dyDescent="0.2">
      <c r="A106" s="397" t="s">
        <v>619</v>
      </c>
      <c r="B106" s="395">
        <v>2.1</v>
      </c>
      <c r="C106" s="408"/>
    </row>
    <row r="107" spans="1:13" customFormat="1" ht="12.75" x14ac:dyDescent="0.2">
      <c r="A107" s="397" t="s">
        <v>620</v>
      </c>
      <c r="B107" s="395">
        <v>2.1</v>
      </c>
      <c r="C107" s="408"/>
    </row>
    <row r="108" spans="1:13" customFormat="1" ht="12.75" x14ac:dyDescent="0.2">
      <c r="A108" s="397" t="s">
        <v>621</v>
      </c>
      <c r="B108" s="395">
        <v>11.6</v>
      </c>
      <c r="C108" s="408"/>
    </row>
    <row r="109" spans="1:13" customFormat="1" ht="12.75" x14ac:dyDescent="0.2">
      <c r="A109" s="397" t="s">
        <v>182</v>
      </c>
      <c r="B109" s="395">
        <v>14.7</v>
      </c>
      <c r="C109" s="408"/>
    </row>
    <row r="110" spans="1:13" customFormat="1" ht="12.75" x14ac:dyDescent="0.2">
      <c r="A110" s="397" t="s">
        <v>183</v>
      </c>
      <c r="B110" s="395">
        <v>15</v>
      </c>
      <c r="C110" s="408"/>
    </row>
    <row r="111" spans="1:13" customFormat="1" ht="12.75" x14ac:dyDescent="0.2">
      <c r="A111" s="397" t="s">
        <v>630</v>
      </c>
      <c r="B111" s="396">
        <v>2.7</v>
      </c>
    </row>
    <row r="112" spans="1:13" customFormat="1" ht="12.75" x14ac:dyDescent="0.2">
      <c r="A112" s="443"/>
    </row>
    <row r="113" spans="1:44" customFormat="1" ht="12.75" x14ac:dyDescent="0.2">
      <c r="A113" s="405" t="s">
        <v>631</v>
      </c>
    </row>
    <row r="114" spans="1:44" customFormat="1" ht="12.75" x14ac:dyDescent="0.2">
      <c r="A114" s="399"/>
      <c r="B114" s="461" t="s">
        <v>624</v>
      </c>
      <c r="C114" s="461"/>
      <c r="D114" s="461"/>
      <c r="E114" s="461"/>
      <c r="F114" s="461"/>
      <c r="G114" s="461"/>
      <c r="H114" s="461"/>
      <c r="I114" s="461"/>
      <c r="J114" s="461"/>
      <c r="K114" s="461"/>
    </row>
    <row r="115" spans="1:44" customFormat="1" ht="12.75" x14ac:dyDescent="0.2">
      <c r="A115" s="400" t="s">
        <v>623</v>
      </c>
      <c r="B115" s="395">
        <v>1</v>
      </c>
      <c r="C115" s="395">
        <v>2</v>
      </c>
      <c r="D115" s="395">
        <v>3</v>
      </c>
      <c r="E115" s="395">
        <v>4</v>
      </c>
      <c r="F115" s="395">
        <v>5</v>
      </c>
      <c r="G115" s="395">
        <v>6</v>
      </c>
      <c r="H115" s="395">
        <v>7</v>
      </c>
      <c r="I115" s="395">
        <v>8</v>
      </c>
      <c r="J115" s="395">
        <v>9</v>
      </c>
      <c r="K115" s="395">
        <v>10</v>
      </c>
    </row>
    <row r="116" spans="1:44" customFormat="1" ht="12.75" x14ac:dyDescent="0.2">
      <c r="A116" s="395" t="s">
        <v>625</v>
      </c>
      <c r="B116" s="395"/>
      <c r="C116" s="395"/>
      <c r="D116" s="395"/>
      <c r="E116" s="395"/>
      <c r="F116" s="395"/>
      <c r="G116" s="395"/>
      <c r="H116" s="395"/>
      <c r="I116" s="395"/>
      <c r="J116" s="395"/>
      <c r="K116" s="395"/>
    </row>
    <row r="117" spans="1:44" customFormat="1" ht="12.75" x14ac:dyDescent="0.2">
      <c r="A117" s="397" t="s">
        <v>626</v>
      </c>
      <c r="B117" s="395">
        <v>1.2</v>
      </c>
      <c r="C117" s="395">
        <v>1.2</v>
      </c>
      <c r="D117" s="395">
        <v>1.1399999999999999</v>
      </c>
      <c r="E117" s="395">
        <v>1.08</v>
      </c>
      <c r="F117" s="395">
        <v>1.03</v>
      </c>
      <c r="G117" s="395">
        <v>0.96</v>
      </c>
      <c r="H117" s="395">
        <v>0.92</v>
      </c>
      <c r="I117" s="395">
        <v>0.88</v>
      </c>
      <c r="J117" s="395">
        <v>0.84</v>
      </c>
      <c r="K117" s="395">
        <v>0.75</v>
      </c>
    </row>
    <row r="118" spans="1:44" customFormat="1" ht="12.75" x14ac:dyDescent="0.2">
      <c r="A118" s="397" t="s">
        <v>627</v>
      </c>
      <c r="B118" s="395">
        <v>1.1599999999999999</v>
      </c>
      <c r="C118" s="395">
        <v>1.1499999999999999</v>
      </c>
      <c r="D118" s="395" t="s">
        <v>628</v>
      </c>
      <c r="E118" s="395">
        <v>1.06</v>
      </c>
      <c r="F118" s="395">
        <v>1.03</v>
      </c>
      <c r="G118" s="395">
        <v>1</v>
      </c>
      <c r="H118" s="395">
        <v>0.96</v>
      </c>
      <c r="I118" s="395">
        <v>0.92</v>
      </c>
      <c r="J118" s="395">
        <v>0.84</v>
      </c>
      <c r="K118" s="395">
        <v>0.73</v>
      </c>
    </row>
    <row r="119" spans="1:44" customFormat="1" ht="12.75" x14ac:dyDescent="0.2">
      <c r="A119" s="397" t="s">
        <v>629</v>
      </c>
      <c r="B119" s="395">
        <v>1.1200000000000001</v>
      </c>
      <c r="C119" s="395">
        <v>1.1000000000000001</v>
      </c>
      <c r="D119" s="395">
        <v>1.07</v>
      </c>
      <c r="E119" s="395">
        <v>1.04</v>
      </c>
      <c r="F119" s="395">
        <v>1</v>
      </c>
      <c r="G119" s="395">
        <v>0.95</v>
      </c>
      <c r="H119" s="395">
        <v>0.9</v>
      </c>
      <c r="I119" s="395">
        <v>0.82</v>
      </c>
      <c r="J119" s="395"/>
      <c r="K119" s="395"/>
    </row>
    <row r="120" spans="1:44" customFormat="1" ht="12.75" x14ac:dyDescent="0.2">
      <c r="A120" s="397" t="s">
        <v>630</v>
      </c>
      <c r="B120" s="398">
        <v>1.1399999999999999</v>
      </c>
      <c r="C120" s="398">
        <v>1.1000000000000001</v>
      </c>
      <c r="D120" s="398">
        <v>1</v>
      </c>
      <c r="E120" s="398">
        <v>1.03</v>
      </c>
      <c r="F120" s="398">
        <v>1</v>
      </c>
      <c r="G120" s="398">
        <v>0.96</v>
      </c>
      <c r="H120" s="398">
        <v>0.9</v>
      </c>
      <c r="I120" s="398">
        <v>0.82</v>
      </c>
      <c r="J120" s="398"/>
      <c r="K120" s="398"/>
    </row>
    <row r="121" spans="1:44" x14ac:dyDescent="0.25">
      <c r="A121" s="403"/>
      <c r="B121" s="404"/>
      <c r="C121" s="404"/>
      <c r="D121" s="404"/>
      <c r="E121" s="404"/>
      <c r="F121" s="404"/>
      <c r="G121" s="404"/>
      <c r="H121" s="404"/>
      <c r="J121" s="403"/>
      <c r="K121" s="404"/>
      <c r="L121" s="404"/>
      <c r="M121" s="404"/>
      <c r="N121" s="404"/>
      <c r="O121" s="404"/>
      <c r="P121" s="404"/>
      <c r="Q121" s="404"/>
      <c r="R121"/>
      <c r="S121" s="403"/>
      <c r="T121" s="404"/>
      <c r="U121" s="404"/>
      <c r="V121" s="404"/>
      <c r="W121" s="404"/>
      <c r="X121" s="404"/>
      <c r="Y121" s="404"/>
      <c r="Z121" s="404"/>
      <c r="AA121"/>
      <c r="AB121" s="403"/>
      <c r="AC121" s="404"/>
      <c r="AD121" s="404"/>
      <c r="AE121" s="404"/>
      <c r="AF121" s="404"/>
      <c r="AG121" s="404"/>
      <c r="AH121" s="404"/>
      <c r="AI121" s="404"/>
      <c r="AJ121"/>
      <c r="AK121" s="403"/>
      <c r="AL121" s="404"/>
      <c r="AM121" s="404"/>
      <c r="AN121" s="404"/>
      <c r="AO121" s="404"/>
      <c r="AP121" s="404"/>
      <c r="AQ121" s="404"/>
      <c r="AR121" s="404"/>
    </row>
    <row r="122" spans="1:44" customFormat="1" ht="12.75" x14ac:dyDescent="0.2">
      <c r="A122" s="406" t="s">
        <v>648</v>
      </c>
    </row>
    <row r="123" spans="1:44" customFormat="1" ht="33" customHeight="1" x14ac:dyDescent="0.2">
      <c r="A123" s="395" t="s">
        <v>647</v>
      </c>
      <c r="B123" s="400" t="s">
        <v>182</v>
      </c>
      <c r="C123" s="400" t="s">
        <v>621</v>
      </c>
      <c r="D123" s="400" t="s">
        <v>103</v>
      </c>
      <c r="E123" s="400" t="s">
        <v>618</v>
      </c>
      <c r="F123" s="400" t="s">
        <v>579</v>
      </c>
      <c r="G123" s="400" t="s">
        <v>587</v>
      </c>
      <c r="H123" s="400" t="s">
        <v>632</v>
      </c>
      <c r="I123" s="400" t="s">
        <v>633</v>
      </c>
    </row>
    <row r="124" spans="1:44" customFormat="1" ht="12.75" x14ac:dyDescent="0.2">
      <c r="A124" s="395" t="s">
        <v>634</v>
      </c>
      <c r="B124" s="395">
        <v>0.5</v>
      </c>
      <c r="C124" s="395">
        <v>0.36</v>
      </c>
      <c r="D124" s="395">
        <v>0.54</v>
      </c>
      <c r="E124" s="395">
        <v>0.62</v>
      </c>
      <c r="F124" s="395">
        <v>0.62</v>
      </c>
      <c r="G124" s="395">
        <v>0.48</v>
      </c>
      <c r="H124" s="395">
        <v>0.43</v>
      </c>
      <c r="I124" s="395">
        <v>0.66</v>
      </c>
    </row>
    <row r="125" spans="1:44" customFormat="1" ht="12.75" x14ac:dyDescent="0.2">
      <c r="A125" s="395" t="s">
        <v>635</v>
      </c>
      <c r="B125" s="395">
        <v>0.61</v>
      </c>
      <c r="C125" s="395">
        <v>0.5</v>
      </c>
      <c r="D125" s="395">
        <v>0.67</v>
      </c>
      <c r="E125" s="395">
        <v>0.73</v>
      </c>
      <c r="F125" s="395">
        <v>0.71</v>
      </c>
      <c r="G125" s="395">
        <v>0.62</v>
      </c>
      <c r="H125" s="395">
        <v>0.57999999999999996</v>
      </c>
      <c r="I125" s="395">
        <v>0.74</v>
      </c>
    </row>
    <row r="126" spans="1:44" customFormat="1" ht="12.75" x14ac:dyDescent="0.2">
      <c r="A126" s="395" t="s">
        <v>636</v>
      </c>
      <c r="B126" s="395">
        <v>0.75</v>
      </c>
      <c r="C126" s="395">
        <v>0.69</v>
      </c>
      <c r="D126" s="395">
        <v>0.79</v>
      </c>
      <c r="E126" s="395">
        <v>0.83</v>
      </c>
      <c r="F126" s="395">
        <v>0.81</v>
      </c>
      <c r="G126" s="395">
        <v>0.74</v>
      </c>
      <c r="H126" s="395">
        <v>0.72</v>
      </c>
      <c r="I126" s="395">
        <v>0.85</v>
      </c>
    </row>
    <row r="127" spans="1:44" customFormat="1" ht="12.75" x14ac:dyDescent="0.2">
      <c r="A127" s="395" t="s">
        <v>637</v>
      </c>
      <c r="B127" s="395">
        <v>0.88</v>
      </c>
      <c r="C127" s="395">
        <v>0.86</v>
      </c>
      <c r="D127" s="395">
        <v>0.89</v>
      </c>
      <c r="E127" s="395">
        <v>0.92</v>
      </c>
      <c r="F127" s="395">
        <v>0.92</v>
      </c>
      <c r="G127" s="395">
        <v>0.88</v>
      </c>
      <c r="H127" s="395">
        <v>0.86</v>
      </c>
      <c r="I127" s="395">
        <v>0.93</v>
      </c>
    </row>
    <row r="128" spans="1:44" customFormat="1" ht="12.75" x14ac:dyDescent="0.2">
      <c r="A128" s="395" t="s">
        <v>638</v>
      </c>
      <c r="B128" s="395">
        <v>1</v>
      </c>
      <c r="C128" s="395">
        <v>1</v>
      </c>
      <c r="D128" s="395">
        <v>1</v>
      </c>
      <c r="E128" s="395">
        <v>1</v>
      </c>
      <c r="F128" s="395">
        <v>1</v>
      </c>
      <c r="G128" s="395">
        <v>1</v>
      </c>
      <c r="H128" s="395">
        <v>1</v>
      </c>
      <c r="I128" s="401">
        <v>1</v>
      </c>
    </row>
    <row r="129" spans="1:44" customFormat="1" ht="12.75" x14ac:dyDescent="0.2">
      <c r="A129" s="395" t="s">
        <v>639</v>
      </c>
      <c r="B129" s="395">
        <v>1.1000000000000001</v>
      </c>
      <c r="C129" s="395">
        <v>1.08</v>
      </c>
      <c r="D129" s="395">
        <v>1.07</v>
      </c>
      <c r="E129" s="395">
        <v>1.08</v>
      </c>
      <c r="F129" s="395">
        <v>1.08</v>
      </c>
      <c r="G129" s="395">
        <v>1.1100000000000001</v>
      </c>
      <c r="H129" s="395">
        <v>1.1299999999999999</v>
      </c>
      <c r="I129" s="395">
        <v>1.08</v>
      </c>
    </row>
    <row r="130" spans="1:44" customFormat="1" ht="12.75" x14ac:dyDescent="0.2">
      <c r="A130" s="395" t="s">
        <v>640</v>
      </c>
      <c r="B130" s="395">
        <v>1.18</v>
      </c>
      <c r="C130" s="395">
        <v>1.1599999999999999</v>
      </c>
      <c r="D130" s="395">
        <v>1.1399999999999999</v>
      </c>
      <c r="E130" s="395">
        <v>1.1499999999999999</v>
      </c>
      <c r="F130" s="395">
        <v>1.1200000000000001</v>
      </c>
      <c r="G130" s="395">
        <v>1.22</v>
      </c>
      <c r="H130" s="395">
        <v>1.25</v>
      </c>
      <c r="I130" s="395">
        <v>1.1299999999999999</v>
      </c>
    </row>
    <row r="131" spans="1:44" customFormat="1" ht="12.75" x14ac:dyDescent="0.2">
      <c r="A131" s="395" t="s">
        <v>641</v>
      </c>
      <c r="B131" s="395">
        <v>1.24</v>
      </c>
      <c r="C131" s="395">
        <v>1.23</v>
      </c>
      <c r="D131" s="395">
        <v>1.19</v>
      </c>
      <c r="E131" s="395">
        <v>1.21</v>
      </c>
      <c r="F131" s="395">
        <v>1.17</v>
      </c>
      <c r="G131" s="395">
        <v>1.31</v>
      </c>
      <c r="H131" s="395">
        <v>1.32</v>
      </c>
      <c r="I131" s="395">
        <v>1.18</v>
      </c>
    </row>
    <row r="132" spans="1:44" customFormat="1" ht="12.75" x14ac:dyDescent="0.2">
      <c r="A132" s="395" t="s">
        <v>642</v>
      </c>
      <c r="B132" s="395">
        <v>1.28</v>
      </c>
      <c r="C132" s="395">
        <v>1.26</v>
      </c>
      <c r="D132" s="395">
        <v>1.22</v>
      </c>
      <c r="E132" s="395">
        <v>1.26</v>
      </c>
      <c r="F132" s="395">
        <v>1.2</v>
      </c>
      <c r="G132" s="395">
        <v>1.39</v>
      </c>
      <c r="H132" s="395">
        <v>1.39</v>
      </c>
      <c r="I132" s="395">
        <v>1.22</v>
      </c>
    </row>
    <row r="133" spans="1:44" customFormat="1" ht="12.75" x14ac:dyDescent="0.2">
      <c r="A133" s="395" t="s">
        <v>643</v>
      </c>
      <c r="B133" s="395">
        <v>1.32</v>
      </c>
      <c r="C133" s="395">
        <v>1.3</v>
      </c>
      <c r="D133" s="395">
        <v>1.25</v>
      </c>
      <c r="E133" s="395">
        <v>1.3</v>
      </c>
      <c r="F133" s="395">
        <v>1.22</v>
      </c>
      <c r="G133" s="395" t="s">
        <v>644</v>
      </c>
      <c r="H133" s="395">
        <v>1.43</v>
      </c>
      <c r="I133" s="395">
        <v>1.26</v>
      </c>
    </row>
    <row r="134" spans="1:44" customFormat="1" ht="12.75" x14ac:dyDescent="0.2">
      <c r="A134" s="395" t="s">
        <v>645</v>
      </c>
      <c r="B134" s="395">
        <v>1.35</v>
      </c>
      <c r="C134" s="395" t="s">
        <v>644</v>
      </c>
      <c r="D134" s="395">
        <v>1.27</v>
      </c>
      <c r="E134" s="395" t="s">
        <v>644</v>
      </c>
      <c r="F134" s="395">
        <v>1.24</v>
      </c>
      <c r="G134" s="395" t="s">
        <v>644</v>
      </c>
      <c r="H134" s="395" t="s">
        <v>644</v>
      </c>
      <c r="I134" s="395" t="s">
        <v>644</v>
      </c>
    </row>
    <row r="135" spans="1:44" customFormat="1" ht="12.75" x14ac:dyDescent="0.2">
      <c r="A135" s="395" t="s">
        <v>646</v>
      </c>
      <c r="B135" s="395" t="s">
        <v>644</v>
      </c>
      <c r="C135" s="395" t="s">
        <v>644</v>
      </c>
      <c r="D135" s="395">
        <v>1.29</v>
      </c>
      <c r="E135" s="395" t="s">
        <v>644</v>
      </c>
      <c r="F135" s="395">
        <v>1.26</v>
      </c>
      <c r="G135" s="395" t="s">
        <v>644</v>
      </c>
      <c r="H135" s="395" t="s">
        <v>644</v>
      </c>
      <c r="I135" s="395" t="s">
        <v>644</v>
      </c>
    </row>
    <row r="136" spans="1:44" x14ac:dyDescent="0.25">
      <c r="A136" s="403"/>
      <c r="B136" s="404"/>
      <c r="C136" s="404"/>
      <c r="D136" s="404"/>
      <c r="E136" s="404"/>
      <c r="F136" s="404"/>
      <c r="G136" s="404"/>
      <c r="H136" s="404"/>
      <c r="J136" s="403"/>
      <c r="K136" s="404"/>
      <c r="L136" s="404"/>
      <c r="M136" s="404"/>
      <c r="N136" s="404"/>
      <c r="O136" s="404"/>
      <c r="P136" s="404"/>
      <c r="Q136" s="404"/>
      <c r="R136"/>
      <c r="S136" s="403"/>
      <c r="T136" s="404"/>
      <c r="U136" s="404"/>
      <c r="V136" s="404"/>
      <c r="W136" s="404"/>
      <c r="X136" s="404"/>
      <c r="Y136" s="404"/>
      <c r="Z136" s="404"/>
      <c r="AA136"/>
      <c r="AB136" s="403"/>
      <c r="AC136" s="404"/>
      <c r="AD136" s="404"/>
      <c r="AE136" s="404"/>
      <c r="AF136" s="404"/>
      <c r="AG136" s="404"/>
      <c r="AH136" s="404"/>
      <c r="AI136" s="404"/>
      <c r="AJ136"/>
      <c r="AK136" s="403"/>
      <c r="AL136" s="404"/>
      <c r="AM136" s="404"/>
      <c r="AN136" s="404"/>
      <c r="AO136" s="404"/>
      <c r="AP136" s="404"/>
      <c r="AQ136" s="404"/>
      <c r="AR136" s="404"/>
    </row>
    <row r="137" spans="1:44" x14ac:dyDescent="0.25">
      <c r="A137" s="454" t="s">
        <v>658</v>
      </c>
      <c r="B137" s="454"/>
      <c r="C137" s="454"/>
    </row>
    <row r="138" spans="1:44" x14ac:dyDescent="0.25">
      <c r="A138" s="440" t="s">
        <v>563</v>
      </c>
      <c r="B138" s="441" t="s">
        <v>564</v>
      </c>
      <c r="C138" s="442">
        <v>5.07</v>
      </c>
    </row>
    <row r="139" spans="1:44" x14ac:dyDescent="0.25">
      <c r="A139" s="128"/>
      <c r="B139" s="128"/>
      <c r="C139" s="128"/>
    </row>
    <row r="140" spans="1:44" x14ac:dyDescent="0.25">
      <c r="A140" s="128"/>
      <c r="B140" s="128"/>
      <c r="C140" s="128"/>
    </row>
    <row r="141" spans="1:44" x14ac:dyDescent="0.25">
      <c r="A141" s="128"/>
      <c r="B141" s="128"/>
      <c r="C141" s="128"/>
    </row>
  </sheetData>
  <mergeCells count="32">
    <mergeCell ref="A99:B99"/>
    <mergeCell ref="A101:B101"/>
    <mergeCell ref="B114:K114"/>
    <mergeCell ref="A1:H1"/>
    <mergeCell ref="A53:C53"/>
    <mergeCell ref="A12:H12"/>
    <mergeCell ref="A13:A14"/>
    <mergeCell ref="C13:H13"/>
    <mergeCell ref="B13:B14"/>
    <mergeCell ref="A38:B38"/>
    <mergeCell ref="A15:A18"/>
    <mergeCell ref="A27:A30"/>
    <mergeCell ref="A31:A34"/>
    <mergeCell ref="A37:D37"/>
    <mergeCell ref="A19:A22"/>
    <mergeCell ref="A23:A26"/>
    <mergeCell ref="A43:B43"/>
    <mergeCell ref="A137:C137"/>
    <mergeCell ref="C38:D38"/>
    <mergeCell ref="A78:I78"/>
    <mergeCell ref="A69:I69"/>
    <mergeCell ref="A73:I73"/>
    <mergeCell ref="A39:B39"/>
    <mergeCell ref="A40:B40"/>
    <mergeCell ref="C39:D39"/>
    <mergeCell ref="C40:D40"/>
    <mergeCell ref="A45:D45"/>
    <mergeCell ref="C41:D41"/>
    <mergeCell ref="C42:D42"/>
    <mergeCell ref="C43:D43"/>
    <mergeCell ref="A41:B41"/>
    <mergeCell ref="A42:B42"/>
  </mergeCells>
  <phoneticPr fontId="4" type="noConversion"/>
  <pageMargins left="0.75" right="0.75" top="1" bottom="1" header="0.5" footer="0.5"/>
  <pageSetup paperSize="9" scale="30" orientation="portrait" r:id="rId1"/>
  <headerFooter alignWithMargins="0">
    <oddFooter>&amp;LОтдел СЭР села ЯНИИСХ</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7"/>
  </sheetPr>
  <dimension ref="A1:J101"/>
  <sheetViews>
    <sheetView view="pageBreakPreview" zoomScaleNormal="100" zoomScaleSheetLayoutView="100" workbookViewId="0">
      <selection activeCell="M29" sqref="M29"/>
    </sheetView>
  </sheetViews>
  <sheetFormatPr defaultColWidth="9.140625" defaultRowHeight="11.25" x14ac:dyDescent="0.2"/>
  <cols>
    <col min="1" max="1" width="37.5703125" style="191" customWidth="1"/>
    <col min="2" max="2" width="21.5703125" style="190" customWidth="1"/>
    <col min="3" max="3" width="14" style="192" customWidth="1"/>
    <col min="4" max="4" width="10.5703125" style="193" customWidth="1"/>
    <col min="5" max="5" width="16.5703125" style="190" customWidth="1"/>
    <col min="6" max="6" width="17.42578125" style="190" customWidth="1"/>
    <col min="7" max="7" width="16.28515625" style="190" customWidth="1"/>
    <col min="8" max="8" width="9.42578125" style="190" bestFit="1" customWidth="1"/>
    <col min="9" max="16384" width="9.140625" style="190"/>
  </cols>
  <sheetData>
    <row r="1" spans="1:10" ht="12.75" customHeight="1" x14ac:dyDescent="0.2">
      <c r="A1" s="470" t="s">
        <v>214</v>
      </c>
      <c r="B1" s="470"/>
      <c r="C1" s="470"/>
      <c r="D1" s="470"/>
      <c r="E1" s="470"/>
      <c r="F1" s="470"/>
      <c r="G1" s="470"/>
    </row>
    <row r="2" spans="1:10" ht="0.75" hidden="1" customHeight="1" x14ac:dyDescent="0.2">
      <c r="E2" s="194"/>
      <c r="F2" s="194"/>
      <c r="G2" s="194"/>
    </row>
    <row r="3" spans="1:10" hidden="1" x14ac:dyDescent="0.2"/>
    <row r="4" spans="1:10" s="195" customFormat="1" ht="15" customHeight="1" x14ac:dyDescent="0.2">
      <c r="A4" s="475" t="s">
        <v>215</v>
      </c>
      <c r="B4" s="475" t="s">
        <v>216</v>
      </c>
      <c r="C4" s="476" t="s">
        <v>11</v>
      </c>
      <c r="D4" s="471" t="s">
        <v>516</v>
      </c>
      <c r="E4" s="471" t="s">
        <v>572</v>
      </c>
      <c r="F4" s="472" t="s">
        <v>573</v>
      </c>
      <c r="G4" s="472" t="s">
        <v>574</v>
      </c>
    </row>
    <row r="5" spans="1:10" s="195" customFormat="1" ht="15.75" customHeight="1" x14ac:dyDescent="0.2">
      <c r="A5" s="475"/>
      <c r="B5" s="475"/>
      <c r="C5" s="476"/>
      <c r="D5" s="471"/>
      <c r="E5" s="471"/>
      <c r="F5" s="473"/>
      <c r="G5" s="473"/>
    </row>
    <row r="6" spans="1:10" s="195" customFormat="1" ht="9" customHeight="1" x14ac:dyDescent="0.2">
      <c r="A6" s="475"/>
      <c r="B6" s="475"/>
      <c r="C6" s="476"/>
      <c r="D6" s="471"/>
      <c r="E6" s="471"/>
      <c r="F6" s="474"/>
      <c r="G6" s="474"/>
    </row>
    <row r="7" spans="1:10" ht="12.75" x14ac:dyDescent="0.2">
      <c r="A7" s="196" t="s">
        <v>222</v>
      </c>
      <c r="B7" s="197" t="s">
        <v>103</v>
      </c>
      <c r="C7" s="356">
        <v>463022.03</v>
      </c>
      <c r="D7" s="357">
        <v>8</v>
      </c>
      <c r="E7" s="358">
        <f>(100/D7)</f>
        <v>12.5</v>
      </c>
      <c r="F7" s="359">
        <v>1000</v>
      </c>
      <c r="G7" s="360">
        <f t="shared" ref="G7:G70" si="0">((C7*E7%)/F7)*100%</f>
        <v>57.877753750000004</v>
      </c>
      <c r="H7" s="407"/>
      <c r="I7" s="198"/>
      <c r="J7" s="198"/>
    </row>
    <row r="8" spans="1:10" ht="12.75" x14ac:dyDescent="0.2">
      <c r="A8" s="196" t="s">
        <v>223</v>
      </c>
      <c r="B8" s="197" t="s">
        <v>224</v>
      </c>
      <c r="C8" s="356">
        <v>901423.73</v>
      </c>
      <c r="D8" s="357">
        <v>10</v>
      </c>
      <c r="E8" s="358">
        <f t="shared" ref="E8:E71" si="1">(100/D8)</f>
        <v>10</v>
      </c>
      <c r="F8" s="361">
        <v>1200</v>
      </c>
      <c r="G8" s="360">
        <f t="shared" si="0"/>
        <v>75.11864416666667</v>
      </c>
      <c r="H8" s="407"/>
    </row>
    <row r="9" spans="1:10" ht="12.75" x14ac:dyDescent="0.2">
      <c r="A9" s="196" t="s">
        <v>225</v>
      </c>
      <c r="B9" s="197" t="s">
        <v>226</v>
      </c>
      <c r="C9" s="356">
        <v>386694.9</v>
      </c>
      <c r="D9" s="357">
        <v>10</v>
      </c>
      <c r="E9" s="358">
        <f t="shared" si="1"/>
        <v>10</v>
      </c>
      <c r="F9" s="361">
        <v>1200</v>
      </c>
      <c r="G9" s="360">
        <f t="shared" si="0"/>
        <v>32.224575000000002</v>
      </c>
      <c r="H9" s="407"/>
    </row>
    <row r="10" spans="1:10" ht="12.75" x14ac:dyDescent="0.2">
      <c r="A10" s="196" t="s">
        <v>227</v>
      </c>
      <c r="B10" s="197" t="s">
        <v>105</v>
      </c>
      <c r="C10" s="362">
        <v>920000</v>
      </c>
      <c r="D10" s="357">
        <v>10</v>
      </c>
      <c r="E10" s="358">
        <f t="shared" si="1"/>
        <v>10</v>
      </c>
      <c r="F10" s="359">
        <v>1320</v>
      </c>
      <c r="G10" s="360">
        <f t="shared" si="0"/>
        <v>69.696969696969703</v>
      </c>
      <c r="H10" s="407"/>
    </row>
    <row r="11" spans="1:10" ht="12.75" x14ac:dyDescent="0.2">
      <c r="A11" s="196" t="s">
        <v>0</v>
      </c>
      <c r="B11" s="197" t="s">
        <v>183</v>
      </c>
      <c r="C11" s="356">
        <v>3256245</v>
      </c>
      <c r="D11" s="357">
        <v>10</v>
      </c>
      <c r="E11" s="358">
        <f t="shared" si="1"/>
        <v>10</v>
      </c>
      <c r="F11" s="359">
        <v>1790</v>
      </c>
      <c r="G11" s="360">
        <f t="shared" si="0"/>
        <v>181.91312849162011</v>
      </c>
      <c r="H11" s="407"/>
    </row>
    <row r="12" spans="1:10" ht="12.75" x14ac:dyDescent="0.2">
      <c r="A12" s="196" t="s">
        <v>228</v>
      </c>
      <c r="B12" s="197" t="s">
        <v>107</v>
      </c>
      <c r="C12" s="356">
        <v>679601.69</v>
      </c>
      <c r="D12" s="357">
        <v>10</v>
      </c>
      <c r="E12" s="358">
        <f t="shared" si="1"/>
        <v>10</v>
      </c>
      <c r="F12" s="359">
        <v>1100</v>
      </c>
      <c r="G12" s="360">
        <f t="shared" si="0"/>
        <v>61.781971818181816</v>
      </c>
      <c r="H12" s="407"/>
    </row>
    <row r="13" spans="1:10" ht="12.75" x14ac:dyDescent="0.2">
      <c r="A13" s="196" t="s">
        <v>228</v>
      </c>
      <c r="B13" s="197" t="s">
        <v>138</v>
      </c>
      <c r="C13" s="356">
        <v>345762.7</v>
      </c>
      <c r="D13" s="357">
        <v>8</v>
      </c>
      <c r="E13" s="358">
        <f t="shared" si="1"/>
        <v>12.5</v>
      </c>
      <c r="F13" s="361">
        <v>760</v>
      </c>
      <c r="G13" s="360">
        <f t="shared" si="0"/>
        <v>56.86886513157895</v>
      </c>
      <c r="H13" s="407"/>
    </row>
    <row r="14" spans="1:10" ht="12.75" x14ac:dyDescent="0.2">
      <c r="A14" s="199" t="s">
        <v>517</v>
      </c>
      <c r="B14" s="200" t="s">
        <v>182</v>
      </c>
      <c r="C14" s="363">
        <v>901423.73</v>
      </c>
      <c r="D14" s="357">
        <v>10</v>
      </c>
      <c r="E14" s="358">
        <f t="shared" si="1"/>
        <v>10</v>
      </c>
      <c r="F14" s="359">
        <v>1100</v>
      </c>
      <c r="G14" s="360">
        <f t="shared" si="0"/>
        <v>81.947611818181826</v>
      </c>
      <c r="H14" s="407"/>
    </row>
    <row r="15" spans="1:10" ht="12.75" x14ac:dyDescent="0.2">
      <c r="A15" s="196" t="s">
        <v>392</v>
      </c>
      <c r="B15" s="197" t="s">
        <v>359</v>
      </c>
      <c r="C15" s="356">
        <f>C13</f>
        <v>345762.7</v>
      </c>
      <c r="D15" s="357">
        <v>8</v>
      </c>
      <c r="E15" s="358">
        <f t="shared" si="1"/>
        <v>12.5</v>
      </c>
      <c r="F15" s="361">
        <v>1200</v>
      </c>
      <c r="G15" s="360">
        <f t="shared" si="0"/>
        <v>36.016947916666666</v>
      </c>
      <c r="H15" s="407"/>
    </row>
    <row r="16" spans="1:10" ht="12.75" x14ac:dyDescent="0.2">
      <c r="A16" s="196" t="s">
        <v>518</v>
      </c>
      <c r="B16" s="197" t="s">
        <v>519</v>
      </c>
      <c r="C16" s="356">
        <v>3743397</v>
      </c>
      <c r="D16" s="357">
        <v>10</v>
      </c>
      <c r="E16" s="358">
        <f t="shared" si="1"/>
        <v>10</v>
      </c>
      <c r="F16" s="361">
        <v>150</v>
      </c>
      <c r="G16" s="360">
        <f t="shared" si="0"/>
        <v>2495.598</v>
      </c>
      <c r="H16" s="407"/>
    </row>
    <row r="17" spans="1:8" ht="11.25" customHeight="1" x14ac:dyDescent="0.2">
      <c r="A17" s="196" t="s">
        <v>229</v>
      </c>
      <c r="B17" s="197" t="s">
        <v>114</v>
      </c>
      <c r="C17" s="356">
        <v>1200366.1000000001</v>
      </c>
      <c r="D17" s="357">
        <v>10</v>
      </c>
      <c r="E17" s="358">
        <f t="shared" si="1"/>
        <v>10</v>
      </c>
      <c r="F17" s="361">
        <v>115</v>
      </c>
      <c r="G17" s="360">
        <f t="shared" si="0"/>
        <v>1043.7966086956524</v>
      </c>
      <c r="H17" s="407"/>
    </row>
    <row r="18" spans="1:8" ht="12.75" x14ac:dyDescent="0.2">
      <c r="A18" s="196" t="s">
        <v>520</v>
      </c>
      <c r="B18" s="197" t="s">
        <v>521</v>
      </c>
      <c r="C18" s="356">
        <v>1800000</v>
      </c>
      <c r="D18" s="357">
        <v>10</v>
      </c>
      <c r="E18" s="358">
        <f t="shared" si="1"/>
        <v>10</v>
      </c>
      <c r="F18" s="361">
        <v>150</v>
      </c>
      <c r="G18" s="360">
        <f t="shared" si="0"/>
        <v>1200</v>
      </c>
      <c r="H18" s="407"/>
    </row>
    <row r="19" spans="1:8" ht="12.75" x14ac:dyDescent="0.2">
      <c r="A19" s="196" t="s">
        <v>230</v>
      </c>
      <c r="B19" s="201" t="s">
        <v>393</v>
      </c>
      <c r="C19" s="364">
        <v>630760</v>
      </c>
      <c r="D19" s="357">
        <v>10</v>
      </c>
      <c r="E19" s="358">
        <f t="shared" si="1"/>
        <v>10</v>
      </c>
      <c r="F19" s="361">
        <v>1200</v>
      </c>
      <c r="G19" s="360">
        <f t="shared" si="0"/>
        <v>52.563333333333333</v>
      </c>
      <c r="H19" s="407"/>
    </row>
    <row r="20" spans="1:8" ht="12.75" x14ac:dyDescent="0.2">
      <c r="A20" s="196" t="s">
        <v>231</v>
      </c>
      <c r="B20" s="197" t="s">
        <v>208</v>
      </c>
      <c r="C20" s="356">
        <v>15000</v>
      </c>
      <c r="D20" s="357">
        <v>8</v>
      </c>
      <c r="E20" s="358">
        <f t="shared" si="1"/>
        <v>12.5</v>
      </c>
      <c r="F20" s="361">
        <v>160</v>
      </c>
      <c r="G20" s="360">
        <f t="shared" si="0"/>
        <v>11.71875</v>
      </c>
      <c r="H20" s="407"/>
    </row>
    <row r="21" spans="1:8" ht="12.75" x14ac:dyDescent="0.2">
      <c r="A21" s="196" t="s">
        <v>232</v>
      </c>
      <c r="B21" s="197" t="s">
        <v>233</v>
      </c>
      <c r="C21" s="356">
        <v>101694.9</v>
      </c>
      <c r="D21" s="357">
        <v>8</v>
      </c>
      <c r="E21" s="358">
        <f t="shared" si="1"/>
        <v>12.5</v>
      </c>
      <c r="F21" s="359">
        <v>280</v>
      </c>
      <c r="G21" s="360">
        <f t="shared" si="0"/>
        <v>45.399508928571429</v>
      </c>
      <c r="H21" s="407"/>
    </row>
    <row r="22" spans="1:8" ht="12.75" x14ac:dyDescent="0.2">
      <c r="A22" s="196" t="s">
        <v>386</v>
      </c>
      <c r="B22" s="196" t="s">
        <v>386</v>
      </c>
      <c r="C22" s="356">
        <f>C21</f>
        <v>101694.9</v>
      </c>
      <c r="D22" s="357">
        <v>8</v>
      </c>
      <c r="E22" s="358">
        <f t="shared" si="1"/>
        <v>12.5</v>
      </c>
      <c r="F22" s="359">
        <v>280</v>
      </c>
      <c r="G22" s="360">
        <f t="shared" si="0"/>
        <v>45.399508928571429</v>
      </c>
      <c r="H22" s="407"/>
    </row>
    <row r="23" spans="1:8" ht="12.75" x14ac:dyDescent="0.2">
      <c r="A23" s="196" t="s">
        <v>234</v>
      </c>
      <c r="B23" s="197" t="s">
        <v>235</v>
      </c>
      <c r="C23" s="356">
        <v>122033.8</v>
      </c>
      <c r="D23" s="357">
        <v>9</v>
      </c>
      <c r="E23" s="358">
        <f t="shared" si="1"/>
        <v>11.111111111111111</v>
      </c>
      <c r="F23" s="359">
        <v>280</v>
      </c>
      <c r="G23" s="360">
        <f t="shared" si="0"/>
        <v>48.426111111111105</v>
      </c>
      <c r="H23" s="407"/>
    </row>
    <row r="24" spans="1:8" ht="12.75" x14ac:dyDescent="0.2">
      <c r="A24" s="196" t="s">
        <v>236</v>
      </c>
      <c r="B24" s="197" t="s">
        <v>116</v>
      </c>
      <c r="C24" s="356">
        <v>1230426.27</v>
      </c>
      <c r="D24" s="357">
        <v>8</v>
      </c>
      <c r="E24" s="358">
        <f t="shared" si="1"/>
        <v>12.5</v>
      </c>
      <c r="F24" s="359">
        <v>280</v>
      </c>
      <c r="G24" s="360">
        <f t="shared" si="0"/>
        <v>549.29744196428567</v>
      </c>
      <c r="H24" s="407"/>
    </row>
    <row r="25" spans="1:8" ht="12.75" x14ac:dyDescent="0.2">
      <c r="A25" s="196" t="s">
        <v>237</v>
      </c>
      <c r="B25" s="197" t="s">
        <v>115</v>
      </c>
      <c r="C25" s="356">
        <v>73863.56</v>
      </c>
      <c r="D25" s="357">
        <v>10</v>
      </c>
      <c r="E25" s="358">
        <f t="shared" si="1"/>
        <v>10</v>
      </c>
      <c r="F25" s="365">
        <v>590</v>
      </c>
      <c r="G25" s="360">
        <f t="shared" si="0"/>
        <v>12.519247457627118</v>
      </c>
      <c r="H25" s="407"/>
    </row>
    <row r="26" spans="1:8" ht="12.75" x14ac:dyDescent="0.2">
      <c r="A26" s="196" t="s">
        <v>388</v>
      </c>
      <c r="B26" s="197" t="s">
        <v>387</v>
      </c>
      <c r="C26" s="356">
        <f>C25</f>
        <v>73863.56</v>
      </c>
      <c r="D26" s="357">
        <v>10</v>
      </c>
      <c r="E26" s="358">
        <f t="shared" si="1"/>
        <v>10</v>
      </c>
      <c r="F26" s="366">
        <f>F25</f>
        <v>590</v>
      </c>
      <c r="G26" s="360">
        <f t="shared" si="0"/>
        <v>12.519247457627118</v>
      </c>
      <c r="H26" s="407"/>
    </row>
    <row r="27" spans="1:8" ht="12.75" x14ac:dyDescent="0.2">
      <c r="A27" s="196" t="s">
        <v>238</v>
      </c>
      <c r="B27" s="197" t="s">
        <v>190</v>
      </c>
      <c r="C27" s="356">
        <v>371186.4</v>
      </c>
      <c r="D27" s="367">
        <v>8</v>
      </c>
      <c r="E27" s="358">
        <f t="shared" si="1"/>
        <v>12.5</v>
      </c>
      <c r="F27" s="368">
        <v>135</v>
      </c>
      <c r="G27" s="360">
        <f t="shared" si="0"/>
        <v>343.69111111111113</v>
      </c>
      <c r="H27" s="407"/>
    </row>
    <row r="28" spans="1:8" ht="12.75" x14ac:dyDescent="0.2">
      <c r="A28" s="196" t="s">
        <v>239</v>
      </c>
      <c r="B28" s="197" t="s">
        <v>194</v>
      </c>
      <c r="C28" s="356">
        <v>369491.53</v>
      </c>
      <c r="D28" s="357">
        <v>8</v>
      </c>
      <c r="E28" s="358">
        <f t="shared" si="1"/>
        <v>12.5</v>
      </c>
      <c r="F28" s="368">
        <v>120</v>
      </c>
      <c r="G28" s="360">
        <f t="shared" si="0"/>
        <v>384.88701041666667</v>
      </c>
      <c r="H28" s="407"/>
    </row>
    <row r="29" spans="1:8" ht="12.75" x14ac:dyDescent="0.2">
      <c r="A29" s="196" t="s">
        <v>240</v>
      </c>
      <c r="B29" s="197" t="s">
        <v>192</v>
      </c>
      <c r="C29" s="356">
        <v>166779.6</v>
      </c>
      <c r="D29" s="357">
        <v>7</v>
      </c>
      <c r="E29" s="358">
        <f t="shared" si="1"/>
        <v>14.285714285714286</v>
      </c>
      <c r="F29" s="368">
        <v>168</v>
      </c>
      <c r="G29" s="360">
        <f t="shared" si="0"/>
        <v>141.81938775510207</v>
      </c>
      <c r="H29" s="407"/>
    </row>
    <row r="30" spans="1:8" ht="12.75" x14ac:dyDescent="0.2">
      <c r="A30" s="196" t="s">
        <v>241</v>
      </c>
      <c r="B30" s="197" t="s">
        <v>191</v>
      </c>
      <c r="C30" s="356">
        <v>82627.12</v>
      </c>
      <c r="D30" s="357">
        <v>5</v>
      </c>
      <c r="E30" s="358">
        <f t="shared" si="1"/>
        <v>20</v>
      </c>
      <c r="F30" s="368">
        <v>115</v>
      </c>
      <c r="G30" s="360">
        <f t="shared" si="0"/>
        <v>143.69933913043477</v>
      </c>
      <c r="H30" s="407"/>
    </row>
    <row r="31" spans="1:8" ht="12.75" x14ac:dyDescent="0.2">
      <c r="A31" s="196" t="s">
        <v>242</v>
      </c>
      <c r="B31" s="197" t="s">
        <v>193</v>
      </c>
      <c r="C31" s="356">
        <v>494067.8</v>
      </c>
      <c r="D31" s="357">
        <v>6</v>
      </c>
      <c r="E31" s="358">
        <f t="shared" si="1"/>
        <v>16.666666666666668</v>
      </c>
      <c r="F31" s="368">
        <v>120</v>
      </c>
      <c r="G31" s="360">
        <f t="shared" si="0"/>
        <v>686.20527777777784</v>
      </c>
      <c r="H31" s="407"/>
    </row>
    <row r="32" spans="1:8" ht="12.75" x14ac:dyDescent="0.2">
      <c r="A32" s="202" t="s">
        <v>243</v>
      </c>
      <c r="B32" s="203" t="s">
        <v>149</v>
      </c>
      <c r="C32" s="356">
        <v>573559.30000000005</v>
      </c>
      <c r="D32" s="357">
        <v>8</v>
      </c>
      <c r="E32" s="358">
        <f t="shared" si="1"/>
        <v>12.5</v>
      </c>
      <c r="F32" s="368">
        <v>600</v>
      </c>
      <c r="G32" s="360">
        <f t="shared" si="0"/>
        <v>119.49152083333334</v>
      </c>
      <c r="H32" s="407"/>
    </row>
    <row r="33" spans="1:8" ht="12.75" x14ac:dyDescent="0.2">
      <c r="A33" s="196" t="s">
        <v>244</v>
      </c>
      <c r="B33" s="197" t="s">
        <v>120</v>
      </c>
      <c r="C33" s="356">
        <v>92542.399999999994</v>
      </c>
      <c r="D33" s="357">
        <v>5</v>
      </c>
      <c r="E33" s="358">
        <f t="shared" si="1"/>
        <v>20</v>
      </c>
      <c r="F33" s="365">
        <v>190</v>
      </c>
      <c r="G33" s="360">
        <f t="shared" si="0"/>
        <v>97.41305263157895</v>
      </c>
      <c r="H33" s="407"/>
    </row>
    <row r="34" spans="1:8" ht="12.75" x14ac:dyDescent="0.2">
      <c r="A34" s="196" t="s">
        <v>390</v>
      </c>
      <c r="B34" s="197" t="s">
        <v>389</v>
      </c>
      <c r="C34" s="356">
        <f>C33</f>
        <v>92542.399999999994</v>
      </c>
      <c r="D34" s="357">
        <v>5</v>
      </c>
      <c r="E34" s="358">
        <f t="shared" si="1"/>
        <v>20</v>
      </c>
      <c r="F34" s="365">
        <v>190</v>
      </c>
      <c r="G34" s="360">
        <f t="shared" si="0"/>
        <v>97.41305263157895</v>
      </c>
      <c r="H34" s="407"/>
    </row>
    <row r="35" spans="1:8" ht="12.75" x14ac:dyDescent="0.2">
      <c r="A35" s="196" t="s">
        <v>1</v>
      </c>
      <c r="B35" s="197" t="s">
        <v>414</v>
      </c>
      <c r="C35" s="356">
        <v>600000</v>
      </c>
      <c r="D35" s="357">
        <v>5</v>
      </c>
      <c r="E35" s="358">
        <f t="shared" si="1"/>
        <v>20</v>
      </c>
      <c r="F35" s="365">
        <v>190</v>
      </c>
      <c r="G35" s="360">
        <f t="shared" si="0"/>
        <v>631.57894736842104</v>
      </c>
      <c r="H35" s="407"/>
    </row>
    <row r="36" spans="1:8" ht="12.75" x14ac:dyDescent="0.2">
      <c r="A36" s="196" t="s">
        <v>245</v>
      </c>
      <c r="B36" s="197" t="s">
        <v>111</v>
      </c>
      <c r="C36" s="356">
        <v>280000</v>
      </c>
      <c r="D36" s="357">
        <v>5</v>
      </c>
      <c r="E36" s="358">
        <f t="shared" si="1"/>
        <v>20</v>
      </c>
      <c r="F36" s="365">
        <v>190</v>
      </c>
      <c r="G36" s="360">
        <f t="shared" si="0"/>
        <v>294.73684210526318</v>
      </c>
      <c r="H36" s="407"/>
    </row>
    <row r="37" spans="1:8" ht="12.75" x14ac:dyDescent="0.2">
      <c r="A37" s="196" t="s">
        <v>246</v>
      </c>
      <c r="B37" s="197" t="s">
        <v>247</v>
      </c>
      <c r="C37" s="356">
        <v>66101.600000000006</v>
      </c>
      <c r="D37" s="357">
        <v>5</v>
      </c>
      <c r="E37" s="358">
        <f t="shared" si="1"/>
        <v>20</v>
      </c>
      <c r="F37" s="365">
        <v>190</v>
      </c>
      <c r="G37" s="360">
        <f t="shared" si="0"/>
        <v>69.580631578947376</v>
      </c>
      <c r="H37" s="407"/>
    </row>
    <row r="38" spans="1:8" ht="12.75" x14ac:dyDescent="0.2">
      <c r="A38" s="196" t="s">
        <v>248</v>
      </c>
      <c r="B38" s="197" t="s">
        <v>124</v>
      </c>
      <c r="C38" s="356">
        <v>172881.36</v>
      </c>
      <c r="D38" s="367">
        <v>2</v>
      </c>
      <c r="E38" s="358">
        <f t="shared" si="1"/>
        <v>50</v>
      </c>
      <c r="F38" s="368">
        <v>600</v>
      </c>
      <c r="G38" s="360">
        <f t="shared" si="0"/>
        <v>144.06779999999998</v>
      </c>
      <c r="H38" s="407"/>
    </row>
    <row r="39" spans="1:8" ht="12.75" x14ac:dyDescent="0.2">
      <c r="A39" s="196" t="s">
        <v>249</v>
      </c>
      <c r="B39" s="197" t="s">
        <v>250</v>
      </c>
      <c r="C39" s="356">
        <v>71237.2</v>
      </c>
      <c r="D39" s="357">
        <v>6</v>
      </c>
      <c r="E39" s="358">
        <f t="shared" si="1"/>
        <v>16.666666666666668</v>
      </c>
      <c r="F39" s="365">
        <v>122</v>
      </c>
      <c r="G39" s="360">
        <f t="shared" si="0"/>
        <v>97.318579234972674</v>
      </c>
      <c r="H39" s="407"/>
    </row>
    <row r="40" spans="1:8" ht="12.75" x14ac:dyDescent="0.2">
      <c r="A40" s="196" t="s">
        <v>251</v>
      </c>
      <c r="B40" s="197" t="s">
        <v>199</v>
      </c>
      <c r="C40" s="356">
        <v>29118.6</v>
      </c>
      <c r="D40" s="357">
        <v>6</v>
      </c>
      <c r="E40" s="358">
        <f t="shared" si="1"/>
        <v>16.666666666666668</v>
      </c>
      <c r="F40" s="365">
        <v>122</v>
      </c>
      <c r="G40" s="360">
        <f t="shared" si="0"/>
        <v>39.779508196721316</v>
      </c>
      <c r="H40" s="407"/>
    </row>
    <row r="41" spans="1:8" ht="12.75" x14ac:dyDescent="0.2">
      <c r="A41" s="196" t="s">
        <v>252</v>
      </c>
      <c r="B41" s="197" t="s">
        <v>210</v>
      </c>
      <c r="C41" s="356">
        <v>14872.8</v>
      </c>
      <c r="D41" s="357">
        <v>5</v>
      </c>
      <c r="E41" s="358">
        <f t="shared" si="1"/>
        <v>20</v>
      </c>
      <c r="F41" s="365">
        <v>168</v>
      </c>
      <c r="G41" s="360">
        <f t="shared" si="0"/>
        <v>17.705714285714286</v>
      </c>
      <c r="H41" s="407"/>
    </row>
    <row r="42" spans="1:8" ht="12.75" x14ac:dyDescent="0.2">
      <c r="A42" s="202" t="s">
        <v>253</v>
      </c>
      <c r="B42" s="203" t="s">
        <v>203</v>
      </c>
      <c r="C42" s="356">
        <v>22033.8</v>
      </c>
      <c r="D42" s="357">
        <v>6</v>
      </c>
      <c r="E42" s="358">
        <f t="shared" si="1"/>
        <v>16.666666666666668</v>
      </c>
      <c r="F42" s="365">
        <v>122</v>
      </c>
      <c r="G42" s="360">
        <f t="shared" si="0"/>
        <v>30.100819672131149</v>
      </c>
      <c r="H42" s="407"/>
    </row>
    <row r="43" spans="1:8" ht="12.75" x14ac:dyDescent="0.2">
      <c r="A43" s="196" t="s">
        <v>248</v>
      </c>
      <c r="B43" s="197" t="s">
        <v>145</v>
      </c>
      <c r="C43" s="356">
        <v>88135.5</v>
      </c>
      <c r="D43" s="367">
        <v>2</v>
      </c>
      <c r="E43" s="358">
        <f t="shared" si="1"/>
        <v>50</v>
      </c>
      <c r="F43" s="368">
        <v>600</v>
      </c>
      <c r="G43" s="360">
        <f t="shared" si="0"/>
        <v>73.446250000000006</v>
      </c>
      <c r="H43" s="407"/>
    </row>
    <row r="44" spans="1:8" ht="12.75" x14ac:dyDescent="0.2">
      <c r="A44" s="196" t="s">
        <v>254</v>
      </c>
      <c r="B44" s="197" t="s">
        <v>132</v>
      </c>
      <c r="C44" s="356">
        <v>99679.66</v>
      </c>
      <c r="D44" s="357">
        <v>10</v>
      </c>
      <c r="E44" s="358">
        <f t="shared" si="1"/>
        <v>10</v>
      </c>
      <c r="F44" s="368">
        <v>675</v>
      </c>
      <c r="G44" s="360">
        <f t="shared" si="0"/>
        <v>14.767357037037037</v>
      </c>
      <c r="H44" s="407"/>
    </row>
    <row r="45" spans="1:8" ht="12.75" x14ac:dyDescent="0.2">
      <c r="A45" s="199" t="s">
        <v>522</v>
      </c>
      <c r="B45" s="200" t="s">
        <v>523</v>
      </c>
      <c r="C45" s="363">
        <v>40645</v>
      </c>
      <c r="D45" s="357">
        <v>8</v>
      </c>
      <c r="E45" s="358">
        <f t="shared" si="1"/>
        <v>12.5</v>
      </c>
      <c r="F45" s="365">
        <v>112</v>
      </c>
      <c r="G45" s="360">
        <f t="shared" si="0"/>
        <v>45.362723214285715</v>
      </c>
      <c r="H45" s="407"/>
    </row>
    <row r="46" spans="1:8" ht="12.75" x14ac:dyDescent="0.2">
      <c r="A46" s="196" t="s">
        <v>255</v>
      </c>
      <c r="B46" s="197" t="s">
        <v>151</v>
      </c>
      <c r="C46" s="356">
        <v>40644.92</v>
      </c>
      <c r="D46" s="357">
        <v>8</v>
      </c>
      <c r="E46" s="358">
        <f t="shared" si="1"/>
        <v>12.5</v>
      </c>
      <c r="F46" s="365">
        <v>112</v>
      </c>
      <c r="G46" s="360">
        <f t="shared" si="0"/>
        <v>45.362633928571427</v>
      </c>
      <c r="H46" s="407"/>
    </row>
    <row r="47" spans="1:8" ht="12.75" x14ac:dyDescent="0.2">
      <c r="A47" s="196" t="s">
        <v>256</v>
      </c>
      <c r="B47" s="197" t="s">
        <v>189</v>
      </c>
      <c r="C47" s="356">
        <v>77118.600000000006</v>
      </c>
      <c r="D47" s="357">
        <v>8</v>
      </c>
      <c r="E47" s="358">
        <f t="shared" si="1"/>
        <v>12.5</v>
      </c>
      <c r="F47" s="365">
        <v>112</v>
      </c>
      <c r="G47" s="360">
        <f t="shared" si="0"/>
        <v>86.069866071428578</v>
      </c>
      <c r="H47" s="407"/>
    </row>
    <row r="48" spans="1:8" ht="12.75" x14ac:dyDescent="0.2">
      <c r="A48" s="202" t="s">
        <v>257</v>
      </c>
      <c r="B48" s="203" t="s">
        <v>128</v>
      </c>
      <c r="C48" s="356">
        <v>208474.5</v>
      </c>
      <c r="D48" s="357">
        <v>8</v>
      </c>
      <c r="E48" s="358">
        <f t="shared" si="1"/>
        <v>12.5</v>
      </c>
      <c r="F48" s="368">
        <v>120</v>
      </c>
      <c r="G48" s="360">
        <f t="shared" si="0"/>
        <v>217.16093749999999</v>
      </c>
      <c r="H48" s="407"/>
    </row>
    <row r="49" spans="1:8" ht="12.75" x14ac:dyDescent="0.2">
      <c r="A49" s="196" t="s">
        <v>258</v>
      </c>
      <c r="B49" s="197" t="s">
        <v>133</v>
      </c>
      <c r="C49" s="362">
        <v>150000</v>
      </c>
      <c r="D49" s="357">
        <v>7</v>
      </c>
      <c r="E49" s="358">
        <f t="shared" si="1"/>
        <v>14.285714285714286</v>
      </c>
      <c r="F49" s="368">
        <v>135</v>
      </c>
      <c r="G49" s="360">
        <f t="shared" si="0"/>
        <v>158.73015873015876</v>
      </c>
      <c r="H49" s="407"/>
    </row>
    <row r="50" spans="1:8" ht="12.75" x14ac:dyDescent="0.2">
      <c r="A50" s="196" t="s">
        <v>259</v>
      </c>
      <c r="B50" s="197" t="s">
        <v>209</v>
      </c>
      <c r="C50" s="356">
        <v>18220.34</v>
      </c>
      <c r="D50" s="357">
        <v>5</v>
      </c>
      <c r="E50" s="358">
        <f t="shared" si="1"/>
        <v>20</v>
      </c>
      <c r="F50" s="368">
        <v>120</v>
      </c>
      <c r="G50" s="360">
        <f t="shared" si="0"/>
        <v>30.367233333333335</v>
      </c>
      <c r="H50" s="407"/>
    </row>
    <row r="51" spans="1:8" ht="12.75" x14ac:dyDescent="0.2">
      <c r="A51" s="196" t="s">
        <v>260</v>
      </c>
      <c r="B51" s="197" t="s">
        <v>261</v>
      </c>
      <c r="C51" s="356">
        <v>511102.54</v>
      </c>
      <c r="D51" s="357">
        <v>8</v>
      </c>
      <c r="E51" s="358">
        <f t="shared" si="1"/>
        <v>12.5</v>
      </c>
      <c r="F51" s="368">
        <v>200</v>
      </c>
      <c r="G51" s="360">
        <f t="shared" si="0"/>
        <v>319.43908749999997</v>
      </c>
      <c r="H51" s="407"/>
    </row>
    <row r="52" spans="1:8" ht="12.75" x14ac:dyDescent="0.2">
      <c r="A52" s="196" t="s">
        <v>262</v>
      </c>
      <c r="B52" s="197" t="s">
        <v>263</v>
      </c>
      <c r="C52" s="356">
        <v>74745.8</v>
      </c>
      <c r="D52" s="357">
        <v>8</v>
      </c>
      <c r="E52" s="358">
        <f t="shared" si="1"/>
        <v>12.5</v>
      </c>
      <c r="F52" s="365">
        <v>185</v>
      </c>
      <c r="G52" s="360">
        <f t="shared" si="0"/>
        <v>50.50391891891892</v>
      </c>
      <c r="H52" s="407"/>
    </row>
    <row r="53" spans="1:8" ht="12.75" x14ac:dyDescent="0.2">
      <c r="A53" s="196" t="s">
        <v>264</v>
      </c>
      <c r="B53" s="197" t="s">
        <v>121</v>
      </c>
      <c r="C53" s="356">
        <v>66101.600000000006</v>
      </c>
      <c r="D53" s="357">
        <v>8</v>
      </c>
      <c r="E53" s="358">
        <f t="shared" si="1"/>
        <v>12.5</v>
      </c>
      <c r="F53" s="368">
        <v>160</v>
      </c>
      <c r="G53" s="360">
        <f t="shared" si="0"/>
        <v>51.641875000000006</v>
      </c>
      <c r="H53" s="407"/>
    </row>
    <row r="54" spans="1:8" ht="12.75" x14ac:dyDescent="0.2">
      <c r="A54" s="196" t="s">
        <v>265</v>
      </c>
      <c r="B54" s="197" t="s">
        <v>150</v>
      </c>
      <c r="C54" s="356">
        <v>69525.399999999994</v>
      </c>
      <c r="D54" s="357">
        <v>8</v>
      </c>
      <c r="E54" s="358">
        <f t="shared" si="1"/>
        <v>12.5</v>
      </c>
      <c r="F54" s="368">
        <v>200</v>
      </c>
      <c r="G54" s="360">
        <f t="shared" si="0"/>
        <v>43.453374999999994</v>
      </c>
      <c r="H54" s="407"/>
    </row>
    <row r="55" spans="1:8" ht="12.75" x14ac:dyDescent="0.2">
      <c r="A55" s="196"/>
      <c r="B55" s="197" t="s">
        <v>415</v>
      </c>
      <c r="C55" s="356">
        <v>600000</v>
      </c>
      <c r="D55" s="357">
        <v>8</v>
      </c>
      <c r="E55" s="358">
        <f t="shared" si="1"/>
        <v>12.5</v>
      </c>
      <c r="F55" s="368">
        <v>65</v>
      </c>
      <c r="G55" s="360">
        <f t="shared" si="0"/>
        <v>1153.8461538461538</v>
      </c>
      <c r="H55" s="407"/>
    </row>
    <row r="56" spans="1:8" ht="12.75" x14ac:dyDescent="0.2">
      <c r="A56" s="196" t="s">
        <v>266</v>
      </c>
      <c r="B56" s="197" t="s">
        <v>130</v>
      </c>
      <c r="C56" s="356">
        <v>52203.4</v>
      </c>
      <c r="D56" s="357">
        <v>8</v>
      </c>
      <c r="E56" s="358">
        <f t="shared" si="1"/>
        <v>12.5</v>
      </c>
      <c r="F56" s="368">
        <v>195</v>
      </c>
      <c r="G56" s="360">
        <f t="shared" si="0"/>
        <v>33.463717948717949</v>
      </c>
      <c r="H56" s="407"/>
    </row>
    <row r="57" spans="1:8" ht="12.75" x14ac:dyDescent="0.2">
      <c r="A57" s="202" t="s">
        <v>267</v>
      </c>
      <c r="B57" s="203" t="s">
        <v>198</v>
      </c>
      <c r="C57" s="356">
        <v>19491.5</v>
      </c>
      <c r="D57" s="357">
        <v>5</v>
      </c>
      <c r="E57" s="358">
        <f t="shared" si="1"/>
        <v>20</v>
      </c>
      <c r="F57" s="368">
        <v>130</v>
      </c>
      <c r="G57" s="360">
        <f t="shared" si="0"/>
        <v>29.986923076923077</v>
      </c>
      <c r="H57" s="407"/>
    </row>
    <row r="58" spans="1:8" ht="12.75" x14ac:dyDescent="0.2">
      <c r="A58" s="196" t="s">
        <v>268</v>
      </c>
      <c r="B58" s="197" t="s">
        <v>196</v>
      </c>
      <c r="C58" s="356">
        <v>1423728.81</v>
      </c>
      <c r="D58" s="357">
        <v>7</v>
      </c>
      <c r="E58" s="358">
        <f t="shared" si="1"/>
        <v>14.285714285714286</v>
      </c>
      <c r="F58" s="368">
        <v>130</v>
      </c>
      <c r="G58" s="360">
        <f t="shared" si="0"/>
        <v>1564.5371538461543</v>
      </c>
      <c r="H58" s="407"/>
    </row>
    <row r="59" spans="1:8" ht="12.75" x14ac:dyDescent="0.2">
      <c r="A59" s="196" t="s">
        <v>2</v>
      </c>
      <c r="B59" s="197" t="s">
        <v>424</v>
      </c>
      <c r="C59" s="356">
        <v>450000</v>
      </c>
      <c r="D59" s="357">
        <v>8</v>
      </c>
      <c r="E59" s="358">
        <f t="shared" si="1"/>
        <v>12.5</v>
      </c>
      <c r="F59" s="368">
        <v>80</v>
      </c>
      <c r="G59" s="360">
        <f t="shared" si="0"/>
        <v>703.125</v>
      </c>
      <c r="H59" s="407"/>
    </row>
    <row r="60" spans="1:8" ht="12.75" x14ac:dyDescent="0.2">
      <c r="A60" s="196" t="s">
        <v>269</v>
      </c>
      <c r="B60" s="197" t="s">
        <v>136</v>
      </c>
      <c r="C60" s="356">
        <v>41864.400000000001</v>
      </c>
      <c r="D60" s="357">
        <v>8</v>
      </c>
      <c r="E60" s="358">
        <f t="shared" si="1"/>
        <v>12.5</v>
      </c>
      <c r="F60" s="368">
        <v>125</v>
      </c>
      <c r="G60" s="360">
        <f t="shared" si="0"/>
        <v>41.864400000000003</v>
      </c>
      <c r="H60" s="407"/>
    </row>
    <row r="61" spans="1:8" ht="12.75" x14ac:dyDescent="0.2">
      <c r="A61" s="196" t="s">
        <v>270</v>
      </c>
      <c r="B61" s="197" t="s">
        <v>134</v>
      </c>
      <c r="C61" s="356">
        <v>65254.2</v>
      </c>
      <c r="D61" s="357">
        <v>8</v>
      </c>
      <c r="E61" s="358">
        <f t="shared" si="1"/>
        <v>12.5</v>
      </c>
      <c r="F61" s="368">
        <v>160</v>
      </c>
      <c r="G61" s="360">
        <f t="shared" si="0"/>
        <v>50.979843750000001</v>
      </c>
      <c r="H61" s="407"/>
    </row>
    <row r="62" spans="1:8" ht="12.75" x14ac:dyDescent="0.2">
      <c r="A62" s="196" t="s">
        <v>271</v>
      </c>
      <c r="B62" s="197" t="s">
        <v>272</v>
      </c>
      <c r="C62" s="356">
        <v>233898.31</v>
      </c>
      <c r="D62" s="357">
        <v>8</v>
      </c>
      <c r="E62" s="358">
        <f t="shared" si="1"/>
        <v>12.5</v>
      </c>
      <c r="F62" s="365">
        <v>160</v>
      </c>
      <c r="G62" s="360">
        <f t="shared" si="0"/>
        <v>182.73305468749999</v>
      </c>
      <c r="H62" s="407"/>
    </row>
    <row r="63" spans="1:8" ht="12.75" x14ac:dyDescent="0.2">
      <c r="A63" s="196" t="s">
        <v>271</v>
      </c>
      <c r="B63" s="197" t="s">
        <v>195</v>
      </c>
      <c r="C63" s="356">
        <v>320338.98</v>
      </c>
      <c r="D63" s="357">
        <v>8</v>
      </c>
      <c r="E63" s="358">
        <f t="shared" si="1"/>
        <v>12.5</v>
      </c>
      <c r="F63" s="365">
        <v>160</v>
      </c>
      <c r="G63" s="360">
        <f t="shared" si="0"/>
        <v>250.26482812499998</v>
      </c>
      <c r="H63" s="407"/>
    </row>
    <row r="64" spans="1:8" ht="12.75" x14ac:dyDescent="0.2">
      <c r="A64" s="196" t="s">
        <v>273</v>
      </c>
      <c r="B64" s="197" t="s">
        <v>126</v>
      </c>
      <c r="C64" s="356">
        <v>90666.95</v>
      </c>
      <c r="D64" s="357">
        <v>7</v>
      </c>
      <c r="E64" s="358">
        <f t="shared" si="1"/>
        <v>14.285714285714286</v>
      </c>
      <c r="F64" s="365">
        <v>120</v>
      </c>
      <c r="G64" s="360">
        <f t="shared" si="0"/>
        <v>107.93684523809524</v>
      </c>
      <c r="H64" s="407"/>
    </row>
    <row r="65" spans="1:8" ht="12.75" x14ac:dyDescent="0.2">
      <c r="A65" s="196" t="s">
        <v>274</v>
      </c>
      <c r="B65" s="197" t="s">
        <v>143</v>
      </c>
      <c r="C65" s="356">
        <v>61016.9</v>
      </c>
      <c r="D65" s="357">
        <v>7</v>
      </c>
      <c r="E65" s="358">
        <f t="shared" si="1"/>
        <v>14.285714285714286</v>
      </c>
      <c r="F65" s="365">
        <v>120</v>
      </c>
      <c r="G65" s="360">
        <f t="shared" si="0"/>
        <v>72.639166666666668</v>
      </c>
      <c r="H65" s="407"/>
    </row>
    <row r="66" spans="1:8" ht="12.75" x14ac:dyDescent="0.2">
      <c r="A66" s="196" t="s">
        <v>275</v>
      </c>
      <c r="B66" s="197" t="s">
        <v>112</v>
      </c>
      <c r="C66" s="356">
        <v>165254.24</v>
      </c>
      <c r="D66" s="357">
        <v>6</v>
      </c>
      <c r="E66" s="358">
        <f t="shared" si="1"/>
        <v>16.666666666666668</v>
      </c>
      <c r="F66" s="368">
        <v>140</v>
      </c>
      <c r="G66" s="360">
        <f t="shared" si="0"/>
        <v>196.73123809523813</v>
      </c>
      <c r="H66" s="407"/>
    </row>
    <row r="67" spans="1:8" ht="12.75" x14ac:dyDescent="0.2">
      <c r="A67" s="196" t="s">
        <v>276</v>
      </c>
      <c r="B67" s="203" t="s">
        <v>139</v>
      </c>
      <c r="C67" s="356">
        <v>172881.3</v>
      </c>
      <c r="D67" s="357">
        <v>10</v>
      </c>
      <c r="E67" s="358">
        <f t="shared" si="1"/>
        <v>10</v>
      </c>
      <c r="F67" s="368">
        <v>125</v>
      </c>
      <c r="G67" s="360">
        <f t="shared" si="0"/>
        <v>138.30504000000002</v>
      </c>
      <c r="H67" s="407"/>
    </row>
    <row r="68" spans="1:8" ht="12.75" x14ac:dyDescent="0.2">
      <c r="A68" s="202" t="s">
        <v>277</v>
      </c>
      <c r="B68" s="203" t="s">
        <v>144</v>
      </c>
      <c r="C68" s="356">
        <v>16400</v>
      </c>
      <c r="D68" s="357">
        <v>5</v>
      </c>
      <c r="E68" s="358">
        <f t="shared" si="1"/>
        <v>20</v>
      </c>
      <c r="F68" s="368">
        <v>26</v>
      </c>
      <c r="G68" s="360">
        <f t="shared" si="0"/>
        <v>126.15384615384616</v>
      </c>
      <c r="H68" s="407"/>
    </row>
    <row r="69" spans="1:8" ht="12.75" x14ac:dyDescent="0.2">
      <c r="A69" s="196" t="s">
        <v>278</v>
      </c>
      <c r="B69" s="197" t="s">
        <v>137</v>
      </c>
      <c r="C69" s="356">
        <v>82627.12</v>
      </c>
      <c r="D69" s="357">
        <v>7</v>
      </c>
      <c r="E69" s="358">
        <f t="shared" si="1"/>
        <v>14.285714285714286</v>
      </c>
      <c r="F69" s="368">
        <v>600</v>
      </c>
      <c r="G69" s="360">
        <f t="shared" si="0"/>
        <v>19.673123809523812</v>
      </c>
      <c r="H69" s="407"/>
    </row>
    <row r="70" spans="1:8" ht="12.75" x14ac:dyDescent="0.2">
      <c r="A70" s="196" t="s">
        <v>3</v>
      </c>
      <c r="B70" s="197" t="s">
        <v>417</v>
      </c>
      <c r="C70" s="356">
        <v>190000</v>
      </c>
      <c r="D70" s="357">
        <v>7</v>
      </c>
      <c r="E70" s="358">
        <f t="shared" si="1"/>
        <v>14.285714285714286</v>
      </c>
      <c r="F70" s="368">
        <v>600</v>
      </c>
      <c r="G70" s="360">
        <f t="shared" si="0"/>
        <v>45.238095238095241</v>
      </c>
      <c r="H70" s="407"/>
    </row>
    <row r="71" spans="1:8" ht="12.75" x14ac:dyDescent="0.2">
      <c r="A71" s="196" t="s">
        <v>279</v>
      </c>
      <c r="B71" s="197" t="s">
        <v>205</v>
      </c>
      <c r="C71" s="356">
        <v>70736.44</v>
      </c>
      <c r="D71" s="357">
        <v>7</v>
      </c>
      <c r="E71" s="358">
        <f t="shared" si="1"/>
        <v>14.285714285714286</v>
      </c>
      <c r="F71" s="368">
        <v>600</v>
      </c>
      <c r="G71" s="360">
        <f t="shared" ref="G71:G98" si="2">((C71*E71%)/F71)*100%</f>
        <v>16.842009523809526</v>
      </c>
      <c r="H71" s="407"/>
    </row>
    <row r="72" spans="1:8" ht="12.75" x14ac:dyDescent="0.2">
      <c r="A72" s="196" t="s">
        <v>280</v>
      </c>
      <c r="B72" s="197" t="s">
        <v>113</v>
      </c>
      <c r="C72" s="356">
        <v>29139.83</v>
      </c>
      <c r="D72" s="357">
        <v>8</v>
      </c>
      <c r="E72" s="358">
        <f t="shared" ref="E72:E98" si="3">(100/D72)</f>
        <v>12.5</v>
      </c>
      <c r="F72" s="365">
        <v>215</v>
      </c>
      <c r="G72" s="360">
        <f t="shared" si="2"/>
        <v>16.941761627906978</v>
      </c>
      <c r="H72" s="407"/>
    </row>
    <row r="73" spans="1:8" ht="12.75" x14ac:dyDescent="0.2">
      <c r="A73" s="196" t="s">
        <v>391</v>
      </c>
      <c r="B73" s="197" t="s">
        <v>376</v>
      </c>
      <c r="C73" s="356">
        <f>C72</f>
        <v>29139.83</v>
      </c>
      <c r="D73" s="357">
        <v>8</v>
      </c>
      <c r="E73" s="358">
        <f t="shared" si="3"/>
        <v>12.5</v>
      </c>
      <c r="F73" s="366">
        <v>215</v>
      </c>
      <c r="G73" s="360">
        <f t="shared" si="2"/>
        <v>16.941761627906978</v>
      </c>
      <c r="H73" s="407"/>
    </row>
    <row r="74" spans="1:8" ht="12.75" x14ac:dyDescent="0.2">
      <c r="A74" s="196" t="s">
        <v>281</v>
      </c>
      <c r="B74" s="197" t="s">
        <v>282</v>
      </c>
      <c r="C74" s="356">
        <v>181779.66</v>
      </c>
      <c r="D74" s="357">
        <v>6</v>
      </c>
      <c r="E74" s="358">
        <f t="shared" si="3"/>
        <v>16.666666666666668</v>
      </c>
      <c r="F74" s="366">
        <f>F73</f>
        <v>215</v>
      </c>
      <c r="G74" s="360">
        <f t="shared" si="2"/>
        <v>140.9144651162791</v>
      </c>
      <c r="H74" s="407"/>
    </row>
    <row r="75" spans="1:8" ht="12.75" x14ac:dyDescent="0.2">
      <c r="A75" s="202" t="s">
        <v>283</v>
      </c>
      <c r="B75" s="203" t="s">
        <v>206</v>
      </c>
      <c r="C75" s="356">
        <v>66101.600000000006</v>
      </c>
      <c r="D75" s="357">
        <v>6</v>
      </c>
      <c r="E75" s="358">
        <f t="shared" si="3"/>
        <v>16.666666666666668</v>
      </c>
      <c r="F75" s="365">
        <v>120</v>
      </c>
      <c r="G75" s="360">
        <f t="shared" si="2"/>
        <v>91.807777777777801</v>
      </c>
      <c r="H75" s="407"/>
    </row>
    <row r="76" spans="1:8" ht="12.75" x14ac:dyDescent="0.2">
      <c r="A76" s="196" t="s">
        <v>242</v>
      </c>
      <c r="B76" s="197" t="s">
        <v>284</v>
      </c>
      <c r="C76" s="356">
        <v>132203.39000000001</v>
      </c>
      <c r="D76" s="357">
        <v>6</v>
      </c>
      <c r="E76" s="358">
        <f t="shared" si="3"/>
        <v>16.666666666666668</v>
      </c>
      <c r="F76" s="365">
        <v>120</v>
      </c>
      <c r="G76" s="360">
        <f t="shared" si="2"/>
        <v>183.6158194444445</v>
      </c>
      <c r="H76" s="407"/>
    </row>
    <row r="77" spans="1:8" ht="12.75" x14ac:dyDescent="0.2">
      <c r="A77" s="202" t="s">
        <v>285</v>
      </c>
      <c r="B77" s="203" t="s">
        <v>204</v>
      </c>
      <c r="C77" s="356">
        <v>152542.29999999999</v>
      </c>
      <c r="D77" s="357">
        <v>6</v>
      </c>
      <c r="E77" s="358">
        <f t="shared" si="3"/>
        <v>16.666666666666668</v>
      </c>
      <c r="F77" s="365">
        <v>120</v>
      </c>
      <c r="G77" s="360">
        <f t="shared" si="2"/>
        <v>211.86430555555555</v>
      </c>
      <c r="H77" s="407"/>
    </row>
    <row r="78" spans="1:8" ht="12.75" x14ac:dyDescent="0.2">
      <c r="A78" s="196" t="s">
        <v>286</v>
      </c>
      <c r="B78" s="203" t="s">
        <v>141</v>
      </c>
      <c r="C78" s="356">
        <v>215593.2</v>
      </c>
      <c r="D78" s="357">
        <v>9</v>
      </c>
      <c r="E78" s="358">
        <f t="shared" si="3"/>
        <v>11.111111111111111</v>
      </c>
      <c r="F78" s="368">
        <v>95</v>
      </c>
      <c r="G78" s="360">
        <f t="shared" si="2"/>
        <v>252.15578947368419</v>
      </c>
      <c r="H78" s="407"/>
    </row>
    <row r="79" spans="1:8" ht="12.75" x14ac:dyDescent="0.2">
      <c r="A79" s="196" t="s">
        <v>287</v>
      </c>
      <c r="B79" s="197" t="s">
        <v>146</v>
      </c>
      <c r="C79" s="356">
        <v>165221.1</v>
      </c>
      <c r="D79" s="357">
        <v>10</v>
      </c>
      <c r="E79" s="358">
        <f t="shared" si="3"/>
        <v>10</v>
      </c>
      <c r="F79" s="368">
        <v>650</v>
      </c>
      <c r="G79" s="360">
        <f t="shared" si="2"/>
        <v>25.41863076923077</v>
      </c>
      <c r="H79" s="407"/>
    </row>
    <row r="80" spans="1:8" ht="12.75" x14ac:dyDescent="0.2">
      <c r="A80" s="202" t="s">
        <v>288</v>
      </c>
      <c r="B80" s="203" t="s">
        <v>125</v>
      </c>
      <c r="C80" s="356">
        <v>73220.3</v>
      </c>
      <c r="D80" s="357">
        <v>7</v>
      </c>
      <c r="E80" s="358">
        <f t="shared" si="3"/>
        <v>14.285714285714286</v>
      </c>
      <c r="F80" s="368">
        <v>600</v>
      </c>
      <c r="G80" s="360">
        <f t="shared" si="2"/>
        <v>17.433404761904765</v>
      </c>
      <c r="H80" s="407"/>
    </row>
    <row r="81" spans="1:8" ht="12.75" x14ac:dyDescent="0.2">
      <c r="A81" s="196" t="s">
        <v>289</v>
      </c>
      <c r="B81" s="197" t="s">
        <v>129</v>
      </c>
      <c r="C81" s="356">
        <v>213559.3</v>
      </c>
      <c r="D81" s="357">
        <v>8</v>
      </c>
      <c r="E81" s="358">
        <f t="shared" si="3"/>
        <v>12.5</v>
      </c>
      <c r="F81" s="368">
        <v>110</v>
      </c>
      <c r="G81" s="360">
        <f t="shared" si="2"/>
        <v>242.6810227272727</v>
      </c>
      <c r="H81" s="407"/>
    </row>
    <row r="82" spans="1:8" ht="13.5" customHeight="1" x14ac:dyDescent="0.2">
      <c r="A82" s="196" t="s">
        <v>290</v>
      </c>
      <c r="B82" s="197" t="s">
        <v>127</v>
      </c>
      <c r="C82" s="356">
        <v>104661.02</v>
      </c>
      <c r="D82" s="357">
        <v>6</v>
      </c>
      <c r="E82" s="358">
        <f t="shared" si="3"/>
        <v>16.666666666666668</v>
      </c>
      <c r="F82" s="368">
        <v>140</v>
      </c>
      <c r="G82" s="360">
        <f t="shared" si="2"/>
        <v>124.59645238095241</v>
      </c>
      <c r="H82" s="407"/>
    </row>
    <row r="83" spans="1:8" ht="12.75" x14ac:dyDescent="0.2">
      <c r="A83" s="196" t="s">
        <v>289</v>
      </c>
      <c r="B83" s="197" t="s">
        <v>147</v>
      </c>
      <c r="C83" s="356">
        <v>189152.5</v>
      </c>
      <c r="D83" s="357">
        <v>8</v>
      </c>
      <c r="E83" s="358">
        <f t="shared" si="3"/>
        <v>12.5</v>
      </c>
      <c r="F83" s="368">
        <v>110</v>
      </c>
      <c r="G83" s="360">
        <f t="shared" si="2"/>
        <v>214.94602272727272</v>
      </c>
      <c r="H83" s="407"/>
    </row>
    <row r="84" spans="1:8" ht="12.75" x14ac:dyDescent="0.2">
      <c r="A84" s="196" t="s">
        <v>291</v>
      </c>
      <c r="B84" s="197" t="s">
        <v>104</v>
      </c>
      <c r="C84" s="356">
        <v>176271.19</v>
      </c>
      <c r="D84" s="357">
        <v>8</v>
      </c>
      <c r="E84" s="358">
        <f t="shared" si="3"/>
        <v>12.5</v>
      </c>
      <c r="F84" s="368">
        <v>120</v>
      </c>
      <c r="G84" s="360">
        <f t="shared" si="2"/>
        <v>183.61582291666667</v>
      </c>
      <c r="H84" s="407"/>
    </row>
    <row r="85" spans="1:8" ht="12.75" x14ac:dyDescent="0.2">
      <c r="A85" s="196" t="s">
        <v>292</v>
      </c>
      <c r="B85" s="197" t="s">
        <v>110</v>
      </c>
      <c r="C85" s="356">
        <v>88983.1</v>
      </c>
      <c r="D85" s="357">
        <v>9.0909090909090917</v>
      </c>
      <c r="E85" s="358">
        <f t="shared" si="3"/>
        <v>10.999999999999998</v>
      </c>
      <c r="F85" s="368">
        <v>90</v>
      </c>
      <c r="G85" s="360">
        <f t="shared" si="2"/>
        <v>108.75712222222222</v>
      </c>
      <c r="H85" s="407"/>
    </row>
    <row r="86" spans="1:8" ht="12.75" x14ac:dyDescent="0.2">
      <c r="A86" s="196" t="s">
        <v>293</v>
      </c>
      <c r="B86" s="197" t="s">
        <v>117</v>
      </c>
      <c r="C86" s="356">
        <v>837966.1</v>
      </c>
      <c r="D86" s="357">
        <v>10</v>
      </c>
      <c r="E86" s="358">
        <f t="shared" si="3"/>
        <v>10</v>
      </c>
      <c r="F86" s="368">
        <v>315</v>
      </c>
      <c r="G86" s="360">
        <f t="shared" si="2"/>
        <v>266.0209841269841</v>
      </c>
      <c r="H86" s="407"/>
    </row>
    <row r="87" spans="1:8" ht="12.75" x14ac:dyDescent="0.2">
      <c r="A87" s="196" t="s">
        <v>294</v>
      </c>
      <c r="B87" s="197" t="s">
        <v>295</v>
      </c>
      <c r="C87" s="356">
        <v>91525.42</v>
      </c>
      <c r="D87" s="357">
        <v>8</v>
      </c>
      <c r="E87" s="358">
        <f t="shared" si="3"/>
        <v>12.5</v>
      </c>
      <c r="F87" s="368">
        <v>100</v>
      </c>
      <c r="G87" s="360">
        <f t="shared" si="2"/>
        <v>114.406775</v>
      </c>
      <c r="H87" s="407"/>
    </row>
    <row r="88" spans="1:8" ht="12.75" x14ac:dyDescent="0.2">
      <c r="A88" s="196" t="s">
        <v>384</v>
      </c>
      <c r="B88" s="197" t="s">
        <v>148</v>
      </c>
      <c r="C88" s="356">
        <f>C87</f>
        <v>91525.42</v>
      </c>
      <c r="D88" s="357">
        <v>8</v>
      </c>
      <c r="E88" s="358">
        <f t="shared" si="3"/>
        <v>12.5</v>
      </c>
      <c r="F88" s="368">
        <v>100</v>
      </c>
      <c r="G88" s="360">
        <f t="shared" si="2"/>
        <v>114.406775</v>
      </c>
      <c r="H88" s="407"/>
    </row>
    <row r="89" spans="1:8" ht="12.75" x14ac:dyDescent="0.2">
      <c r="A89" s="202" t="s">
        <v>296</v>
      </c>
      <c r="B89" s="203" t="s">
        <v>135</v>
      </c>
      <c r="C89" s="356">
        <v>136271.1</v>
      </c>
      <c r="D89" s="357">
        <v>8</v>
      </c>
      <c r="E89" s="358">
        <f t="shared" si="3"/>
        <v>12.5</v>
      </c>
      <c r="F89" s="368">
        <v>120</v>
      </c>
      <c r="G89" s="360">
        <f t="shared" si="2"/>
        <v>141.9490625</v>
      </c>
      <c r="H89" s="407"/>
    </row>
    <row r="90" spans="1:8" ht="12.75" x14ac:dyDescent="0.2">
      <c r="A90" s="196" t="s">
        <v>297</v>
      </c>
      <c r="B90" s="197" t="s">
        <v>131</v>
      </c>
      <c r="C90" s="356">
        <v>178347.46</v>
      </c>
      <c r="D90" s="357">
        <v>9.0090090090090094</v>
      </c>
      <c r="E90" s="358">
        <f t="shared" si="3"/>
        <v>11.1</v>
      </c>
      <c r="F90" s="368">
        <v>675</v>
      </c>
      <c r="G90" s="360">
        <f t="shared" si="2"/>
        <v>29.328248977777776</v>
      </c>
      <c r="H90" s="407"/>
    </row>
    <row r="91" spans="1:8" ht="12.75" x14ac:dyDescent="0.2">
      <c r="A91" s="196" t="s">
        <v>385</v>
      </c>
      <c r="B91" s="197" t="s">
        <v>185</v>
      </c>
      <c r="C91" s="356">
        <f>C90</f>
        <v>178347.46</v>
      </c>
      <c r="D91" s="357">
        <v>9.0090090090090094</v>
      </c>
      <c r="E91" s="358">
        <f t="shared" si="3"/>
        <v>11.1</v>
      </c>
      <c r="F91" s="369">
        <f>F90</f>
        <v>675</v>
      </c>
      <c r="G91" s="360">
        <f t="shared" si="2"/>
        <v>29.328248977777776</v>
      </c>
      <c r="H91" s="407"/>
    </row>
    <row r="92" spans="1:8" ht="12.75" x14ac:dyDescent="0.2">
      <c r="A92" s="196" t="s">
        <v>298</v>
      </c>
      <c r="B92" s="197" t="s">
        <v>299</v>
      </c>
      <c r="C92" s="356">
        <v>382372.8</v>
      </c>
      <c r="D92" s="357">
        <v>9.0090090090090094</v>
      </c>
      <c r="E92" s="358">
        <f t="shared" si="3"/>
        <v>11.1</v>
      </c>
      <c r="F92" s="368">
        <v>675</v>
      </c>
      <c r="G92" s="360">
        <f t="shared" si="2"/>
        <v>62.879082666666662</v>
      </c>
      <c r="H92" s="407"/>
    </row>
    <row r="93" spans="1:8" ht="12.75" x14ac:dyDescent="0.2">
      <c r="A93" s="196" t="s">
        <v>300</v>
      </c>
      <c r="B93" s="197" t="s">
        <v>301</v>
      </c>
      <c r="C93" s="356">
        <v>575135.59</v>
      </c>
      <c r="D93" s="357">
        <v>9.0090090090090094</v>
      </c>
      <c r="E93" s="358">
        <f t="shared" si="3"/>
        <v>11.1</v>
      </c>
      <c r="F93" s="368">
        <v>675</v>
      </c>
      <c r="G93" s="360">
        <f t="shared" si="2"/>
        <v>94.577852577777776</v>
      </c>
      <c r="H93" s="407"/>
    </row>
    <row r="94" spans="1:8" ht="12.75" x14ac:dyDescent="0.2">
      <c r="A94" s="196" t="s">
        <v>302</v>
      </c>
      <c r="B94" s="197" t="s">
        <v>201</v>
      </c>
      <c r="C94" s="356">
        <v>142372.88</v>
      </c>
      <c r="D94" s="357">
        <v>8</v>
      </c>
      <c r="E94" s="358">
        <f t="shared" si="3"/>
        <v>12.5</v>
      </c>
      <c r="F94" s="368">
        <v>180</v>
      </c>
      <c r="G94" s="360">
        <f t="shared" si="2"/>
        <v>98.870055555555552</v>
      </c>
      <c r="H94" s="407"/>
    </row>
    <row r="95" spans="1:8" ht="12.75" x14ac:dyDescent="0.2">
      <c r="A95" s="196" t="s">
        <v>142</v>
      </c>
      <c r="B95" s="197" t="s">
        <v>303</v>
      </c>
      <c r="C95" s="356">
        <v>79322.03</v>
      </c>
      <c r="D95" s="357">
        <v>10</v>
      </c>
      <c r="E95" s="358">
        <f t="shared" si="3"/>
        <v>10</v>
      </c>
      <c r="F95" s="370">
        <v>800</v>
      </c>
      <c r="G95" s="360">
        <f t="shared" si="2"/>
        <v>9.9152537499999998</v>
      </c>
      <c r="H95" s="407"/>
    </row>
    <row r="96" spans="1:8" ht="12.75" x14ac:dyDescent="0.2">
      <c r="A96" s="196" t="s">
        <v>142</v>
      </c>
      <c r="B96" s="197" t="s">
        <v>304</v>
      </c>
      <c r="C96" s="356">
        <v>309152.5</v>
      </c>
      <c r="D96" s="357">
        <v>10</v>
      </c>
      <c r="E96" s="358">
        <f t="shared" si="3"/>
        <v>10</v>
      </c>
      <c r="F96" s="368">
        <v>800</v>
      </c>
      <c r="G96" s="360">
        <f t="shared" si="2"/>
        <v>38.644062499999997</v>
      </c>
      <c r="H96" s="407"/>
    </row>
    <row r="97" spans="1:8" ht="12.75" x14ac:dyDescent="0.2">
      <c r="A97" s="196" t="s">
        <v>305</v>
      </c>
      <c r="B97" s="197" t="s">
        <v>140</v>
      </c>
      <c r="C97" s="356">
        <v>72800</v>
      </c>
      <c r="D97" s="357">
        <v>8</v>
      </c>
      <c r="E97" s="358">
        <f t="shared" si="3"/>
        <v>12.5</v>
      </c>
      <c r="F97" s="368">
        <v>150</v>
      </c>
      <c r="G97" s="360">
        <f t="shared" si="2"/>
        <v>60.666666666666664</v>
      </c>
      <c r="H97" s="407"/>
    </row>
    <row r="98" spans="1:8" ht="12.75" x14ac:dyDescent="0.2">
      <c r="A98" s="184" t="s">
        <v>524</v>
      </c>
      <c r="B98" s="184" t="s">
        <v>483</v>
      </c>
      <c r="C98" s="371">
        <v>2655000</v>
      </c>
      <c r="D98" s="357">
        <v>10</v>
      </c>
      <c r="E98" s="358">
        <f t="shared" si="3"/>
        <v>10</v>
      </c>
      <c r="F98" s="361">
        <v>1200</v>
      </c>
      <c r="G98" s="360">
        <f t="shared" si="2"/>
        <v>221.25</v>
      </c>
      <c r="H98" s="407"/>
    </row>
    <row r="99" spans="1:8" x14ac:dyDescent="0.2">
      <c r="C99" s="204"/>
      <c r="D99" s="205"/>
    </row>
    <row r="100" spans="1:8" x14ac:dyDescent="0.2">
      <c r="C100" s="204"/>
      <c r="D100" s="205"/>
    </row>
    <row r="101" spans="1:8" x14ac:dyDescent="0.2">
      <c r="C101" s="204"/>
    </row>
  </sheetData>
  <mergeCells count="8">
    <mergeCell ref="A1:G1"/>
    <mergeCell ref="E4:E6"/>
    <mergeCell ref="G4:G6"/>
    <mergeCell ref="A4:A6"/>
    <mergeCell ref="B4:B6"/>
    <mergeCell ref="C4:C6"/>
    <mergeCell ref="D4:D6"/>
    <mergeCell ref="F4:F6"/>
  </mergeCells>
  <phoneticPr fontId="4" type="noConversion"/>
  <conditionalFormatting sqref="F92:F97 F25 F75:F90 F27:F72">
    <cfRule type="cellIs" dxfId="172" priority="3" stopIfTrue="1" operator="equal">
      <formula>0</formula>
    </cfRule>
  </conditionalFormatting>
  <conditionalFormatting sqref="F91 F26 F73:F74">
    <cfRule type="cellIs" dxfId="171" priority="4" stopIfTrue="1" operator="equal">
      <formula>0</formula>
    </cfRule>
  </conditionalFormatting>
  <conditionalFormatting sqref="C17 C20:C97 C7:C15">
    <cfRule type="cellIs" dxfId="170" priority="2" stopIfTrue="1" operator="equal">
      <formula>0</formula>
    </cfRule>
  </conditionalFormatting>
  <conditionalFormatting sqref="C14 C45">
    <cfRule type="cellIs" dxfId="169" priority="1" stopIfTrue="1" operator="equal">
      <formula>0</formula>
    </cfRule>
  </conditionalFormatting>
  <pageMargins left="0.35433070866141736" right="0.35433070866141736" top="0.43307086614173229" bottom="0.27559055118110237" header="0.51181102362204722" footer="0.51181102362204722"/>
  <pageSetup paperSize="9" scale="65" orientation="portrait" verticalDpi="0" r:id="rId1"/>
  <headerFooter alignWithMargins="0">
    <oddFooter>&amp;LОтдел СЭР села ЯНИИСХ</oddFooter>
  </headerFooter>
  <rowBreaks count="1" manualBreakCount="1">
    <brk id="98" max="16383" man="1"/>
  </rowBreaks>
  <colBreaks count="1" manualBreakCount="1">
    <brk id="7"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5"/>
  <sheetViews>
    <sheetView workbookViewId="0">
      <selection activeCell="P48" sqref="P48"/>
    </sheetView>
  </sheetViews>
  <sheetFormatPr defaultRowHeight="12.75" x14ac:dyDescent="0.2"/>
  <cols>
    <col min="2" max="2" width="40.85546875" customWidth="1"/>
  </cols>
  <sheetData>
    <row r="1" spans="1:5" x14ac:dyDescent="0.2">
      <c r="B1" t="s">
        <v>12</v>
      </c>
      <c r="C1" t="s">
        <v>53</v>
      </c>
      <c r="D1" t="s">
        <v>52</v>
      </c>
      <c r="E1" t="s">
        <v>39</v>
      </c>
    </row>
    <row r="2" spans="1:5" s="7" customFormat="1" ht="12.75" customHeight="1" x14ac:dyDescent="0.2">
      <c r="A2" s="182"/>
      <c r="B2" s="186" t="s">
        <v>56</v>
      </c>
      <c r="C2" s="187"/>
      <c r="D2" s="188"/>
      <c r="E2" s="23"/>
    </row>
    <row r="3" spans="1:5" s="13" customFormat="1" ht="11.25" x14ac:dyDescent="0.2">
      <c r="A3" s="183">
        <v>1</v>
      </c>
      <c r="B3" s="27" t="s">
        <v>410</v>
      </c>
      <c r="C3" s="30" t="s">
        <v>183</v>
      </c>
      <c r="D3" s="31" t="s">
        <v>113</v>
      </c>
      <c r="E3" s="32">
        <v>10.08</v>
      </c>
    </row>
    <row r="4" spans="1:5" s="13" customFormat="1" ht="11.25" x14ac:dyDescent="0.2">
      <c r="A4" s="183">
        <f t="shared" ref="A4:A13" si="0">A3+1</f>
        <v>2</v>
      </c>
      <c r="B4" s="27" t="s">
        <v>418</v>
      </c>
      <c r="C4" s="30" t="s">
        <v>183</v>
      </c>
      <c r="D4" s="31" t="s">
        <v>422</v>
      </c>
      <c r="E4" s="32">
        <v>28.8</v>
      </c>
    </row>
    <row r="5" spans="1:5" s="13" customFormat="1" ht="11.25" x14ac:dyDescent="0.2">
      <c r="A5" s="183">
        <f t="shared" si="0"/>
        <v>3</v>
      </c>
      <c r="B5" s="27" t="s">
        <v>419</v>
      </c>
      <c r="C5" s="30" t="s">
        <v>183</v>
      </c>
      <c r="D5" s="31" t="s">
        <v>415</v>
      </c>
      <c r="E5" s="32">
        <v>32</v>
      </c>
    </row>
    <row r="6" spans="1:5" s="13" customFormat="1" ht="11.25" x14ac:dyDescent="0.2">
      <c r="A6" s="183">
        <f t="shared" si="0"/>
        <v>4</v>
      </c>
      <c r="B6" s="27" t="s">
        <v>420</v>
      </c>
      <c r="C6" s="30" t="s">
        <v>105</v>
      </c>
      <c r="D6" s="31" t="s">
        <v>482</v>
      </c>
      <c r="E6" s="32">
        <v>33.6</v>
      </c>
    </row>
    <row r="7" spans="1:5" s="13" customFormat="1" ht="11.25" x14ac:dyDescent="0.2">
      <c r="A7" s="183">
        <f t="shared" si="0"/>
        <v>5</v>
      </c>
      <c r="B7" s="27" t="s">
        <v>22</v>
      </c>
      <c r="C7" s="478" t="s">
        <v>118</v>
      </c>
      <c r="D7" s="479"/>
      <c r="E7" s="32">
        <v>3</v>
      </c>
    </row>
    <row r="8" spans="1:5" s="13" customFormat="1" ht="11.25" x14ac:dyDescent="0.2">
      <c r="A8" s="183">
        <f t="shared" si="0"/>
        <v>6</v>
      </c>
      <c r="B8" s="27" t="s">
        <v>487</v>
      </c>
      <c r="C8" s="30" t="s">
        <v>105</v>
      </c>
      <c r="D8" s="31" t="s">
        <v>115</v>
      </c>
      <c r="E8" s="32">
        <v>3</v>
      </c>
    </row>
    <row r="9" spans="1:5" s="13" customFormat="1" ht="11.25" x14ac:dyDescent="0.2">
      <c r="A9" s="183">
        <f t="shared" si="0"/>
        <v>7</v>
      </c>
      <c r="B9" s="27" t="s">
        <v>24</v>
      </c>
      <c r="C9" s="478" t="s">
        <v>118</v>
      </c>
      <c r="D9" s="479"/>
      <c r="E9" s="32">
        <v>3</v>
      </c>
    </row>
    <row r="10" spans="1:5" s="13" customFormat="1" ht="11.25" x14ac:dyDescent="0.2">
      <c r="A10" s="183">
        <f t="shared" si="0"/>
        <v>8</v>
      </c>
      <c r="B10" s="27" t="s">
        <v>25</v>
      </c>
      <c r="C10" s="478" t="s">
        <v>118</v>
      </c>
      <c r="D10" s="479"/>
      <c r="E10" s="32">
        <v>8.3333333333333339</v>
      </c>
    </row>
    <row r="11" spans="1:5" s="13" customFormat="1" ht="22.5" x14ac:dyDescent="0.2">
      <c r="A11" s="183">
        <f t="shared" si="0"/>
        <v>9</v>
      </c>
      <c r="B11" s="27" t="s">
        <v>75</v>
      </c>
      <c r="C11" s="30" t="s">
        <v>105</v>
      </c>
      <c r="D11" s="31" t="s">
        <v>115</v>
      </c>
      <c r="E11" s="32">
        <v>8.3333333333333339</v>
      </c>
    </row>
    <row r="12" spans="1:5" s="13" customFormat="1" ht="11.25" x14ac:dyDescent="0.2">
      <c r="A12" s="183">
        <f t="shared" si="0"/>
        <v>10</v>
      </c>
      <c r="B12" s="27" t="s">
        <v>26</v>
      </c>
      <c r="C12" s="478" t="s">
        <v>118</v>
      </c>
      <c r="D12" s="479"/>
      <c r="E12" s="32">
        <v>8.3333333333333339</v>
      </c>
    </row>
    <row r="13" spans="1:5" s="13" customFormat="1" ht="21" customHeight="1" x14ac:dyDescent="0.2">
      <c r="A13" s="183">
        <f t="shared" si="0"/>
        <v>11</v>
      </c>
      <c r="B13" s="27" t="s">
        <v>421</v>
      </c>
      <c r="C13" s="30" t="s">
        <v>183</v>
      </c>
      <c r="D13" s="31" t="s">
        <v>483</v>
      </c>
      <c r="E13" s="32">
        <v>14.4</v>
      </c>
    </row>
    <row r="14" spans="1:5" s="7" customFormat="1" ht="12.75" customHeight="1" x14ac:dyDescent="0.2">
      <c r="A14" s="182"/>
      <c r="B14" s="477" t="s">
        <v>65</v>
      </c>
      <c r="C14" s="477"/>
      <c r="D14" s="477"/>
      <c r="E14" s="23"/>
    </row>
    <row r="15" spans="1:5" s="13" customFormat="1" ht="11.25" x14ac:dyDescent="0.2">
      <c r="A15" s="19">
        <v>1</v>
      </c>
      <c r="B15" s="27" t="s">
        <v>66</v>
      </c>
      <c r="C15" s="30" t="s">
        <v>105</v>
      </c>
      <c r="D15" s="31" t="s">
        <v>190</v>
      </c>
      <c r="E15" s="32">
        <v>14.4</v>
      </c>
    </row>
    <row r="16" spans="1:5" s="13" customFormat="1" ht="11.25" x14ac:dyDescent="0.2">
      <c r="A16" s="183">
        <f>A15+1</f>
        <v>2</v>
      </c>
      <c r="B16" s="27" t="s">
        <v>67</v>
      </c>
      <c r="C16" s="30" t="s">
        <v>105</v>
      </c>
      <c r="D16" s="31" t="s">
        <v>191</v>
      </c>
      <c r="E16" s="32">
        <v>51.2</v>
      </c>
    </row>
    <row r="17" spans="1:5" s="13" customFormat="1" ht="11.25" x14ac:dyDescent="0.2">
      <c r="A17" s="183">
        <f>A16+1</f>
        <v>3</v>
      </c>
      <c r="B17" s="27" t="s">
        <v>68</v>
      </c>
      <c r="C17" s="30" t="s">
        <v>105</v>
      </c>
      <c r="D17" s="31" t="s">
        <v>192</v>
      </c>
      <c r="E17" s="32">
        <v>48</v>
      </c>
    </row>
    <row r="18" spans="1:5" s="13" customFormat="1" ht="22.5" x14ac:dyDescent="0.2">
      <c r="A18" s="183">
        <f>A17+1</f>
        <v>4</v>
      </c>
      <c r="B18" s="27" t="s">
        <v>69</v>
      </c>
      <c r="C18" s="30" t="s">
        <v>105</v>
      </c>
      <c r="D18" s="31" t="s">
        <v>193</v>
      </c>
      <c r="E18" s="32">
        <v>100</v>
      </c>
    </row>
    <row r="19" spans="1:5" s="13" customFormat="1" ht="11.25" x14ac:dyDescent="0.2">
      <c r="A19" s="183">
        <f>A18+1</f>
        <v>5</v>
      </c>
      <c r="B19" s="27" t="s">
        <v>70</v>
      </c>
      <c r="C19" s="30" t="s">
        <v>105</v>
      </c>
      <c r="D19" s="31" t="s">
        <v>194</v>
      </c>
      <c r="E19" s="32">
        <v>100</v>
      </c>
    </row>
    <row r="20" spans="1:5" s="13" customFormat="1" ht="11.25" x14ac:dyDescent="0.2">
      <c r="A20" s="183">
        <f>A19+1</f>
        <v>6</v>
      </c>
      <c r="B20" s="27" t="s">
        <v>416</v>
      </c>
      <c r="C20" s="30" t="s">
        <v>105</v>
      </c>
      <c r="D20" s="31" t="s">
        <v>417</v>
      </c>
      <c r="E20" s="32">
        <v>100</v>
      </c>
    </row>
    <row r="21" spans="1:5" s="7" customFormat="1" ht="12.75" customHeight="1" x14ac:dyDescent="0.2">
      <c r="A21" s="182"/>
      <c r="B21" s="477" t="s">
        <v>56</v>
      </c>
      <c r="C21" s="477"/>
      <c r="D21" s="477"/>
      <c r="E21" s="23"/>
    </row>
    <row r="22" spans="1:5" s="13" customFormat="1" ht="11.25" x14ac:dyDescent="0.2">
      <c r="A22" s="183">
        <v>1</v>
      </c>
      <c r="B22" s="27" t="s">
        <v>410</v>
      </c>
      <c r="C22" s="30" t="s">
        <v>413</v>
      </c>
      <c r="D22" s="31" t="s">
        <v>113</v>
      </c>
      <c r="E22" s="32">
        <v>7.3</v>
      </c>
    </row>
    <row r="23" spans="1:5" s="13" customFormat="1" ht="11.25" x14ac:dyDescent="0.2">
      <c r="A23" s="183">
        <f>A22+1</f>
        <v>2</v>
      </c>
      <c r="B23" s="27" t="s">
        <v>411</v>
      </c>
      <c r="C23" s="30" t="s">
        <v>413</v>
      </c>
      <c r="D23" s="130" t="s">
        <v>414</v>
      </c>
      <c r="E23" s="32">
        <v>17.71</v>
      </c>
    </row>
    <row r="24" spans="1:5" s="13" customFormat="1" ht="11.25" x14ac:dyDescent="0.2">
      <c r="A24" s="183">
        <f>A23+1</f>
        <v>3</v>
      </c>
      <c r="B24" s="27" t="s">
        <v>108</v>
      </c>
      <c r="C24" s="30" t="s">
        <v>413</v>
      </c>
      <c r="D24" s="130" t="s">
        <v>415</v>
      </c>
      <c r="E24" s="32">
        <v>17.579999999999998</v>
      </c>
    </row>
    <row r="25" spans="1:5" s="13" customFormat="1" ht="22.5" x14ac:dyDescent="0.2">
      <c r="A25" s="183">
        <f>A24+1</f>
        <v>4</v>
      </c>
      <c r="B25" s="27" t="s">
        <v>412</v>
      </c>
      <c r="C25" s="30" t="s">
        <v>105</v>
      </c>
      <c r="D25" s="31" t="s">
        <v>111</v>
      </c>
      <c r="E25" s="32">
        <v>57</v>
      </c>
    </row>
    <row r="26" spans="1:5" s="13" customFormat="1" ht="11.25" x14ac:dyDescent="0.2">
      <c r="A26" s="183">
        <f t="shared" ref="A26:A32" si="1">A25+1</f>
        <v>5</v>
      </c>
      <c r="B26" s="27" t="s">
        <v>59</v>
      </c>
      <c r="C26" s="478" t="s">
        <v>118</v>
      </c>
      <c r="D26" s="479"/>
      <c r="E26" s="32">
        <v>9.5</v>
      </c>
    </row>
    <row r="27" spans="1:5" s="13" customFormat="1" ht="11.25" x14ac:dyDescent="0.2">
      <c r="A27" s="183">
        <f t="shared" si="1"/>
        <v>6</v>
      </c>
      <c r="B27" s="27" t="s">
        <v>63</v>
      </c>
      <c r="C27" s="30" t="s">
        <v>105</v>
      </c>
      <c r="D27" s="31" t="s">
        <v>115</v>
      </c>
      <c r="E27" s="32">
        <v>29</v>
      </c>
    </row>
    <row r="28" spans="1:5" s="13" customFormat="1" ht="11.25" x14ac:dyDescent="0.2">
      <c r="A28" s="183">
        <f t="shared" si="1"/>
        <v>7</v>
      </c>
      <c r="B28" s="27" t="s">
        <v>60</v>
      </c>
      <c r="C28" s="478" t="s">
        <v>118</v>
      </c>
      <c r="D28" s="479"/>
      <c r="E28" s="32">
        <v>12</v>
      </c>
    </row>
    <row r="29" spans="1:5" s="13" customFormat="1" ht="11.25" x14ac:dyDescent="0.2">
      <c r="A29" s="183">
        <f t="shared" si="1"/>
        <v>8</v>
      </c>
      <c r="B29" s="27" t="s">
        <v>61</v>
      </c>
      <c r="C29" s="478" t="s">
        <v>118</v>
      </c>
      <c r="D29" s="479"/>
      <c r="E29" s="32">
        <v>8</v>
      </c>
    </row>
    <row r="30" spans="1:5" s="13" customFormat="1" ht="11.25" x14ac:dyDescent="0.2">
      <c r="A30" s="183">
        <f t="shared" si="1"/>
        <v>9</v>
      </c>
      <c r="B30" s="27" t="s">
        <v>64</v>
      </c>
      <c r="C30" s="30" t="s">
        <v>105</v>
      </c>
      <c r="D30" s="31" t="s">
        <v>115</v>
      </c>
      <c r="E30" s="32">
        <v>29</v>
      </c>
    </row>
    <row r="31" spans="1:5" s="13" customFormat="1" ht="11.25" x14ac:dyDescent="0.2">
      <c r="A31" s="183">
        <f t="shared" si="1"/>
        <v>10</v>
      </c>
      <c r="B31" s="27" t="s">
        <v>62</v>
      </c>
      <c r="C31" s="478" t="s">
        <v>118</v>
      </c>
      <c r="D31" s="479"/>
      <c r="E31" s="32">
        <v>9</v>
      </c>
    </row>
    <row r="32" spans="1:5" s="13" customFormat="1" ht="11.25" x14ac:dyDescent="0.2">
      <c r="A32" s="183">
        <f t="shared" si="1"/>
        <v>11</v>
      </c>
      <c r="B32" s="27" t="s">
        <v>27</v>
      </c>
      <c r="C32" s="30" t="s">
        <v>105</v>
      </c>
      <c r="D32" s="31" t="s">
        <v>110</v>
      </c>
      <c r="E32" s="32">
        <v>11</v>
      </c>
    </row>
    <row r="33" spans="1:5" s="7" customFormat="1" ht="11.25" x14ac:dyDescent="0.2">
      <c r="A33" s="182"/>
      <c r="B33" s="477" t="s">
        <v>72</v>
      </c>
      <c r="C33" s="477"/>
      <c r="D33" s="477"/>
      <c r="E33" s="23"/>
    </row>
    <row r="34" spans="1:5" s="7" customFormat="1" ht="11.25" x14ac:dyDescent="0.2">
      <c r="A34" s="19">
        <v>1</v>
      </c>
      <c r="B34" s="27" t="s">
        <v>73</v>
      </c>
      <c r="C34" s="480" t="s">
        <v>131</v>
      </c>
      <c r="D34" s="481"/>
      <c r="E34" s="32">
        <v>756</v>
      </c>
    </row>
    <row r="35" spans="1:5" s="7" customFormat="1" ht="11.25" x14ac:dyDescent="0.2">
      <c r="A35" s="183">
        <f>A34+1</f>
        <v>2</v>
      </c>
      <c r="B35" s="27" t="s">
        <v>74</v>
      </c>
      <c r="C35" s="30" t="s">
        <v>103</v>
      </c>
      <c r="D35" s="31" t="s">
        <v>132</v>
      </c>
      <c r="E35" s="32">
        <v>756</v>
      </c>
    </row>
    <row r="36" spans="1:5" s="7" customFormat="1" ht="12.75" customHeight="1" x14ac:dyDescent="0.2">
      <c r="A36" s="182"/>
      <c r="B36" s="477" t="s">
        <v>65</v>
      </c>
      <c r="C36" s="477"/>
      <c r="D36" s="477"/>
      <c r="E36" s="23"/>
    </row>
    <row r="37" spans="1:5" s="13" customFormat="1" ht="11.25" x14ac:dyDescent="0.2">
      <c r="A37" s="19">
        <v>1</v>
      </c>
      <c r="B37" s="27" t="s">
        <v>66</v>
      </c>
      <c r="C37" s="30" t="s">
        <v>105</v>
      </c>
      <c r="D37" s="31" t="s">
        <v>190</v>
      </c>
      <c r="E37" s="32">
        <v>5</v>
      </c>
    </row>
    <row r="38" spans="1:5" s="13" customFormat="1" ht="11.25" x14ac:dyDescent="0.2">
      <c r="A38" s="183">
        <f>A37+1</f>
        <v>2</v>
      </c>
      <c r="B38" s="27" t="s">
        <v>67</v>
      </c>
      <c r="C38" s="30" t="s">
        <v>105</v>
      </c>
      <c r="D38" s="31" t="s">
        <v>191</v>
      </c>
      <c r="E38" s="32">
        <v>42</v>
      </c>
    </row>
    <row r="39" spans="1:5" s="13" customFormat="1" ht="11.25" x14ac:dyDescent="0.2">
      <c r="A39" s="183">
        <f>A38+1</f>
        <v>3</v>
      </c>
      <c r="B39" s="27" t="s">
        <v>68</v>
      </c>
      <c r="C39" s="30" t="s">
        <v>105</v>
      </c>
      <c r="D39" s="31" t="s">
        <v>192</v>
      </c>
      <c r="E39" s="32">
        <v>28</v>
      </c>
    </row>
    <row r="40" spans="1:5" s="13" customFormat="1" ht="22.5" x14ac:dyDescent="0.2">
      <c r="A40" s="183">
        <f>A39+1</f>
        <v>4</v>
      </c>
      <c r="B40" s="27" t="s">
        <v>69</v>
      </c>
      <c r="C40" s="30" t="s">
        <v>105</v>
      </c>
      <c r="D40" s="31" t="s">
        <v>193</v>
      </c>
      <c r="E40" s="32">
        <v>154</v>
      </c>
    </row>
    <row r="41" spans="1:5" s="13" customFormat="1" ht="11.25" x14ac:dyDescent="0.2">
      <c r="A41" s="183">
        <f>A40+1</f>
        <v>5</v>
      </c>
      <c r="B41" s="27" t="s">
        <v>70</v>
      </c>
      <c r="C41" s="30" t="s">
        <v>105</v>
      </c>
      <c r="D41" s="31" t="s">
        <v>194</v>
      </c>
      <c r="E41" s="32">
        <v>112</v>
      </c>
    </row>
    <row r="42" spans="1:5" s="13" customFormat="1" ht="11.25" x14ac:dyDescent="0.2">
      <c r="A42" s="183">
        <f>A41+1</f>
        <v>6</v>
      </c>
      <c r="B42" s="27" t="s">
        <v>416</v>
      </c>
      <c r="C42" s="30" t="s">
        <v>105</v>
      </c>
      <c r="D42" s="130" t="s">
        <v>417</v>
      </c>
      <c r="E42" s="32">
        <v>157</v>
      </c>
    </row>
    <row r="43" spans="1:5" s="7" customFormat="1" ht="12.75" customHeight="1" x14ac:dyDescent="0.2">
      <c r="A43" s="182"/>
      <c r="B43" s="482" t="s">
        <v>56</v>
      </c>
      <c r="C43" s="483"/>
      <c r="D43" s="484"/>
      <c r="E43" s="23"/>
    </row>
    <row r="44" spans="1:5" s="13" customFormat="1" ht="11.25" x14ac:dyDescent="0.2">
      <c r="A44" s="183">
        <v>1</v>
      </c>
      <c r="B44" s="27" t="s">
        <v>410</v>
      </c>
      <c r="C44" s="131" t="s">
        <v>183</v>
      </c>
      <c r="D44" s="31" t="s">
        <v>113</v>
      </c>
      <c r="E44" s="32">
        <v>7.3</v>
      </c>
    </row>
    <row r="45" spans="1:5" s="13" customFormat="1" ht="11.25" x14ac:dyDescent="0.2">
      <c r="A45" s="183">
        <f t="shared" ref="A45:A52" si="2">A44+1</f>
        <v>2</v>
      </c>
      <c r="B45" s="27" t="s">
        <v>418</v>
      </c>
      <c r="C45" s="30" t="s">
        <v>183</v>
      </c>
      <c r="D45" s="130" t="s">
        <v>422</v>
      </c>
      <c r="E45" s="32">
        <v>17.71</v>
      </c>
    </row>
    <row r="46" spans="1:5" s="13" customFormat="1" ht="11.25" x14ac:dyDescent="0.2">
      <c r="A46" s="183">
        <f t="shared" si="2"/>
        <v>3</v>
      </c>
      <c r="B46" s="27" t="s">
        <v>419</v>
      </c>
      <c r="C46" s="30" t="s">
        <v>183</v>
      </c>
      <c r="D46" s="130" t="s">
        <v>415</v>
      </c>
      <c r="E46" s="32">
        <v>17.579999999999998</v>
      </c>
    </row>
    <row r="47" spans="1:5" s="13" customFormat="1" ht="11.25" x14ac:dyDescent="0.2">
      <c r="A47" s="183">
        <f t="shared" si="2"/>
        <v>4</v>
      </c>
      <c r="B47" s="27" t="s">
        <v>420</v>
      </c>
      <c r="C47" s="30" t="s">
        <v>105</v>
      </c>
      <c r="D47" s="31" t="s">
        <v>111</v>
      </c>
      <c r="E47" s="32">
        <v>14</v>
      </c>
    </row>
    <row r="48" spans="1:5" s="13" customFormat="1" ht="11.25" x14ac:dyDescent="0.2">
      <c r="A48" s="183">
        <f t="shared" si="2"/>
        <v>5</v>
      </c>
      <c r="B48" s="27" t="s">
        <v>22</v>
      </c>
      <c r="C48" s="478" t="s">
        <v>118</v>
      </c>
      <c r="D48" s="479"/>
      <c r="E48" s="32">
        <v>8</v>
      </c>
    </row>
    <row r="49" spans="1:5" s="13" customFormat="1" ht="11.25" x14ac:dyDescent="0.2">
      <c r="A49" s="183">
        <f t="shared" si="2"/>
        <v>6</v>
      </c>
      <c r="B49" s="27" t="s">
        <v>23</v>
      </c>
      <c r="C49" s="30" t="s">
        <v>105</v>
      </c>
      <c r="D49" s="31" t="s">
        <v>115</v>
      </c>
      <c r="E49" s="32">
        <v>29</v>
      </c>
    </row>
    <row r="50" spans="1:5" s="13" customFormat="1" ht="11.25" x14ac:dyDescent="0.2">
      <c r="A50" s="183">
        <f t="shared" si="2"/>
        <v>7</v>
      </c>
      <c r="B50" s="27" t="s">
        <v>24</v>
      </c>
      <c r="C50" s="478" t="s">
        <v>118</v>
      </c>
      <c r="D50" s="479"/>
      <c r="E50" s="32">
        <v>9</v>
      </c>
    </row>
    <row r="51" spans="1:5" s="13" customFormat="1" ht="11.25" x14ac:dyDescent="0.2">
      <c r="A51" s="183">
        <f t="shared" si="2"/>
        <v>8</v>
      </c>
      <c r="B51" s="27" t="s">
        <v>25</v>
      </c>
      <c r="C51" s="478" t="s">
        <v>118</v>
      </c>
      <c r="D51" s="479"/>
      <c r="E51" s="32">
        <v>9.5</v>
      </c>
    </row>
    <row r="52" spans="1:5" s="13" customFormat="1" ht="22.5" x14ac:dyDescent="0.2">
      <c r="A52" s="183">
        <f t="shared" si="2"/>
        <v>9</v>
      </c>
      <c r="B52" s="27" t="s">
        <v>75</v>
      </c>
      <c r="C52" s="30" t="s">
        <v>105</v>
      </c>
      <c r="D52" s="31" t="s">
        <v>115</v>
      </c>
      <c r="E52" s="32">
        <v>29</v>
      </c>
    </row>
    <row r="53" spans="1:5" s="13" customFormat="1" ht="11.25" x14ac:dyDescent="0.2">
      <c r="A53" s="183">
        <v>10</v>
      </c>
      <c r="B53" s="27" t="s">
        <v>26</v>
      </c>
      <c r="C53" s="478" t="s">
        <v>118</v>
      </c>
      <c r="D53" s="479"/>
      <c r="E53" s="32">
        <v>12</v>
      </c>
    </row>
    <row r="54" spans="1:5" s="13" customFormat="1" ht="33.75" x14ac:dyDescent="0.2">
      <c r="A54" s="183">
        <v>11</v>
      </c>
      <c r="B54" s="27" t="s">
        <v>421</v>
      </c>
      <c r="C54" s="30" t="s">
        <v>105</v>
      </c>
      <c r="D54" s="31" t="s">
        <v>110</v>
      </c>
      <c r="E54" s="32">
        <v>11</v>
      </c>
    </row>
    <row r="55" spans="1:5" s="13" customFormat="1" ht="11.25" x14ac:dyDescent="0.2">
      <c r="A55" s="183">
        <v>12</v>
      </c>
      <c r="B55" s="27" t="s">
        <v>28</v>
      </c>
      <c r="C55" s="30" t="s">
        <v>105</v>
      </c>
      <c r="D55" s="31" t="s">
        <v>189</v>
      </c>
      <c r="E55" s="32">
        <v>28</v>
      </c>
    </row>
    <row r="56" spans="1:5" s="7" customFormat="1" ht="12.75" customHeight="1" x14ac:dyDescent="0.2">
      <c r="A56" s="182"/>
      <c r="B56" s="477" t="s">
        <v>82</v>
      </c>
      <c r="C56" s="477"/>
      <c r="D56" s="477"/>
      <c r="E56" s="23"/>
    </row>
    <row r="57" spans="1:5" s="13" customFormat="1" ht="11.25" x14ac:dyDescent="0.2">
      <c r="A57" s="19">
        <v>1</v>
      </c>
      <c r="B57" s="27" t="s">
        <v>423</v>
      </c>
      <c r="C57" s="30" t="s">
        <v>105</v>
      </c>
      <c r="D57" s="130" t="s">
        <v>424</v>
      </c>
      <c r="E57" s="32">
        <v>8.1999999999999993</v>
      </c>
    </row>
    <row r="58" spans="1:5" s="13" customFormat="1" ht="11.25" x14ac:dyDescent="0.2">
      <c r="A58" s="19">
        <v>2</v>
      </c>
      <c r="B58" s="27" t="s">
        <v>77</v>
      </c>
      <c r="C58" s="30" t="s">
        <v>105</v>
      </c>
      <c r="D58" s="31" t="s">
        <v>115</v>
      </c>
      <c r="E58" s="32">
        <v>21.1</v>
      </c>
    </row>
    <row r="59" spans="1:5" s="13" customFormat="1" ht="11.25" x14ac:dyDescent="0.2">
      <c r="A59" s="183">
        <f>A58+1</f>
        <v>3</v>
      </c>
      <c r="B59" s="27" t="s">
        <v>78</v>
      </c>
      <c r="C59" s="30" t="s">
        <v>103</v>
      </c>
      <c r="D59" s="31" t="s">
        <v>197</v>
      </c>
      <c r="E59" s="32">
        <v>100</v>
      </c>
    </row>
    <row r="60" spans="1:5" s="13" customFormat="1" ht="11.25" x14ac:dyDescent="0.2">
      <c r="A60" s="183">
        <f>A59+1</f>
        <v>4</v>
      </c>
      <c r="B60" s="27" t="s">
        <v>370</v>
      </c>
      <c r="C60" s="478" t="s">
        <v>118</v>
      </c>
      <c r="D60" s="479"/>
      <c r="E60" s="32">
        <v>2</v>
      </c>
    </row>
    <row r="61" spans="1:5" s="13" customFormat="1" ht="11.25" x14ac:dyDescent="0.2">
      <c r="A61" s="183">
        <f>A60+1</f>
        <v>5</v>
      </c>
      <c r="B61" s="27" t="s">
        <v>80</v>
      </c>
      <c r="C61" s="478" t="s">
        <v>118</v>
      </c>
      <c r="D61" s="479"/>
      <c r="E61" s="32">
        <v>4</v>
      </c>
    </row>
    <row r="62" spans="1:5" s="13" customFormat="1" ht="11.25" x14ac:dyDescent="0.2">
      <c r="A62" s="183">
        <f>A61+1</f>
        <v>6</v>
      </c>
      <c r="B62" s="27" t="s">
        <v>81</v>
      </c>
      <c r="C62" s="478" t="s">
        <v>118</v>
      </c>
      <c r="D62" s="479"/>
      <c r="E62" s="32">
        <v>200</v>
      </c>
    </row>
    <row r="63" spans="1:5" s="7" customFormat="1" ht="12.75" customHeight="1" x14ac:dyDescent="0.2">
      <c r="A63" s="182"/>
      <c r="B63" s="186" t="s">
        <v>56</v>
      </c>
      <c r="C63" s="187"/>
      <c r="D63" s="188"/>
      <c r="E63" s="23"/>
    </row>
    <row r="64" spans="1:5" s="13" customFormat="1" ht="11.25" x14ac:dyDescent="0.2">
      <c r="A64" s="183">
        <v>1</v>
      </c>
      <c r="B64" s="27" t="s">
        <v>410</v>
      </c>
      <c r="C64" s="30" t="s">
        <v>183</v>
      </c>
      <c r="D64" s="31" t="s">
        <v>113</v>
      </c>
      <c r="E64" s="165">
        <f>8*1.26</f>
        <v>10.08</v>
      </c>
    </row>
    <row r="65" spans="1:5" s="13" customFormat="1" ht="11.25" x14ac:dyDescent="0.2">
      <c r="A65" s="183">
        <f>A64+1</f>
        <v>2</v>
      </c>
      <c r="B65" s="27" t="s">
        <v>418</v>
      </c>
      <c r="C65" s="30" t="s">
        <v>183</v>
      </c>
      <c r="D65" s="31" t="s">
        <v>422</v>
      </c>
      <c r="E65" s="165">
        <f>8*3.6</f>
        <v>28.8</v>
      </c>
    </row>
    <row r="66" spans="1:5" s="13" customFormat="1" ht="11.25" x14ac:dyDescent="0.2">
      <c r="A66" s="183">
        <f>A65+1</f>
        <v>3</v>
      </c>
      <c r="B66" s="27" t="s">
        <v>419</v>
      </c>
      <c r="C66" s="30" t="s">
        <v>183</v>
      </c>
      <c r="D66" s="31" t="s">
        <v>415</v>
      </c>
      <c r="E66" s="165">
        <f>8*4</f>
        <v>32</v>
      </c>
    </row>
    <row r="67" spans="1:5" s="13" customFormat="1" ht="11.25" x14ac:dyDescent="0.2">
      <c r="A67" s="183">
        <f t="shared" ref="A67:A74" si="3">A66+1</f>
        <v>4</v>
      </c>
      <c r="B67" s="27" t="s">
        <v>420</v>
      </c>
      <c r="C67" s="30" t="s">
        <v>105</v>
      </c>
      <c r="D67" s="174" t="s">
        <v>482</v>
      </c>
      <c r="E67" s="165">
        <f>8*4.2</f>
        <v>33.6</v>
      </c>
    </row>
    <row r="68" spans="1:5" s="13" customFormat="1" ht="11.25" x14ac:dyDescent="0.2">
      <c r="A68" s="183">
        <f t="shared" si="3"/>
        <v>5</v>
      </c>
      <c r="B68" s="27" t="s">
        <v>22</v>
      </c>
      <c r="C68" s="478" t="s">
        <v>118</v>
      </c>
      <c r="D68" s="479"/>
      <c r="E68" s="165" t="e">
        <f>#REF!/6</f>
        <v>#REF!</v>
      </c>
    </row>
    <row r="69" spans="1:5" s="13" customFormat="1" ht="11.25" x14ac:dyDescent="0.2">
      <c r="A69" s="183">
        <f t="shared" si="3"/>
        <v>6</v>
      </c>
      <c r="B69" s="27" t="s">
        <v>23</v>
      </c>
      <c r="C69" s="30" t="s">
        <v>105</v>
      </c>
      <c r="D69" s="31" t="s">
        <v>115</v>
      </c>
      <c r="E69" s="165" t="e">
        <f>#REF!/6</f>
        <v>#REF!</v>
      </c>
    </row>
    <row r="70" spans="1:5" s="13" customFormat="1" ht="11.25" x14ac:dyDescent="0.2">
      <c r="A70" s="183">
        <f t="shared" si="3"/>
        <v>7</v>
      </c>
      <c r="B70" s="27" t="s">
        <v>24</v>
      </c>
      <c r="C70" s="478" t="s">
        <v>118</v>
      </c>
      <c r="D70" s="479"/>
      <c r="E70" s="165" t="e">
        <f>#REF!/6</f>
        <v>#REF!</v>
      </c>
    </row>
    <row r="71" spans="1:5" s="13" customFormat="1" ht="11.25" x14ac:dyDescent="0.2">
      <c r="A71" s="183">
        <f t="shared" si="3"/>
        <v>8</v>
      </c>
      <c r="B71" s="27" t="s">
        <v>25</v>
      </c>
      <c r="C71" s="478" t="s">
        <v>118</v>
      </c>
      <c r="D71" s="479"/>
      <c r="E71" s="165">
        <f>50/6</f>
        <v>8.3333333333333339</v>
      </c>
    </row>
    <row r="72" spans="1:5" s="13" customFormat="1" ht="22.5" x14ac:dyDescent="0.2">
      <c r="A72" s="183">
        <f t="shared" si="3"/>
        <v>9</v>
      </c>
      <c r="B72" s="27" t="s">
        <v>75</v>
      </c>
      <c r="C72" s="30" t="s">
        <v>105</v>
      </c>
      <c r="D72" s="31" t="s">
        <v>115</v>
      </c>
      <c r="E72" s="165">
        <f>50/6</f>
        <v>8.3333333333333339</v>
      </c>
    </row>
    <row r="73" spans="1:5" s="13" customFormat="1" ht="11.25" x14ac:dyDescent="0.2">
      <c r="A73" s="183">
        <f t="shared" si="3"/>
        <v>10</v>
      </c>
      <c r="B73" s="27" t="s">
        <v>26</v>
      </c>
      <c r="C73" s="478" t="s">
        <v>118</v>
      </c>
      <c r="D73" s="479"/>
      <c r="E73" s="165">
        <f>50/6</f>
        <v>8.3333333333333339</v>
      </c>
    </row>
    <row r="74" spans="1:5" s="13" customFormat="1" ht="33.75" x14ac:dyDescent="0.2">
      <c r="A74" s="183">
        <f t="shared" si="3"/>
        <v>11</v>
      </c>
      <c r="B74" s="27" t="s">
        <v>492</v>
      </c>
      <c r="C74" s="30" t="s">
        <v>183</v>
      </c>
      <c r="D74" s="174" t="s">
        <v>483</v>
      </c>
      <c r="E74" s="165">
        <f>8*2.2</f>
        <v>17.600000000000001</v>
      </c>
    </row>
    <row r="75" spans="1:5" s="7" customFormat="1" ht="11.25" x14ac:dyDescent="0.2">
      <c r="A75" s="182"/>
      <c r="B75" s="477" t="s">
        <v>72</v>
      </c>
      <c r="C75" s="477"/>
      <c r="D75" s="477"/>
      <c r="E75" s="23"/>
    </row>
    <row r="76" spans="1:5" s="7" customFormat="1" ht="11.25" x14ac:dyDescent="0.2">
      <c r="A76" s="19">
        <v>1</v>
      </c>
      <c r="B76" s="27" t="s">
        <v>73</v>
      </c>
      <c r="C76" s="480" t="s">
        <v>131</v>
      </c>
      <c r="D76" s="481"/>
      <c r="E76" s="164" t="e">
        <f>#REF!/#REF!</f>
        <v>#REF!</v>
      </c>
    </row>
    <row r="77" spans="1:5" s="7" customFormat="1" ht="11.25" x14ac:dyDescent="0.2">
      <c r="A77" s="183">
        <f>A76+1</f>
        <v>2</v>
      </c>
      <c r="B77" s="27" t="s">
        <v>74</v>
      </c>
      <c r="C77" s="30" t="s">
        <v>103</v>
      </c>
      <c r="D77" s="31" t="s">
        <v>132</v>
      </c>
      <c r="E77" s="164" t="e">
        <f>#REF!/#REF!</f>
        <v>#REF!</v>
      </c>
    </row>
    <row r="78" spans="1:5" s="7" customFormat="1" ht="11.25" x14ac:dyDescent="0.2">
      <c r="A78" s="19">
        <v>3</v>
      </c>
      <c r="B78" s="27" t="s">
        <v>73</v>
      </c>
      <c r="C78" s="485" t="s">
        <v>131</v>
      </c>
      <c r="D78" s="486"/>
      <c r="E78" s="164" t="e">
        <f>#REF!/#REF!</f>
        <v>#REF!</v>
      </c>
    </row>
    <row r="79" spans="1:5" s="7" customFormat="1" ht="11.25" x14ac:dyDescent="0.2">
      <c r="A79" s="183">
        <v>4</v>
      </c>
      <c r="B79" s="27" t="s">
        <v>74</v>
      </c>
      <c r="C79" s="30" t="s">
        <v>103</v>
      </c>
      <c r="D79" s="174" t="s">
        <v>132</v>
      </c>
      <c r="E79" s="164" t="e">
        <f>#REF!/#REF!</f>
        <v>#REF!</v>
      </c>
    </row>
    <row r="80" spans="1:5" s="7" customFormat="1" ht="11.25" x14ac:dyDescent="0.2">
      <c r="A80" s="19">
        <v>5</v>
      </c>
      <c r="B80" s="27" t="s">
        <v>73</v>
      </c>
      <c r="C80" s="485" t="s">
        <v>131</v>
      </c>
      <c r="D80" s="486"/>
      <c r="E80" s="164" t="e">
        <f>#REF!/#REF!</f>
        <v>#REF!</v>
      </c>
    </row>
    <row r="81" spans="1:5" s="7" customFormat="1" ht="11.25" x14ac:dyDescent="0.2">
      <c r="A81" s="183">
        <f>A80+1</f>
        <v>6</v>
      </c>
      <c r="B81" s="27" t="s">
        <v>74</v>
      </c>
      <c r="C81" s="30" t="s">
        <v>103</v>
      </c>
      <c r="D81" s="174" t="s">
        <v>132</v>
      </c>
      <c r="E81" s="164" t="e">
        <f>#REF!/#REF!</f>
        <v>#REF!</v>
      </c>
    </row>
    <row r="82" spans="1:5" s="7" customFormat="1" ht="12.75" customHeight="1" x14ac:dyDescent="0.2">
      <c r="A82" s="182"/>
      <c r="B82" s="477" t="s">
        <v>82</v>
      </c>
      <c r="C82" s="477"/>
      <c r="D82" s="477"/>
      <c r="E82" s="23"/>
    </row>
    <row r="83" spans="1:5" s="13" customFormat="1" ht="15.75" customHeight="1" x14ac:dyDescent="0.2">
      <c r="A83" s="19">
        <v>1</v>
      </c>
      <c r="B83" s="27" t="s">
        <v>423</v>
      </c>
      <c r="C83" s="28" t="s">
        <v>105</v>
      </c>
      <c r="D83" s="180" t="s">
        <v>484</v>
      </c>
      <c r="E83" s="164">
        <f>1.2*8</f>
        <v>9.6</v>
      </c>
    </row>
    <row r="84" spans="1:5" s="13" customFormat="1" ht="16.5" customHeight="1" x14ac:dyDescent="0.2">
      <c r="A84" s="19">
        <v>2</v>
      </c>
      <c r="B84" s="27" t="s">
        <v>77</v>
      </c>
      <c r="C84" s="19" t="s">
        <v>485</v>
      </c>
      <c r="D84" s="174" t="s">
        <v>115</v>
      </c>
      <c r="E84" s="164">
        <f>4*4</f>
        <v>16</v>
      </c>
    </row>
    <row r="85" spans="1:5" s="13" customFormat="1" ht="11.25" x14ac:dyDescent="0.2">
      <c r="A85" s="183">
        <f>A84+1</f>
        <v>3</v>
      </c>
      <c r="B85" s="27" t="s">
        <v>78</v>
      </c>
      <c r="C85" s="478" t="s">
        <v>486</v>
      </c>
      <c r="D85" s="479"/>
      <c r="E85" s="164" t="e">
        <f>#REF!/#REF!</f>
        <v>#REF!</v>
      </c>
    </row>
    <row r="86" spans="1:5" s="13" customFormat="1" ht="11.25" x14ac:dyDescent="0.2">
      <c r="A86" s="183">
        <f>A85+1</f>
        <v>4</v>
      </c>
      <c r="B86" s="27" t="s">
        <v>79</v>
      </c>
      <c r="C86" s="478" t="s">
        <v>118</v>
      </c>
      <c r="D86" s="479"/>
      <c r="E86" s="164">
        <v>2</v>
      </c>
    </row>
    <row r="87" spans="1:5" s="13" customFormat="1" ht="11.25" x14ac:dyDescent="0.2">
      <c r="A87" s="183">
        <v>5</v>
      </c>
      <c r="B87" s="27" t="s">
        <v>80</v>
      </c>
      <c r="C87" s="478" t="s">
        <v>118</v>
      </c>
      <c r="D87" s="479"/>
      <c r="E87" s="164" t="e">
        <f>#REF!/#REF!</f>
        <v>#REF!</v>
      </c>
    </row>
    <row r="88" spans="1:5" s="13" customFormat="1" ht="11.25" x14ac:dyDescent="0.2">
      <c r="A88" s="183">
        <v>6</v>
      </c>
      <c r="B88" s="27" t="s">
        <v>81</v>
      </c>
      <c r="C88" s="478" t="s">
        <v>118</v>
      </c>
      <c r="D88" s="479"/>
      <c r="E88" s="164" t="e">
        <f>#REF!/#REF!</f>
        <v>#REF!</v>
      </c>
    </row>
    <row r="89" spans="1:5" s="13" customFormat="1" ht="11.25" x14ac:dyDescent="0.2">
      <c r="A89" s="19">
        <v>1</v>
      </c>
      <c r="B89" s="27" t="s">
        <v>76</v>
      </c>
      <c r="C89" s="30" t="s">
        <v>105</v>
      </c>
      <c r="D89" s="31" t="s">
        <v>198</v>
      </c>
      <c r="E89" s="32">
        <v>6</v>
      </c>
    </row>
    <row r="90" spans="1:5" s="13" customFormat="1" ht="11.25" x14ac:dyDescent="0.2">
      <c r="A90" s="183">
        <f>A89+1</f>
        <v>2</v>
      </c>
      <c r="B90" s="27" t="s">
        <v>84</v>
      </c>
      <c r="C90" s="30" t="s">
        <v>105</v>
      </c>
      <c r="D90" s="31" t="s">
        <v>199</v>
      </c>
      <c r="E90" s="32">
        <v>16</v>
      </c>
    </row>
    <row r="91" spans="1:5" s="13" customFormat="1" ht="11.25" x14ac:dyDescent="0.2">
      <c r="A91" s="183">
        <f>A90+1</f>
        <v>3</v>
      </c>
      <c r="B91" s="27" t="s">
        <v>85</v>
      </c>
      <c r="C91" s="30" t="s">
        <v>105</v>
      </c>
      <c r="D91" s="31" t="s">
        <v>199</v>
      </c>
      <c r="E91" s="32">
        <v>14</v>
      </c>
    </row>
    <row r="92" spans="1:5" s="13" customFormat="1" ht="11.25" x14ac:dyDescent="0.2">
      <c r="A92" s="183">
        <f>A91+1</f>
        <v>4</v>
      </c>
      <c r="B92" s="27" t="s">
        <v>200</v>
      </c>
      <c r="C92" s="30" t="s">
        <v>105</v>
      </c>
      <c r="D92" s="31" t="s">
        <v>201</v>
      </c>
      <c r="E92" s="32">
        <v>7.2</v>
      </c>
    </row>
    <row r="93" spans="1:5" s="13" customFormat="1" ht="11.25" x14ac:dyDescent="0.2">
      <c r="A93" s="183">
        <f>A92+1</f>
        <v>5</v>
      </c>
      <c r="B93" s="27" t="s">
        <v>86</v>
      </c>
      <c r="C93" s="127" t="s">
        <v>118</v>
      </c>
      <c r="D93" s="31" t="s">
        <v>202</v>
      </c>
      <c r="E93" s="32">
        <v>13</v>
      </c>
    </row>
    <row r="94" spans="1:5" s="13" customFormat="1" ht="11.25" x14ac:dyDescent="0.2">
      <c r="A94" s="183">
        <f>A93+1</f>
        <v>6</v>
      </c>
      <c r="B94" s="27" t="s">
        <v>87</v>
      </c>
      <c r="C94" s="30" t="s">
        <v>105</v>
      </c>
      <c r="D94" s="31" t="s">
        <v>203</v>
      </c>
      <c r="E94" s="32">
        <v>142.30000000000001</v>
      </c>
    </row>
    <row r="95" spans="1:5" s="13" customFormat="1" ht="11.25" x14ac:dyDescent="0.2">
      <c r="A95" s="183" t="e">
        <f>#REF!+1</f>
        <v>#REF!</v>
      </c>
      <c r="B95" s="27" t="s">
        <v>76</v>
      </c>
      <c r="C95" s="30" t="s">
        <v>105</v>
      </c>
      <c r="D95" s="31" t="s">
        <v>198</v>
      </c>
      <c r="E95" s="32">
        <v>6</v>
      </c>
    </row>
    <row r="96" spans="1:5" s="13" customFormat="1" ht="11.25" x14ac:dyDescent="0.2">
      <c r="A96" s="183" t="e">
        <f>A95+1</f>
        <v>#REF!</v>
      </c>
      <c r="B96" s="27" t="s">
        <v>84</v>
      </c>
      <c r="C96" s="30" t="s">
        <v>105</v>
      </c>
      <c r="D96" s="31" t="s">
        <v>199</v>
      </c>
      <c r="E96" s="32">
        <v>16</v>
      </c>
    </row>
    <row r="97" spans="1:5" s="13" customFormat="1" ht="11.25" x14ac:dyDescent="0.2">
      <c r="A97" s="183" t="e">
        <f>A96+1</f>
        <v>#REF!</v>
      </c>
      <c r="B97" s="27" t="s">
        <v>85</v>
      </c>
      <c r="C97" s="30" t="s">
        <v>105</v>
      </c>
      <c r="D97" s="31" t="s">
        <v>199</v>
      </c>
      <c r="E97" s="32">
        <v>14</v>
      </c>
    </row>
    <row r="98" spans="1:5" s="13" customFormat="1" ht="11.25" x14ac:dyDescent="0.2">
      <c r="A98" s="183" t="e">
        <f>A97+1</f>
        <v>#REF!</v>
      </c>
      <c r="B98" s="27" t="s">
        <v>88</v>
      </c>
      <c r="C98" s="30" t="s">
        <v>105</v>
      </c>
      <c r="D98" s="31" t="s">
        <v>204</v>
      </c>
      <c r="E98" s="32">
        <v>16</v>
      </c>
    </row>
    <row r="99" spans="1:5" s="13" customFormat="1" ht="11.25" x14ac:dyDescent="0.2">
      <c r="A99" s="183" t="e">
        <f>A98+1</f>
        <v>#REF!</v>
      </c>
      <c r="B99" s="27" t="s">
        <v>89</v>
      </c>
      <c r="C99" s="30" t="s">
        <v>105</v>
      </c>
      <c r="D99" s="31" t="s">
        <v>203</v>
      </c>
      <c r="E99" s="32">
        <v>142.30000000000001</v>
      </c>
    </row>
    <row r="100" spans="1:5" s="13" customFormat="1" ht="11.25" x14ac:dyDescent="0.2">
      <c r="A100" s="183">
        <v>6</v>
      </c>
      <c r="B100" s="27" t="s">
        <v>90</v>
      </c>
      <c r="C100" s="30" t="s">
        <v>105</v>
      </c>
      <c r="D100" s="31" t="s">
        <v>205</v>
      </c>
      <c r="E100" s="32">
        <v>23.47</v>
      </c>
    </row>
    <row r="101" spans="1:5" s="13" customFormat="1" ht="11.25" x14ac:dyDescent="0.2">
      <c r="A101" s="183">
        <v>7</v>
      </c>
      <c r="B101" s="27" t="s">
        <v>91</v>
      </c>
      <c r="C101" s="30" t="s">
        <v>105</v>
      </c>
      <c r="D101" s="31" t="s">
        <v>115</v>
      </c>
      <c r="E101" s="32">
        <v>20</v>
      </c>
    </row>
    <row r="102" spans="1:5" s="13" customFormat="1" ht="11.25" x14ac:dyDescent="0.2">
      <c r="A102" s="183">
        <v>8</v>
      </c>
      <c r="B102" s="27" t="s">
        <v>92</v>
      </c>
      <c r="C102" s="30" t="s">
        <v>105</v>
      </c>
      <c r="D102" s="31" t="s">
        <v>206</v>
      </c>
      <c r="E102" s="32">
        <v>19.600000000000001</v>
      </c>
    </row>
    <row r="103" spans="1:5" s="13" customFormat="1" ht="11.25" x14ac:dyDescent="0.2">
      <c r="A103" s="19">
        <v>1</v>
      </c>
      <c r="B103" s="27" t="s">
        <v>76</v>
      </c>
      <c r="C103" s="30" t="s">
        <v>105</v>
      </c>
      <c r="D103" s="31" t="s">
        <v>198</v>
      </c>
      <c r="E103" s="32">
        <v>6</v>
      </c>
    </row>
    <row r="104" spans="1:5" s="13" customFormat="1" ht="11.25" x14ac:dyDescent="0.2">
      <c r="A104" s="19">
        <v>2</v>
      </c>
      <c r="B104" s="27" t="s">
        <v>84</v>
      </c>
      <c r="C104" s="30" t="s">
        <v>105</v>
      </c>
      <c r="D104" s="31" t="s">
        <v>199</v>
      </c>
      <c r="E104" s="32">
        <v>16</v>
      </c>
    </row>
    <row r="105" spans="1:5" s="13" customFormat="1" ht="11.25" x14ac:dyDescent="0.2">
      <c r="A105" s="19">
        <v>3</v>
      </c>
      <c r="B105" s="27" t="s">
        <v>85</v>
      </c>
      <c r="C105" s="30" t="s">
        <v>105</v>
      </c>
      <c r="D105" s="31" t="s">
        <v>199</v>
      </c>
      <c r="E105" s="32">
        <v>14</v>
      </c>
    </row>
    <row r="106" spans="1:5" s="13" customFormat="1" ht="11.25" x14ac:dyDescent="0.2">
      <c r="A106" s="19">
        <v>4</v>
      </c>
      <c r="B106" s="27" t="s">
        <v>93</v>
      </c>
      <c r="C106" s="30" t="s">
        <v>118</v>
      </c>
      <c r="D106" s="31" t="s">
        <v>202</v>
      </c>
      <c r="E106" s="32">
        <v>1.2</v>
      </c>
    </row>
    <row r="107" spans="1:5" s="13" customFormat="1" ht="11.25" x14ac:dyDescent="0.2">
      <c r="A107" s="19">
        <v>5</v>
      </c>
      <c r="B107" s="27" t="s">
        <v>94</v>
      </c>
      <c r="C107" s="30" t="s">
        <v>118</v>
      </c>
      <c r="D107" s="31" t="s">
        <v>207</v>
      </c>
      <c r="E107" s="32">
        <v>2.5</v>
      </c>
    </row>
    <row r="108" spans="1:5" s="13" customFormat="1" ht="11.25" x14ac:dyDescent="0.2">
      <c r="A108" s="19">
        <v>6</v>
      </c>
      <c r="B108" s="27" t="s">
        <v>95</v>
      </c>
      <c r="C108" s="30" t="s">
        <v>118</v>
      </c>
      <c r="D108" s="31" t="s">
        <v>202</v>
      </c>
      <c r="E108" s="32">
        <v>3</v>
      </c>
    </row>
    <row r="109" spans="1:5" s="13" customFormat="1" ht="11.25" x14ac:dyDescent="0.2">
      <c r="A109" s="19">
        <v>7</v>
      </c>
      <c r="B109" s="27" t="s">
        <v>94</v>
      </c>
      <c r="C109" s="30" t="s">
        <v>118</v>
      </c>
      <c r="D109" s="31" t="s">
        <v>207</v>
      </c>
      <c r="E109" s="32">
        <v>2.5</v>
      </c>
    </row>
    <row r="110" spans="1:5" s="13" customFormat="1" ht="11.25" x14ac:dyDescent="0.2">
      <c r="A110" s="19">
        <v>8</v>
      </c>
      <c r="B110" s="27" t="s">
        <v>96</v>
      </c>
      <c r="C110" s="30" t="s">
        <v>118</v>
      </c>
      <c r="D110" s="31" t="s">
        <v>202</v>
      </c>
      <c r="E110" s="32">
        <v>6</v>
      </c>
    </row>
    <row r="111" spans="1:5" s="13" customFormat="1" ht="11.25" x14ac:dyDescent="0.2">
      <c r="A111" s="19">
        <v>1</v>
      </c>
      <c r="B111" s="27" t="s">
        <v>76</v>
      </c>
      <c r="C111" s="30" t="s">
        <v>184</v>
      </c>
      <c r="D111" s="31" t="s">
        <v>478</v>
      </c>
      <c r="E111" s="32">
        <v>3.24</v>
      </c>
    </row>
    <row r="112" spans="1:5" s="13" customFormat="1" ht="11.25" x14ac:dyDescent="0.2">
      <c r="A112" s="183">
        <f>A111+1</f>
        <v>2</v>
      </c>
      <c r="B112" s="27" t="s">
        <v>84</v>
      </c>
      <c r="C112" s="30" t="s">
        <v>184</v>
      </c>
      <c r="D112" s="31" t="s">
        <v>479</v>
      </c>
      <c r="E112" s="32">
        <v>3.7800000000000002</v>
      </c>
    </row>
    <row r="113" spans="1:5" s="13" customFormat="1" ht="11.25" x14ac:dyDescent="0.2">
      <c r="A113" s="183">
        <f>A112+1</f>
        <v>3</v>
      </c>
      <c r="B113" s="27" t="s">
        <v>100</v>
      </c>
      <c r="C113" s="30" t="s">
        <v>184</v>
      </c>
      <c r="D113" s="31" t="s">
        <v>480</v>
      </c>
      <c r="E113" s="32">
        <v>3.7800000000000002</v>
      </c>
    </row>
    <row r="114" spans="1:5" s="13" customFormat="1" ht="11.25" x14ac:dyDescent="0.2">
      <c r="A114" s="183">
        <f>A113+1</f>
        <v>4</v>
      </c>
      <c r="B114" s="27" t="s">
        <v>93</v>
      </c>
      <c r="C114" s="30" t="s">
        <v>118</v>
      </c>
      <c r="D114" s="31" t="s">
        <v>202</v>
      </c>
      <c r="E114" s="32">
        <v>1.2</v>
      </c>
    </row>
    <row r="115" spans="1:5" s="13" customFormat="1" ht="11.25" x14ac:dyDescent="0.2">
      <c r="A115" s="183">
        <f>A114+1</f>
        <v>5</v>
      </c>
      <c r="B115" s="27" t="s">
        <v>94</v>
      </c>
      <c r="C115" s="30" t="s">
        <v>118</v>
      </c>
      <c r="D115" s="31" t="s">
        <v>207</v>
      </c>
      <c r="E115" s="32">
        <v>2.5</v>
      </c>
    </row>
    <row r="116" spans="1:5" s="13" customFormat="1" ht="11.25" x14ac:dyDescent="0.2">
      <c r="A116" s="183">
        <v>6</v>
      </c>
      <c r="B116" s="27" t="s">
        <v>101</v>
      </c>
      <c r="C116" s="30" t="s">
        <v>118</v>
      </c>
      <c r="D116" s="31" t="s">
        <v>211</v>
      </c>
      <c r="E116" s="32">
        <v>3</v>
      </c>
    </row>
    <row r="117" spans="1:5" s="13" customFormat="1" ht="11.25" x14ac:dyDescent="0.2">
      <c r="A117" s="183">
        <v>7</v>
      </c>
      <c r="B117" s="27" t="s">
        <v>95</v>
      </c>
      <c r="C117" s="30" t="s">
        <v>118</v>
      </c>
      <c r="D117" s="31" t="s">
        <v>202</v>
      </c>
      <c r="E117" s="32">
        <v>3</v>
      </c>
    </row>
    <row r="118" spans="1:5" s="13" customFormat="1" ht="11.25" x14ac:dyDescent="0.2">
      <c r="A118" s="183">
        <v>8</v>
      </c>
      <c r="B118" s="27" t="s">
        <v>96</v>
      </c>
      <c r="C118" s="30" t="s">
        <v>118</v>
      </c>
      <c r="D118" s="31" t="s">
        <v>202</v>
      </c>
      <c r="E118" s="32">
        <v>6</v>
      </c>
    </row>
    <row r="119" spans="1:5" s="13" customFormat="1" ht="11.25" x14ac:dyDescent="0.2">
      <c r="A119" s="183">
        <v>1</v>
      </c>
      <c r="B119" s="27" t="s">
        <v>76</v>
      </c>
      <c r="C119" s="30" t="s">
        <v>118</v>
      </c>
      <c r="D119" s="31" t="s">
        <v>212</v>
      </c>
      <c r="E119" s="32">
        <v>0.6</v>
      </c>
    </row>
    <row r="120" spans="1:5" s="13" customFormat="1" ht="11.25" x14ac:dyDescent="0.2">
      <c r="A120" s="183">
        <v>2</v>
      </c>
      <c r="B120" s="27" t="s">
        <v>84</v>
      </c>
      <c r="C120" s="30" t="s">
        <v>118</v>
      </c>
      <c r="D120" s="31" t="s">
        <v>207</v>
      </c>
      <c r="E120" s="32">
        <v>1.6</v>
      </c>
    </row>
    <row r="121" spans="1:5" s="13" customFormat="1" ht="11.25" x14ac:dyDescent="0.2">
      <c r="A121" s="183">
        <v>3</v>
      </c>
      <c r="B121" s="27" t="s">
        <v>100</v>
      </c>
      <c r="C121" s="30" t="s">
        <v>118</v>
      </c>
      <c r="D121" s="31" t="s">
        <v>207</v>
      </c>
      <c r="E121" s="32">
        <v>0.8</v>
      </c>
    </row>
    <row r="122" spans="1:5" s="13" customFormat="1" ht="11.25" x14ac:dyDescent="0.2">
      <c r="A122" s="183">
        <v>4</v>
      </c>
      <c r="B122" s="27" t="s">
        <v>93</v>
      </c>
      <c r="C122" s="30" t="s">
        <v>118</v>
      </c>
      <c r="D122" s="31" t="s">
        <v>202</v>
      </c>
      <c r="E122" s="32">
        <v>3.5</v>
      </c>
    </row>
    <row r="123" spans="1:5" s="13" customFormat="1" ht="11.25" x14ac:dyDescent="0.2">
      <c r="A123" s="183">
        <v>5</v>
      </c>
      <c r="B123" s="27" t="s">
        <v>101</v>
      </c>
      <c r="C123" s="30" t="s">
        <v>118</v>
      </c>
      <c r="D123" s="31" t="s">
        <v>211</v>
      </c>
      <c r="E123" s="32">
        <v>3.5</v>
      </c>
    </row>
    <row r="124" spans="1:5" s="13" customFormat="1" ht="11.25" x14ac:dyDescent="0.2">
      <c r="A124" s="183">
        <v>6</v>
      </c>
      <c r="B124" s="27" t="s">
        <v>95</v>
      </c>
      <c r="C124" s="30" t="s">
        <v>118</v>
      </c>
      <c r="D124" s="31" t="s">
        <v>202</v>
      </c>
      <c r="E124" s="32">
        <v>7</v>
      </c>
    </row>
    <row r="125" spans="1:5" s="13" customFormat="1" ht="11.25" x14ac:dyDescent="0.2">
      <c r="A125" s="183">
        <v>7</v>
      </c>
      <c r="B125" s="27" t="s">
        <v>96</v>
      </c>
      <c r="C125" s="30" t="s">
        <v>118</v>
      </c>
      <c r="D125" s="31" t="s">
        <v>202</v>
      </c>
      <c r="E125" s="32">
        <v>11</v>
      </c>
    </row>
  </sheetData>
  <mergeCells count="35">
    <mergeCell ref="C88:D88"/>
    <mergeCell ref="C78:D78"/>
    <mergeCell ref="C80:D80"/>
    <mergeCell ref="B82:D82"/>
    <mergeCell ref="C85:D85"/>
    <mergeCell ref="C86:D86"/>
    <mergeCell ref="C87:D87"/>
    <mergeCell ref="C76:D76"/>
    <mergeCell ref="C53:D53"/>
    <mergeCell ref="B56:D56"/>
    <mergeCell ref="C60:D60"/>
    <mergeCell ref="C61:D61"/>
    <mergeCell ref="C62:D62"/>
    <mergeCell ref="C68:D68"/>
    <mergeCell ref="C70:D70"/>
    <mergeCell ref="C71:D71"/>
    <mergeCell ref="C73:D73"/>
    <mergeCell ref="B75:D75"/>
    <mergeCell ref="C34:D34"/>
    <mergeCell ref="B36:D36"/>
    <mergeCell ref="C48:D48"/>
    <mergeCell ref="C50:D50"/>
    <mergeCell ref="C51:D51"/>
    <mergeCell ref="B43:D43"/>
    <mergeCell ref="B33:D33"/>
    <mergeCell ref="C7:D7"/>
    <mergeCell ref="C9:D9"/>
    <mergeCell ref="C10:D10"/>
    <mergeCell ref="C12:D12"/>
    <mergeCell ref="B14:D14"/>
    <mergeCell ref="B21:D21"/>
    <mergeCell ref="C26:D26"/>
    <mergeCell ref="C28:D28"/>
    <mergeCell ref="C29:D29"/>
    <mergeCell ref="C31:D31"/>
  </mergeCells>
  <conditionalFormatting sqref="E14 E2 E21 E63 E75 E82">
    <cfRule type="cellIs" dxfId="168" priority="98" stopIfTrue="1" operator="greaterThan">
      <formula>0</formula>
    </cfRule>
  </conditionalFormatting>
  <conditionalFormatting sqref="E15:E20 E3:E13">
    <cfRule type="cellIs" dxfId="167" priority="99" stopIfTrue="1" operator="greaterThan">
      <formula>0</formula>
    </cfRule>
  </conditionalFormatting>
  <conditionalFormatting sqref="D15:D20 D8 D11 D13 D3:D6">
    <cfRule type="cellIs" dxfId="166" priority="100" stopIfTrue="1" operator="equal">
      <formula>0</formula>
    </cfRule>
  </conditionalFormatting>
  <conditionalFormatting sqref="E36 E33">
    <cfRule type="cellIs" dxfId="165" priority="88" stopIfTrue="1" operator="greaterThan">
      <formula>0</formula>
    </cfRule>
  </conditionalFormatting>
  <conditionalFormatting sqref="E34:E35 E22:E32 E37:E42">
    <cfRule type="cellIs" dxfId="164" priority="89" stopIfTrue="1" operator="greaterThan">
      <formula>0</formula>
    </cfRule>
  </conditionalFormatting>
  <conditionalFormatting sqref="D22:D25 D35 D32 D27 D30 D37:D42">
    <cfRule type="cellIs" dxfId="163" priority="90" stopIfTrue="1" operator="equal">
      <formula>0</formula>
    </cfRule>
  </conditionalFormatting>
  <conditionalFormatting sqref="E56 E43">
    <cfRule type="cellIs" dxfId="162" priority="84" stopIfTrue="1" operator="greaterThan">
      <formula>0</formula>
    </cfRule>
  </conditionalFormatting>
  <conditionalFormatting sqref="E44:E55 E57:E62">
    <cfRule type="cellIs" dxfId="161" priority="85" stopIfTrue="1" operator="greaterThan">
      <formula>0</formula>
    </cfRule>
  </conditionalFormatting>
  <conditionalFormatting sqref="D54:D55 D49 D52 D44:D47 D57:D59">
    <cfRule type="cellIs" dxfId="160" priority="86" stopIfTrue="1" operator="equal">
      <formula>0</formula>
    </cfRule>
  </conditionalFormatting>
  <conditionalFormatting sqref="E64:E74 E76:E81 E83:E88">
    <cfRule type="cellIs" dxfId="159" priority="82" stopIfTrue="1" operator="greaterThan">
      <formula>0</formula>
    </cfRule>
  </conditionalFormatting>
  <conditionalFormatting sqref="D64:D67 D74 D69 D72 D77:D81 D83:D84">
    <cfRule type="cellIs" dxfId="158" priority="81" stopIfTrue="1" operator="equal">
      <formula>0</formula>
    </cfRule>
  </conditionalFormatting>
  <conditionalFormatting sqref="D74">
    <cfRule type="cellIs" dxfId="157" priority="79" stopIfTrue="1" operator="equal">
      <formula>0</formula>
    </cfRule>
  </conditionalFormatting>
  <conditionalFormatting sqref="D83">
    <cfRule type="cellIs" dxfId="156" priority="78" stopIfTrue="1" operator="equal">
      <formula>0</formula>
    </cfRule>
  </conditionalFormatting>
  <conditionalFormatting sqref="D83">
    <cfRule type="cellIs" dxfId="155" priority="77" stopIfTrue="1" operator="equal">
      <formula>0</formula>
    </cfRule>
  </conditionalFormatting>
  <conditionalFormatting sqref="D74">
    <cfRule type="cellIs" dxfId="154" priority="76" stopIfTrue="1" operator="equal">
      <formula>0</formula>
    </cfRule>
  </conditionalFormatting>
  <conditionalFormatting sqref="D83">
    <cfRule type="cellIs" dxfId="153" priority="75" stopIfTrue="1" operator="equal">
      <formula>0</formula>
    </cfRule>
  </conditionalFormatting>
  <conditionalFormatting sqref="D83">
    <cfRule type="cellIs" dxfId="152" priority="74" stopIfTrue="1" operator="equal">
      <formula>0</formula>
    </cfRule>
  </conditionalFormatting>
  <conditionalFormatting sqref="D83">
    <cfRule type="cellIs" dxfId="151" priority="73" stopIfTrue="1" operator="equal">
      <formula>0</formula>
    </cfRule>
  </conditionalFormatting>
  <conditionalFormatting sqref="D79">
    <cfRule type="cellIs" dxfId="150" priority="72" stopIfTrue="1" operator="equal">
      <formula>0</formula>
    </cfRule>
  </conditionalFormatting>
  <conditionalFormatting sqref="D81">
    <cfRule type="cellIs" dxfId="149" priority="67" stopIfTrue="1" operator="equal">
      <formula>0</formula>
    </cfRule>
  </conditionalFormatting>
  <conditionalFormatting sqref="E76:E81">
    <cfRule type="cellIs" dxfId="148" priority="65" stopIfTrue="1" operator="greaterThan">
      <formula>0</formula>
    </cfRule>
  </conditionalFormatting>
  <conditionalFormatting sqref="D67">
    <cfRule type="cellIs" dxfId="147" priority="62" stopIfTrue="1" operator="equal">
      <formula>0</formula>
    </cfRule>
  </conditionalFormatting>
  <conditionalFormatting sqref="E74">
    <cfRule type="cellIs" dxfId="146" priority="61" stopIfTrue="1" operator="greaterThan">
      <formula>0</formula>
    </cfRule>
  </conditionalFormatting>
  <conditionalFormatting sqref="E64">
    <cfRule type="cellIs" dxfId="145" priority="59" stopIfTrue="1" operator="greaterThan">
      <formula>0</formula>
    </cfRule>
  </conditionalFormatting>
  <conditionalFormatting sqref="E65:E66">
    <cfRule type="cellIs" dxfId="144" priority="58" stopIfTrue="1" operator="greaterThan">
      <formula>0</formula>
    </cfRule>
  </conditionalFormatting>
  <conditionalFormatting sqref="E83">
    <cfRule type="cellIs" dxfId="143" priority="53" stopIfTrue="1" operator="greaterThan">
      <formula>0</formula>
    </cfRule>
  </conditionalFormatting>
  <conditionalFormatting sqref="E84">
    <cfRule type="cellIs" dxfId="142" priority="52" stopIfTrue="1" operator="greaterThan">
      <formula>0</formula>
    </cfRule>
  </conditionalFormatting>
  <conditionalFormatting sqref="E85">
    <cfRule type="cellIs" dxfId="141" priority="51" stopIfTrue="1" operator="greaterThan">
      <formula>0</formula>
    </cfRule>
  </conditionalFormatting>
  <conditionalFormatting sqref="E87:E88">
    <cfRule type="cellIs" dxfId="140" priority="49" stopIfTrue="1" operator="greaterThan">
      <formula>0</formula>
    </cfRule>
  </conditionalFormatting>
  <conditionalFormatting sqref="E65:E73">
    <cfRule type="cellIs" dxfId="139" priority="48" stopIfTrue="1" operator="greaterThan">
      <formula>0</formula>
    </cfRule>
  </conditionalFormatting>
  <conditionalFormatting sqref="E86">
    <cfRule type="cellIs" dxfId="138" priority="40" stopIfTrue="1" operator="greaterThan">
      <formula>0</formula>
    </cfRule>
  </conditionalFormatting>
  <conditionalFormatting sqref="D74">
    <cfRule type="cellIs" dxfId="137" priority="36" stopIfTrue="1" operator="equal">
      <formula>0</formula>
    </cfRule>
  </conditionalFormatting>
  <conditionalFormatting sqref="D83">
    <cfRule type="cellIs" dxfId="136" priority="35" stopIfTrue="1" operator="equal">
      <formula>0</formula>
    </cfRule>
  </conditionalFormatting>
  <conditionalFormatting sqref="D84">
    <cfRule type="cellIs" dxfId="135" priority="34" stopIfTrue="1" operator="equal">
      <formula>0</formula>
    </cfRule>
  </conditionalFormatting>
  <conditionalFormatting sqref="E64:E74">
    <cfRule type="cellIs" dxfId="134" priority="31" stopIfTrue="1" operator="greaterThan">
      <formula>0</formula>
    </cfRule>
  </conditionalFormatting>
  <conditionalFormatting sqref="E84">
    <cfRule type="cellIs" dxfId="133" priority="29" stopIfTrue="1" operator="greaterThan">
      <formula>0</formula>
    </cfRule>
  </conditionalFormatting>
  <conditionalFormatting sqref="E83">
    <cfRule type="cellIs" dxfId="132" priority="28" stopIfTrue="1" operator="greaterThan">
      <formula>0</formula>
    </cfRule>
  </conditionalFormatting>
  <conditionalFormatting sqref="E89:E94">
    <cfRule type="cellIs" dxfId="131" priority="25" stopIfTrue="1" operator="greaterThan">
      <formula>0</formula>
    </cfRule>
  </conditionalFormatting>
  <conditionalFormatting sqref="D89:D94">
    <cfRule type="cellIs" dxfId="130" priority="26" stopIfTrue="1" operator="equal">
      <formula>0</formula>
    </cfRule>
  </conditionalFormatting>
  <conditionalFormatting sqref="E95:E102">
    <cfRule type="cellIs" dxfId="129" priority="21" stopIfTrue="1" operator="greaterThan">
      <formula>0</formula>
    </cfRule>
  </conditionalFormatting>
  <conditionalFormatting sqref="D95:D102">
    <cfRule type="cellIs" dxfId="128" priority="22" stopIfTrue="1" operator="equal">
      <formula>0</formula>
    </cfRule>
  </conditionalFormatting>
  <conditionalFormatting sqref="E103:E110">
    <cfRule type="cellIs" dxfId="127" priority="15" stopIfTrue="1" operator="greaterThan">
      <formula>0</formula>
    </cfRule>
  </conditionalFormatting>
  <conditionalFormatting sqref="D103:D110">
    <cfRule type="cellIs" dxfId="126" priority="16" stopIfTrue="1" operator="equal">
      <formula>0</formula>
    </cfRule>
  </conditionalFormatting>
  <conditionalFormatting sqref="E111:E118">
    <cfRule type="cellIs" dxfId="125" priority="11" stopIfTrue="1" operator="greaterThan">
      <formula>0</formula>
    </cfRule>
  </conditionalFormatting>
  <conditionalFormatting sqref="D111:D118">
    <cfRule type="cellIs" dxfId="124" priority="12" stopIfTrue="1" operator="equal">
      <formula>0</formula>
    </cfRule>
  </conditionalFormatting>
  <conditionalFormatting sqref="E119:E125">
    <cfRule type="cellIs" dxfId="123" priority="4" stopIfTrue="1" operator="greaterThan">
      <formula>0</formula>
    </cfRule>
  </conditionalFormatting>
  <conditionalFormatting sqref="D119:D125">
    <cfRule type="cellIs" dxfId="122" priority="5" stopIfTrue="1" operator="equal">
      <formula>0</formula>
    </cfRule>
  </conditionalFormatting>
  <conditionalFormatting sqref="E119:E125">
    <cfRule type="cellIs" dxfId="121" priority="2" stopIfTrue="1"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BY49"/>
  <sheetViews>
    <sheetView view="pageBreakPreview" zoomScale="90" zoomScaleNormal="100" zoomScaleSheetLayoutView="90" workbookViewId="0">
      <pane xSplit="5" ySplit="20" topLeftCell="Z21" activePane="bottomRight" state="frozen"/>
      <selection pane="topRight" activeCell="F1" sqref="F1"/>
      <selection pane="bottomLeft" activeCell="A21" sqref="A21"/>
      <selection pane="bottomRight" activeCell="B2" sqref="B2"/>
    </sheetView>
  </sheetViews>
  <sheetFormatPr defaultRowHeight="11.25" x14ac:dyDescent="0.2"/>
  <cols>
    <col min="1" max="1" width="3.85546875" style="207" customWidth="1"/>
    <col min="2" max="2" width="35.5703125" style="223" customWidth="1"/>
    <col min="3" max="3" width="4" style="223" customWidth="1"/>
    <col min="4" max="4" width="11" style="223" customWidth="1"/>
    <col min="5" max="5" width="6.7109375" style="223" customWidth="1"/>
    <col min="6" max="6" width="5.28515625" style="207" customWidth="1"/>
    <col min="7" max="7" width="4.42578125" style="223" customWidth="1"/>
    <col min="8" max="8" width="6.5703125" style="223" customWidth="1"/>
    <col min="9" max="9" width="7.140625" style="223" customWidth="1"/>
    <col min="10" max="14" width="8.140625" style="223" customWidth="1"/>
    <col min="15" max="16" width="9.7109375" style="223" customWidth="1"/>
    <col min="17" max="17" width="6.140625" style="234" customWidth="1"/>
    <col min="18" max="18" width="7.85546875" style="223" customWidth="1"/>
    <col min="19" max="19" width="6.140625" style="223" customWidth="1"/>
    <col min="20" max="20" width="6" style="223" customWidth="1"/>
    <col min="21" max="21" width="7.28515625" style="223" hidden="1" customWidth="1"/>
    <col min="22" max="22" width="5.85546875" style="223" hidden="1" customWidth="1"/>
    <col min="23" max="24" width="6.42578125" style="223" hidden="1" customWidth="1"/>
    <col min="25" max="25" width="9" style="223" customWidth="1"/>
    <col min="26" max="26" width="12.42578125" style="223" customWidth="1"/>
    <col min="27" max="27" width="6.42578125" style="223" hidden="1" customWidth="1"/>
    <col min="28" max="28" width="8.140625" style="223" hidden="1" customWidth="1"/>
    <col min="29" max="29" width="5" style="223" customWidth="1"/>
    <col min="30" max="31" width="11.7109375" style="223" customWidth="1"/>
    <col min="32" max="32" width="9.140625" style="223" customWidth="1"/>
    <col min="33" max="33" width="10.42578125" style="223" customWidth="1"/>
    <col min="34" max="34" width="11.7109375" style="223" customWidth="1"/>
    <col min="35" max="35" width="10.28515625" style="223" customWidth="1"/>
    <col min="36" max="36" width="11.42578125" style="223" customWidth="1"/>
    <col min="37" max="37" width="11.7109375" style="223" customWidth="1"/>
    <col min="38" max="38" width="9.7109375" style="223" customWidth="1"/>
    <col min="39" max="39" width="10" style="223" customWidth="1"/>
    <col min="40" max="41" width="6.140625" style="223" customWidth="1"/>
    <col min="42" max="42" width="5.7109375" style="224" customWidth="1"/>
    <col min="43" max="43" width="5.7109375" style="235" customWidth="1"/>
    <col min="44" max="44" width="7.7109375" style="235" customWidth="1"/>
    <col min="45" max="45" width="9.7109375" style="224" customWidth="1"/>
    <col min="46" max="46" width="6.5703125" style="224" customWidth="1"/>
    <col min="47" max="47" width="6.7109375" style="224" customWidth="1"/>
    <col min="48" max="48" width="6.140625" style="224" customWidth="1"/>
    <col min="49" max="49" width="10.42578125" style="224" customWidth="1"/>
    <col min="50" max="50" width="6.140625" style="224" customWidth="1"/>
    <col min="51" max="51" width="5.85546875" style="224" customWidth="1"/>
    <col min="52" max="52" width="6.140625" style="224" customWidth="1"/>
    <col min="53" max="53" width="11.85546875" style="224" customWidth="1"/>
    <col min="54" max="54" width="6.28515625" style="224" customWidth="1"/>
    <col min="55" max="55" width="5.5703125" style="224" customWidth="1"/>
    <col min="56" max="56" width="8.42578125" style="224" customWidth="1"/>
    <col min="57" max="57" width="9.7109375" style="224" customWidth="1"/>
    <col min="58" max="58" width="6.42578125" style="223" customWidth="1"/>
    <col min="59" max="59" width="7.7109375" style="224" customWidth="1"/>
    <col min="60" max="60" width="6.28515625" style="224" customWidth="1"/>
    <col min="61" max="61" width="8.7109375" style="224" customWidth="1"/>
    <col min="62" max="62" width="8.5703125" style="224" customWidth="1"/>
    <col min="63" max="63" width="10" style="224" customWidth="1"/>
    <col min="64" max="64" width="7.42578125" style="16" customWidth="1"/>
    <col min="65" max="65" width="6.85546875" style="224" customWidth="1"/>
    <col min="66" max="66" width="6.42578125" style="224" customWidth="1"/>
    <col min="67" max="67" width="8.7109375" style="224" customWidth="1"/>
    <col min="68" max="68" width="4.7109375" style="224" customWidth="1"/>
    <col min="69" max="69" width="7.7109375" style="224" customWidth="1"/>
    <col min="70" max="70" width="6" style="224" customWidth="1"/>
    <col min="71" max="71" width="8" style="224" customWidth="1"/>
    <col min="72" max="72" width="10.140625" style="224" customWidth="1"/>
    <col min="73" max="73" width="11.28515625" style="224" customWidth="1"/>
    <col min="74" max="74" width="9.42578125" style="224" customWidth="1"/>
    <col min="75" max="75" width="7.42578125" style="224" customWidth="1"/>
    <col min="76" max="76" width="7.140625" style="225" customWidth="1"/>
    <col min="77" max="77" width="8.42578125" style="223" customWidth="1"/>
    <col min="78" max="256" width="9.140625" style="223"/>
    <col min="257" max="257" width="3.85546875" style="223" customWidth="1"/>
    <col min="258" max="258" width="23" style="223" customWidth="1"/>
    <col min="259" max="259" width="5.42578125" style="223" customWidth="1"/>
    <col min="260" max="260" width="7.28515625" style="223" customWidth="1"/>
    <col min="261" max="261" width="9.7109375" style="223" customWidth="1"/>
    <col min="262" max="262" width="6.85546875" style="223" customWidth="1"/>
    <col min="263" max="263" width="6.140625" style="223" customWidth="1"/>
    <col min="264" max="264" width="7.7109375" style="223" customWidth="1"/>
    <col min="265" max="265" width="6.140625" style="223" customWidth="1"/>
    <col min="266" max="270" width="8.140625" style="223" customWidth="1"/>
    <col min="271" max="272" width="9.7109375" style="223" customWidth="1"/>
    <col min="273" max="276" width="6.140625" style="223" customWidth="1"/>
    <col min="277" max="280" width="10.28515625" style="223" customWidth="1"/>
    <col min="281" max="282" width="12" style="223" customWidth="1"/>
    <col min="283" max="283" width="12.42578125" style="223" customWidth="1"/>
    <col min="284" max="284" width="12.28515625" style="223" customWidth="1"/>
    <col min="285" max="285" width="9.28515625" style="223" customWidth="1"/>
    <col min="286" max="291" width="11.7109375" style="223" customWidth="1"/>
    <col min="292" max="292" width="13.85546875" style="223" customWidth="1"/>
    <col min="293" max="293" width="11.7109375" style="223" customWidth="1"/>
    <col min="294" max="294" width="15.42578125" style="223" customWidth="1"/>
    <col min="295" max="295" width="11.28515625" style="223" customWidth="1"/>
    <col min="296" max="297" width="6.140625" style="223" customWidth="1"/>
    <col min="298" max="298" width="8.42578125" style="223" bestFit="1" customWidth="1"/>
    <col min="299" max="300" width="8.7109375" style="223" customWidth="1"/>
    <col min="301" max="301" width="12.7109375" style="223" bestFit="1" customWidth="1"/>
    <col min="302" max="302" width="6.5703125" style="223" customWidth="1"/>
    <col min="303" max="303" width="12.28515625" style="223" customWidth="1"/>
    <col min="304" max="304" width="6.140625" style="223" customWidth="1"/>
    <col min="305" max="305" width="13" style="223" customWidth="1"/>
    <col min="306" max="306" width="8.28515625" style="223" bestFit="1" customWidth="1"/>
    <col min="307" max="308" width="8.42578125" style="223" customWidth="1"/>
    <col min="309" max="309" width="12.7109375" style="223" customWidth="1"/>
    <col min="310" max="310" width="6.28515625" style="223" bestFit="1" customWidth="1"/>
    <col min="311" max="312" width="8.42578125" style="223" customWidth="1"/>
    <col min="313" max="313" width="10.5703125" style="223" bestFit="1" customWidth="1"/>
    <col min="314" max="314" width="10.140625" style="223" bestFit="1" customWidth="1"/>
    <col min="315" max="315" width="9.7109375" style="223" bestFit="1" customWidth="1"/>
    <col min="316" max="316" width="6.28515625" style="223" bestFit="1" customWidth="1"/>
    <col min="317" max="317" width="10.5703125" style="223" bestFit="1" customWidth="1"/>
    <col min="318" max="318" width="6.42578125" style="223" customWidth="1"/>
    <col min="319" max="319" width="12.42578125" style="223" customWidth="1"/>
    <col min="320" max="320" width="7.42578125" style="223" customWidth="1"/>
    <col min="321" max="321" width="10.5703125" style="223" bestFit="1" customWidth="1"/>
    <col min="322" max="322" width="7.42578125" style="223" customWidth="1"/>
    <col min="323" max="323" width="11.7109375" style="223" customWidth="1"/>
    <col min="324" max="324" width="6.28515625" style="223" customWidth="1"/>
    <col min="325" max="325" width="10.5703125" style="223" bestFit="1" customWidth="1"/>
    <col min="326" max="326" width="7.42578125" style="223" customWidth="1"/>
    <col min="327" max="327" width="10.42578125" style="223" customWidth="1"/>
    <col min="328" max="328" width="15.7109375" style="223" bestFit="1" customWidth="1"/>
    <col min="329" max="329" width="14.28515625" style="223" customWidth="1"/>
    <col min="330" max="331" width="7.42578125" style="223" customWidth="1"/>
    <col min="332" max="332" width="9" style="223" customWidth="1"/>
    <col min="333" max="333" width="11.42578125" style="223" customWidth="1"/>
    <col min="334" max="512" width="9.140625" style="223"/>
    <col min="513" max="513" width="3.85546875" style="223" customWidth="1"/>
    <col min="514" max="514" width="23" style="223" customWidth="1"/>
    <col min="515" max="515" width="5.42578125" style="223" customWidth="1"/>
    <col min="516" max="516" width="7.28515625" style="223" customWidth="1"/>
    <col min="517" max="517" width="9.7109375" style="223" customWidth="1"/>
    <col min="518" max="518" width="6.85546875" style="223" customWidth="1"/>
    <col min="519" max="519" width="6.140625" style="223" customWidth="1"/>
    <col min="520" max="520" width="7.7109375" style="223" customWidth="1"/>
    <col min="521" max="521" width="6.140625" style="223" customWidth="1"/>
    <col min="522" max="526" width="8.140625" style="223" customWidth="1"/>
    <col min="527" max="528" width="9.7109375" style="223" customWidth="1"/>
    <col min="529" max="532" width="6.140625" style="223" customWidth="1"/>
    <col min="533" max="536" width="10.28515625" style="223" customWidth="1"/>
    <col min="537" max="538" width="12" style="223" customWidth="1"/>
    <col min="539" max="539" width="12.42578125" style="223" customWidth="1"/>
    <col min="540" max="540" width="12.28515625" style="223" customWidth="1"/>
    <col min="541" max="541" width="9.28515625" style="223" customWidth="1"/>
    <col min="542" max="547" width="11.7109375" style="223" customWidth="1"/>
    <col min="548" max="548" width="13.85546875" style="223" customWidth="1"/>
    <col min="549" max="549" width="11.7109375" style="223" customWidth="1"/>
    <col min="550" max="550" width="15.42578125" style="223" customWidth="1"/>
    <col min="551" max="551" width="11.28515625" style="223" customWidth="1"/>
    <col min="552" max="553" width="6.140625" style="223" customWidth="1"/>
    <col min="554" max="554" width="8.42578125" style="223" bestFit="1" customWidth="1"/>
    <col min="555" max="556" width="8.7109375" style="223" customWidth="1"/>
    <col min="557" max="557" width="12.7109375" style="223" bestFit="1" customWidth="1"/>
    <col min="558" max="558" width="6.5703125" style="223" customWidth="1"/>
    <col min="559" max="559" width="12.28515625" style="223" customWidth="1"/>
    <col min="560" max="560" width="6.140625" style="223" customWidth="1"/>
    <col min="561" max="561" width="13" style="223" customWidth="1"/>
    <col min="562" max="562" width="8.28515625" style="223" bestFit="1" customWidth="1"/>
    <col min="563" max="564" width="8.42578125" style="223" customWidth="1"/>
    <col min="565" max="565" width="12.7109375" style="223" customWidth="1"/>
    <col min="566" max="566" width="6.28515625" style="223" bestFit="1" customWidth="1"/>
    <col min="567" max="568" width="8.42578125" style="223" customWidth="1"/>
    <col min="569" max="569" width="10.5703125" style="223" bestFit="1" customWidth="1"/>
    <col min="570" max="570" width="10.140625" style="223" bestFit="1" customWidth="1"/>
    <col min="571" max="571" width="9.7109375" style="223" bestFit="1" customWidth="1"/>
    <col min="572" max="572" width="6.28515625" style="223" bestFit="1" customWidth="1"/>
    <col min="573" max="573" width="10.5703125" style="223" bestFit="1" customWidth="1"/>
    <col min="574" max="574" width="6.42578125" style="223" customWidth="1"/>
    <col min="575" max="575" width="12.42578125" style="223" customWidth="1"/>
    <col min="576" max="576" width="7.42578125" style="223" customWidth="1"/>
    <col min="577" max="577" width="10.5703125" style="223" bestFit="1" customWidth="1"/>
    <col min="578" max="578" width="7.42578125" style="223" customWidth="1"/>
    <col min="579" max="579" width="11.7109375" style="223" customWidth="1"/>
    <col min="580" max="580" width="6.28515625" style="223" customWidth="1"/>
    <col min="581" max="581" width="10.5703125" style="223" bestFit="1" customWidth="1"/>
    <col min="582" max="582" width="7.42578125" style="223" customWidth="1"/>
    <col min="583" max="583" width="10.42578125" style="223" customWidth="1"/>
    <col min="584" max="584" width="15.7109375" style="223" bestFit="1" customWidth="1"/>
    <col min="585" max="585" width="14.28515625" style="223" customWidth="1"/>
    <col min="586" max="587" width="7.42578125" style="223" customWidth="1"/>
    <col min="588" max="588" width="9" style="223" customWidth="1"/>
    <col min="589" max="589" width="11.42578125" style="223" customWidth="1"/>
    <col min="590" max="768" width="9.140625" style="223"/>
    <col min="769" max="769" width="3.85546875" style="223" customWidth="1"/>
    <col min="770" max="770" width="23" style="223" customWidth="1"/>
    <col min="771" max="771" width="5.42578125" style="223" customWidth="1"/>
    <col min="772" max="772" width="7.28515625" style="223" customWidth="1"/>
    <col min="773" max="773" width="9.7109375" style="223" customWidth="1"/>
    <col min="774" max="774" width="6.85546875" style="223" customWidth="1"/>
    <col min="775" max="775" width="6.140625" style="223" customWidth="1"/>
    <col min="776" max="776" width="7.7109375" style="223" customWidth="1"/>
    <col min="777" max="777" width="6.140625" style="223" customWidth="1"/>
    <col min="778" max="782" width="8.140625" style="223" customWidth="1"/>
    <col min="783" max="784" width="9.7109375" style="223" customWidth="1"/>
    <col min="785" max="788" width="6.140625" style="223" customWidth="1"/>
    <col min="789" max="792" width="10.28515625" style="223" customWidth="1"/>
    <col min="793" max="794" width="12" style="223" customWidth="1"/>
    <col min="795" max="795" width="12.42578125" style="223" customWidth="1"/>
    <col min="796" max="796" width="12.28515625" style="223" customWidth="1"/>
    <col min="797" max="797" width="9.28515625" style="223" customWidth="1"/>
    <col min="798" max="803" width="11.7109375" style="223" customWidth="1"/>
    <col min="804" max="804" width="13.85546875" style="223" customWidth="1"/>
    <col min="805" max="805" width="11.7109375" style="223" customWidth="1"/>
    <col min="806" max="806" width="15.42578125" style="223" customWidth="1"/>
    <col min="807" max="807" width="11.28515625" style="223" customWidth="1"/>
    <col min="808" max="809" width="6.140625" style="223" customWidth="1"/>
    <col min="810" max="810" width="8.42578125" style="223" bestFit="1" customWidth="1"/>
    <col min="811" max="812" width="8.7109375" style="223" customWidth="1"/>
    <col min="813" max="813" width="12.7109375" style="223" bestFit="1" customWidth="1"/>
    <col min="814" max="814" width="6.5703125" style="223" customWidth="1"/>
    <col min="815" max="815" width="12.28515625" style="223" customWidth="1"/>
    <col min="816" max="816" width="6.140625" style="223" customWidth="1"/>
    <col min="817" max="817" width="13" style="223" customWidth="1"/>
    <col min="818" max="818" width="8.28515625" style="223" bestFit="1" customWidth="1"/>
    <col min="819" max="820" width="8.42578125" style="223" customWidth="1"/>
    <col min="821" max="821" width="12.7109375" style="223" customWidth="1"/>
    <col min="822" max="822" width="6.28515625" style="223" bestFit="1" customWidth="1"/>
    <col min="823" max="824" width="8.42578125" style="223" customWidth="1"/>
    <col min="825" max="825" width="10.5703125" style="223" bestFit="1" customWidth="1"/>
    <col min="826" max="826" width="10.140625" style="223" bestFit="1" customWidth="1"/>
    <col min="827" max="827" width="9.7109375" style="223" bestFit="1" customWidth="1"/>
    <col min="828" max="828" width="6.28515625" style="223" bestFit="1" customWidth="1"/>
    <col min="829" max="829" width="10.5703125" style="223" bestFit="1" customWidth="1"/>
    <col min="830" max="830" width="6.42578125" style="223" customWidth="1"/>
    <col min="831" max="831" width="12.42578125" style="223" customWidth="1"/>
    <col min="832" max="832" width="7.42578125" style="223" customWidth="1"/>
    <col min="833" max="833" width="10.5703125" style="223" bestFit="1" customWidth="1"/>
    <col min="834" max="834" width="7.42578125" style="223" customWidth="1"/>
    <col min="835" max="835" width="11.7109375" style="223" customWidth="1"/>
    <col min="836" max="836" width="6.28515625" style="223" customWidth="1"/>
    <col min="837" max="837" width="10.5703125" style="223" bestFit="1" customWidth="1"/>
    <col min="838" max="838" width="7.42578125" style="223" customWidth="1"/>
    <col min="839" max="839" width="10.42578125" style="223" customWidth="1"/>
    <col min="840" max="840" width="15.7109375" style="223" bestFit="1" customWidth="1"/>
    <col min="841" max="841" width="14.28515625" style="223" customWidth="1"/>
    <col min="842" max="843" width="7.42578125" style="223" customWidth="1"/>
    <col min="844" max="844" width="9" style="223" customWidth="1"/>
    <col min="845" max="845" width="11.42578125" style="223" customWidth="1"/>
    <col min="846" max="1024" width="9.140625" style="223"/>
    <col min="1025" max="1025" width="3.85546875" style="223" customWidth="1"/>
    <col min="1026" max="1026" width="23" style="223" customWidth="1"/>
    <col min="1027" max="1027" width="5.42578125" style="223" customWidth="1"/>
    <col min="1028" max="1028" width="7.28515625" style="223" customWidth="1"/>
    <col min="1029" max="1029" width="9.7109375" style="223" customWidth="1"/>
    <col min="1030" max="1030" width="6.85546875" style="223" customWidth="1"/>
    <col min="1031" max="1031" width="6.140625" style="223" customWidth="1"/>
    <col min="1032" max="1032" width="7.7109375" style="223" customWidth="1"/>
    <col min="1033" max="1033" width="6.140625" style="223" customWidth="1"/>
    <col min="1034" max="1038" width="8.140625" style="223" customWidth="1"/>
    <col min="1039" max="1040" width="9.7109375" style="223" customWidth="1"/>
    <col min="1041" max="1044" width="6.140625" style="223" customWidth="1"/>
    <col min="1045" max="1048" width="10.28515625" style="223" customWidth="1"/>
    <col min="1049" max="1050" width="12" style="223" customWidth="1"/>
    <col min="1051" max="1051" width="12.42578125" style="223" customWidth="1"/>
    <col min="1052" max="1052" width="12.28515625" style="223" customWidth="1"/>
    <col min="1053" max="1053" width="9.28515625" style="223" customWidth="1"/>
    <col min="1054" max="1059" width="11.7109375" style="223" customWidth="1"/>
    <col min="1060" max="1060" width="13.85546875" style="223" customWidth="1"/>
    <col min="1061" max="1061" width="11.7109375" style="223" customWidth="1"/>
    <col min="1062" max="1062" width="15.42578125" style="223" customWidth="1"/>
    <col min="1063" max="1063" width="11.28515625" style="223" customWidth="1"/>
    <col min="1064" max="1065" width="6.140625" style="223" customWidth="1"/>
    <col min="1066" max="1066" width="8.42578125" style="223" bestFit="1" customWidth="1"/>
    <col min="1067" max="1068" width="8.7109375" style="223" customWidth="1"/>
    <col min="1069" max="1069" width="12.7109375" style="223" bestFit="1" customWidth="1"/>
    <col min="1070" max="1070" width="6.5703125" style="223" customWidth="1"/>
    <col min="1071" max="1071" width="12.28515625" style="223" customWidth="1"/>
    <col min="1072" max="1072" width="6.140625" style="223" customWidth="1"/>
    <col min="1073" max="1073" width="13" style="223" customWidth="1"/>
    <col min="1074" max="1074" width="8.28515625" style="223" bestFit="1" customWidth="1"/>
    <col min="1075" max="1076" width="8.42578125" style="223" customWidth="1"/>
    <col min="1077" max="1077" width="12.7109375" style="223" customWidth="1"/>
    <col min="1078" max="1078" width="6.28515625" style="223" bestFit="1" customWidth="1"/>
    <col min="1079" max="1080" width="8.42578125" style="223" customWidth="1"/>
    <col min="1081" max="1081" width="10.5703125" style="223" bestFit="1" customWidth="1"/>
    <col min="1082" max="1082" width="10.140625" style="223" bestFit="1" customWidth="1"/>
    <col min="1083" max="1083" width="9.7109375" style="223" bestFit="1" customWidth="1"/>
    <col min="1084" max="1084" width="6.28515625" style="223" bestFit="1" customWidth="1"/>
    <col min="1085" max="1085" width="10.5703125" style="223" bestFit="1" customWidth="1"/>
    <col min="1086" max="1086" width="6.42578125" style="223" customWidth="1"/>
    <col min="1087" max="1087" width="12.42578125" style="223" customWidth="1"/>
    <col min="1088" max="1088" width="7.42578125" style="223" customWidth="1"/>
    <col min="1089" max="1089" width="10.5703125" style="223" bestFit="1" customWidth="1"/>
    <col min="1090" max="1090" width="7.42578125" style="223" customWidth="1"/>
    <col min="1091" max="1091" width="11.7109375" style="223" customWidth="1"/>
    <col min="1092" max="1092" width="6.28515625" style="223" customWidth="1"/>
    <col min="1093" max="1093" width="10.5703125" style="223" bestFit="1" customWidth="1"/>
    <col min="1094" max="1094" width="7.42578125" style="223" customWidth="1"/>
    <col min="1095" max="1095" width="10.42578125" style="223" customWidth="1"/>
    <col min="1096" max="1096" width="15.7109375" style="223" bestFit="1" customWidth="1"/>
    <col min="1097" max="1097" width="14.28515625" style="223" customWidth="1"/>
    <col min="1098" max="1099" width="7.42578125" style="223" customWidth="1"/>
    <col min="1100" max="1100" width="9" style="223" customWidth="1"/>
    <col min="1101" max="1101" width="11.42578125" style="223" customWidth="1"/>
    <col min="1102" max="1280" width="9.140625" style="223"/>
    <col min="1281" max="1281" width="3.85546875" style="223" customWidth="1"/>
    <col min="1282" max="1282" width="23" style="223" customWidth="1"/>
    <col min="1283" max="1283" width="5.42578125" style="223" customWidth="1"/>
    <col min="1284" max="1284" width="7.28515625" style="223" customWidth="1"/>
    <col min="1285" max="1285" width="9.7109375" style="223" customWidth="1"/>
    <col min="1286" max="1286" width="6.85546875" style="223" customWidth="1"/>
    <col min="1287" max="1287" width="6.140625" style="223" customWidth="1"/>
    <col min="1288" max="1288" width="7.7109375" style="223" customWidth="1"/>
    <col min="1289" max="1289" width="6.140625" style="223" customWidth="1"/>
    <col min="1290" max="1294" width="8.140625" style="223" customWidth="1"/>
    <col min="1295" max="1296" width="9.7109375" style="223" customWidth="1"/>
    <col min="1297" max="1300" width="6.140625" style="223" customWidth="1"/>
    <col min="1301" max="1304" width="10.28515625" style="223" customWidth="1"/>
    <col min="1305" max="1306" width="12" style="223" customWidth="1"/>
    <col min="1307" max="1307" width="12.42578125" style="223" customWidth="1"/>
    <col min="1308" max="1308" width="12.28515625" style="223" customWidth="1"/>
    <col min="1309" max="1309" width="9.28515625" style="223" customWidth="1"/>
    <col min="1310" max="1315" width="11.7109375" style="223" customWidth="1"/>
    <col min="1316" max="1316" width="13.85546875" style="223" customWidth="1"/>
    <col min="1317" max="1317" width="11.7109375" style="223" customWidth="1"/>
    <col min="1318" max="1318" width="15.42578125" style="223" customWidth="1"/>
    <col min="1319" max="1319" width="11.28515625" style="223" customWidth="1"/>
    <col min="1320" max="1321" width="6.140625" style="223" customWidth="1"/>
    <col min="1322" max="1322" width="8.42578125" style="223" bestFit="1" customWidth="1"/>
    <col min="1323" max="1324" width="8.7109375" style="223" customWidth="1"/>
    <col min="1325" max="1325" width="12.7109375" style="223" bestFit="1" customWidth="1"/>
    <col min="1326" max="1326" width="6.5703125" style="223" customWidth="1"/>
    <col min="1327" max="1327" width="12.28515625" style="223" customWidth="1"/>
    <col min="1328" max="1328" width="6.140625" style="223" customWidth="1"/>
    <col min="1329" max="1329" width="13" style="223" customWidth="1"/>
    <col min="1330" max="1330" width="8.28515625" style="223" bestFit="1" customWidth="1"/>
    <col min="1331" max="1332" width="8.42578125" style="223" customWidth="1"/>
    <col min="1333" max="1333" width="12.7109375" style="223" customWidth="1"/>
    <col min="1334" max="1334" width="6.28515625" style="223" bestFit="1" customWidth="1"/>
    <col min="1335" max="1336" width="8.42578125" style="223" customWidth="1"/>
    <col min="1337" max="1337" width="10.5703125" style="223" bestFit="1" customWidth="1"/>
    <col min="1338" max="1338" width="10.140625" style="223" bestFit="1" customWidth="1"/>
    <col min="1339" max="1339" width="9.7109375" style="223" bestFit="1" customWidth="1"/>
    <col min="1340" max="1340" width="6.28515625" style="223" bestFit="1" customWidth="1"/>
    <col min="1341" max="1341" width="10.5703125" style="223" bestFit="1" customWidth="1"/>
    <col min="1342" max="1342" width="6.42578125" style="223" customWidth="1"/>
    <col min="1343" max="1343" width="12.42578125" style="223" customWidth="1"/>
    <col min="1344" max="1344" width="7.42578125" style="223" customWidth="1"/>
    <col min="1345" max="1345" width="10.5703125" style="223" bestFit="1" customWidth="1"/>
    <col min="1346" max="1346" width="7.42578125" style="223" customWidth="1"/>
    <col min="1347" max="1347" width="11.7109375" style="223" customWidth="1"/>
    <col min="1348" max="1348" width="6.28515625" style="223" customWidth="1"/>
    <col min="1349" max="1349" width="10.5703125" style="223" bestFit="1" customWidth="1"/>
    <col min="1350" max="1350" width="7.42578125" style="223" customWidth="1"/>
    <col min="1351" max="1351" width="10.42578125" style="223" customWidth="1"/>
    <col min="1352" max="1352" width="15.7109375" style="223" bestFit="1" customWidth="1"/>
    <col min="1353" max="1353" width="14.28515625" style="223" customWidth="1"/>
    <col min="1354" max="1355" width="7.42578125" style="223" customWidth="1"/>
    <col min="1356" max="1356" width="9" style="223" customWidth="1"/>
    <col min="1357" max="1357" width="11.42578125" style="223" customWidth="1"/>
    <col min="1358" max="1536" width="9.140625" style="223"/>
    <col min="1537" max="1537" width="3.85546875" style="223" customWidth="1"/>
    <col min="1538" max="1538" width="23" style="223" customWidth="1"/>
    <col min="1539" max="1539" width="5.42578125" style="223" customWidth="1"/>
    <col min="1540" max="1540" width="7.28515625" style="223" customWidth="1"/>
    <col min="1541" max="1541" width="9.7109375" style="223" customWidth="1"/>
    <col min="1542" max="1542" width="6.85546875" style="223" customWidth="1"/>
    <col min="1543" max="1543" width="6.140625" style="223" customWidth="1"/>
    <col min="1544" max="1544" width="7.7109375" style="223" customWidth="1"/>
    <col min="1545" max="1545" width="6.140625" style="223" customWidth="1"/>
    <col min="1546" max="1550" width="8.140625" style="223" customWidth="1"/>
    <col min="1551" max="1552" width="9.7109375" style="223" customWidth="1"/>
    <col min="1553" max="1556" width="6.140625" style="223" customWidth="1"/>
    <col min="1557" max="1560" width="10.28515625" style="223" customWidth="1"/>
    <col min="1561" max="1562" width="12" style="223" customWidth="1"/>
    <col min="1563" max="1563" width="12.42578125" style="223" customWidth="1"/>
    <col min="1564" max="1564" width="12.28515625" style="223" customWidth="1"/>
    <col min="1565" max="1565" width="9.28515625" style="223" customWidth="1"/>
    <col min="1566" max="1571" width="11.7109375" style="223" customWidth="1"/>
    <col min="1572" max="1572" width="13.85546875" style="223" customWidth="1"/>
    <col min="1573" max="1573" width="11.7109375" style="223" customWidth="1"/>
    <col min="1574" max="1574" width="15.42578125" style="223" customWidth="1"/>
    <col min="1575" max="1575" width="11.28515625" style="223" customWidth="1"/>
    <col min="1576" max="1577" width="6.140625" style="223" customWidth="1"/>
    <col min="1578" max="1578" width="8.42578125" style="223" bestFit="1" customWidth="1"/>
    <col min="1579" max="1580" width="8.7109375" style="223" customWidth="1"/>
    <col min="1581" max="1581" width="12.7109375" style="223" bestFit="1" customWidth="1"/>
    <col min="1582" max="1582" width="6.5703125" style="223" customWidth="1"/>
    <col min="1583" max="1583" width="12.28515625" style="223" customWidth="1"/>
    <col min="1584" max="1584" width="6.140625" style="223" customWidth="1"/>
    <col min="1585" max="1585" width="13" style="223" customWidth="1"/>
    <col min="1586" max="1586" width="8.28515625" style="223" bestFit="1" customWidth="1"/>
    <col min="1587" max="1588" width="8.42578125" style="223" customWidth="1"/>
    <col min="1589" max="1589" width="12.7109375" style="223" customWidth="1"/>
    <col min="1590" max="1590" width="6.28515625" style="223" bestFit="1" customWidth="1"/>
    <col min="1591" max="1592" width="8.42578125" style="223" customWidth="1"/>
    <col min="1593" max="1593" width="10.5703125" style="223" bestFit="1" customWidth="1"/>
    <col min="1594" max="1594" width="10.140625" style="223" bestFit="1" customWidth="1"/>
    <col min="1595" max="1595" width="9.7109375" style="223" bestFit="1" customWidth="1"/>
    <col min="1596" max="1596" width="6.28515625" style="223" bestFit="1" customWidth="1"/>
    <col min="1597" max="1597" width="10.5703125" style="223" bestFit="1" customWidth="1"/>
    <col min="1598" max="1598" width="6.42578125" style="223" customWidth="1"/>
    <col min="1599" max="1599" width="12.42578125" style="223" customWidth="1"/>
    <col min="1600" max="1600" width="7.42578125" style="223" customWidth="1"/>
    <col min="1601" max="1601" width="10.5703125" style="223" bestFit="1" customWidth="1"/>
    <col min="1602" max="1602" width="7.42578125" style="223" customWidth="1"/>
    <col min="1603" max="1603" width="11.7109375" style="223" customWidth="1"/>
    <col min="1604" max="1604" width="6.28515625" style="223" customWidth="1"/>
    <col min="1605" max="1605" width="10.5703125" style="223" bestFit="1" customWidth="1"/>
    <col min="1606" max="1606" width="7.42578125" style="223" customWidth="1"/>
    <col min="1607" max="1607" width="10.42578125" style="223" customWidth="1"/>
    <col min="1608" max="1608" width="15.7109375" style="223" bestFit="1" customWidth="1"/>
    <col min="1609" max="1609" width="14.28515625" style="223" customWidth="1"/>
    <col min="1610" max="1611" width="7.42578125" style="223" customWidth="1"/>
    <col min="1612" max="1612" width="9" style="223" customWidth="1"/>
    <col min="1613" max="1613" width="11.42578125" style="223" customWidth="1"/>
    <col min="1614" max="1792" width="9.140625" style="223"/>
    <col min="1793" max="1793" width="3.85546875" style="223" customWidth="1"/>
    <col min="1794" max="1794" width="23" style="223" customWidth="1"/>
    <col min="1795" max="1795" width="5.42578125" style="223" customWidth="1"/>
    <col min="1796" max="1796" width="7.28515625" style="223" customWidth="1"/>
    <col min="1797" max="1797" width="9.7109375" style="223" customWidth="1"/>
    <col min="1798" max="1798" width="6.85546875" style="223" customWidth="1"/>
    <col min="1799" max="1799" width="6.140625" style="223" customWidth="1"/>
    <col min="1800" max="1800" width="7.7109375" style="223" customWidth="1"/>
    <col min="1801" max="1801" width="6.140625" style="223" customWidth="1"/>
    <col min="1802" max="1806" width="8.140625" style="223" customWidth="1"/>
    <col min="1807" max="1808" width="9.7109375" style="223" customWidth="1"/>
    <col min="1809" max="1812" width="6.140625" style="223" customWidth="1"/>
    <col min="1813" max="1816" width="10.28515625" style="223" customWidth="1"/>
    <col min="1817" max="1818" width="12" style="223" customWidth="1"/>
    <col min="1819" max="1819" width="12.42578125" style="223" customWidth="1"/>
    <col min="1820" max="1820" width="12.28515625" style="223" customWidth="1"/>
    <col min="1821" max="1821" width="9.28515625" style="223" customWidth="1"/>
    <col min="1822" max="1827" width="11.7109375" style="223" customWidth="1"/>
    <col min="1828" max="1828" width="13.85546875" style="223" customWidth="1"/>
    <col min="1829" max="1829" width="11.7109375" style="223" customWidth="1"/>
    <col min="1830" max="1830" width="15.42578125" style="223" customWidth="1"/>
    <col min="1831" max="1831" width="11.28515625" style="223" customWidth="1"/>
    <col min="1832" max="1833" width="6.140625" style="223" customWidth="1"/>
    <col min="1834" max="1834" width="8.42578125" style="223" bestFit="1" customWidth="1"/>
    <col min="1835" max="1836" width="8.7109375" style="223" customWidth="1"/>
    <col min="1837" max="1837" width="12.7109375" style="223" bestFit="1" customWidth="1"/>
    <col min="1838" max="1838" width="6.5703125" style="223" customWidth="1"/>
    <col min="1839" max="1839" width="12.28515625" style="223" customWidth="1"/>
    <col min="1840" max="1840" width="6.140625" style="223" customWidth="1"/>
    <col min="1841" max="1841" width="13" style="223" customWidth="1"/>
    <col min="1842" max="1842" width="8.28515625" style="223" bestFit="1" customWidth="1"/>
    <col min="1843" max="1844" width="8.42578125" style="223" customWidth="1"/>
    <col min="1845" max="1845" width="12.7109375" style="223" customWidth="1"/>
    <col min="1846" max="1846" width="6.28515625" style="223" bestFit="1" customWidth="1"/>
    <col min="1847" max="1848" width="8.42578125" style="223" customWidth="1"/>
    <col min="1849" max="1849" width="10.5703125" style="223" bestFit="1" customWidth="1"/>
    <col min="1850" max="1850" width="10.140625" style="223" bestFit="1" customWidth="1"/>
    <col min="1851" max="1851" width="9.7109375" style="223" bestFit="1" customWidth="1"/>
    <col min="1852" max="1852" width="6.28515625" style="223" bestFit="1" customWidth="1"/>
    <col min="1853" max="1853" width="10.5703125" style="223" bestFit="1" customWidth="1"/>
    <col min="1854" max="1854" width="6.42578125" style="223" customWidth="1"/>
    <col min="1855" max="1855" width="12.42578125" style="223" customWidth="1"/>
    <col min="1856" max="1856" width="7.42578125" style="223" customWidth="1"/>
    <col min="1857" max="1857" width="10.5703125" style="223" bestFit="1" customWidth="1"/>
    <col min="1858" max="1858" width="7.42578125" style="223" customWidth="1"/>
    <col min="1859" max="1859" width="11.7109375" style="223" customWidth="1"/>
    <col min="1860" max="1860" width="6.28515625" style="223" customWidth="1"/>
    <col min="1861" max="1861" width="10.5703125" style="223" bestFit="1" customWidth="1"/>
    <col min="1862" max="1862" width="7.42578125" style="223" customWidth="1"/>
    <col min="1863" max="1863" width="10.42578125" style="223" customWidth="1"/>
    <col min="1864" max="1864" width="15.7109375" style="223" bestFit="1" customWidth="1"/>
    <col min="1865" max="1865" width="14.28515625" style="223" customWidth="1"/>
    <col min="1866" max="1867" width="7.42578125" style="223" customWidth="1"/>
    <col min="1868" max="1868" width="9" style="223" customWidth="1"/>
    <col min="1869" max="1869" width="11.42578125" style="223" customWidth="1"/>
    <col min="1870" max="2048" width="9.140625" style="223"/>
    <col min="2049" max="2049" width="3.85546875" style="223" customWidth="1"/>
    <col min="2050" max="2050" width="23" style="223" customWidth="1"/>
    <col min="2051" max="2051" width="5.42578125" style="223" customWidth="1"/>
    <col min="2052" max="2052" width="7.28515625" style="223" customWidth="1"/>
    <col min="2053" max="2053" width="9.7109375" style="223" customWidth="1"/>
    <col min="2054" max="2054" width="6.85546875" style="223" customWidth="1"/>
    <col min="2055" max="2055" width="6.140625" style="223" customWidth="1"/>
    <col min="2056" max="2056" width="7.7109375" style="223" customWidth="1"/>
    <col min="2057" max="2057" width="6.140625" style="223" customWidth="1"/>
    <col min="2058" max="2062" width="8.140625" style="223" customWidth="1"/>
    <col min="2063" max="2064" width="9.7109375" style="223" customWidth="1"/>
    <col min="2065" max="2068" width="6.140625" style="223" customWidth="1"/>
    <col min="2069" max="2072" width="10.28515625" style="223" customWidth="1"/>
    <col min="2073" max="2074" width="12" style="223" customWidth="1"/>
    <col min="2075" max="2075" width="12.42578125" style="223" customWidth="1"/>
    <col min="2076" max="2076" width="12.28515625" style="223" customWidth="1"/>
    <col min="2077" max="2077" width="9.28515625" style="223" customWidth="1"/>
    <col min="2078" max="2083" width="11.7109375" style="223" customWidth="1"/>
    <col min="2084" max="2084" width="13.85546875" style="223" customWidth="1"/>
    <col min="2085" max="2085" width="11.7109375" style="223" customWidth="1"/>
    <col min="2086" max="2086" width="15.42578125" style="223" customWidth="1"/>
    <col min="2087" max="2087" width="11.28515625" style="223" customWidth="1"/>
    <col min="2088" max="2089" width="6.140625" style="223" customWidth="1"/>
    <col min="2090" max="2090" width="8.42578125" style="223" bestFit="1" customWidth="1"/>
    <col min="2091" max="2092" width="8.7109375" style="223" customWidth="1"/>
    <col min="2093" max="2093" width="12.7109375" style="223" bestFit="1" customWidth="1"/>
    <col min="2094" max="2094" width="6.5703125" style="223" customWidth="1"/>
    <col min="2095" max="2095" width="12.28515625" style="223" customWidth="1"/>
    <col min="2096" max="2096" width="6.140625" style="223" customWidth="1"/>
    <col min="2097" max="2097" width="13" style="223" customWidth="1"/>
    <col min="2098" max="2098" width="8.28515625" style="223" bestFit="1" customWidth="1"/>
    <col min="2099" max="2100" width="8.42578125" style="223" customWidth="1"/>
    <col min="2101" max="2101" width="12.7109375" style="223" customWidth="1"/>
    <col min="2102" max="2102" width="6.28515625" style="223" bestFit="1" customWidth="1"/>
    <col min="2103" max="2104" width="8.42578125" style="223" customWidth="1"/>
    <col min="2105" max="2105" width="10.5703125" style="223" bestFit="1" customWidth="1"/>
    <col min="2106" max="2106" width="10.140625" style="223" bestFit="1" customWidth="1"/>
    <col min="2107" max="2107" width="9.7109375" style="223" bestFit="1" customWidth="1"/>
    <col min="2108" max="2108" width="6.28515625" style="223" bestFit="1" customWidth="1"/>
    <col min="2109" max="2109" width="10.5703125" style="223" bestFit="1" customWidth="1"/>
    <col min="2110" max="2110" width="6.42578125" style="223" customWidth="1"/>
    <col min="2111" max="2111" width="12.42578125" style="223" customWidth="1"/>
    <col min="2112" max="2112" width="7.42578125" style="223" customWidth="1"/>
    <col min="2113" max="2113" width="10.5703125" style="223" bestFit="1" customWidth="1"/>
    <col min="2114" max="2114" width="7.42578125" style="223" customWidth="1"/>
    <col min="2115" max="2115" width="11.7109375" style="223" customWidth="1"/>
    <col min="2116" max="2116" width="6.28515625" style="223" customWidth="1"/>
    <col min="2117" max="2117" width="10.5703125" style="223" bestFit="1" customWidth="1"/>
    <col min="2118" max="2118" width="7.42578125" style="223" customWidth="1"/>
    <col min="2119" max="2119" width="10.42578125" style="223" customWidth="1"/>
    <col min="2120" max="2120" width="15.7109375" style="223" bestFit="1" customWidth="1"/>
    <col min="2121" max="2121" width="14.28515625" style="223" customWidth="1"/>
    <col min="2122" max="2123" width="7.42578125" style="223" customWidth="1"/>
    <col min="2124" max="2124" width="9" style="223" customWidth="1"/>
    <col min="2125" max="2125" width="11.42578125" style="223" customWidth="1"/>
    <col min="2126" max="2304" width="9.140625" style="223"/>
    <col min="2305" max="2305" width="3.85546875" style="223" customWidth="1"/>
    <col min="2306" max="2306" width="23" style="223" customWidth="1"/>
    <col min="2307" max="2307" width="5.42578125" style="223" customWidth="1"/>
    <col min="2308" max="2308" width="7.28515625" style="223" customWidth="1"/>
    <col min="2309" max="2309" width="9.7109375" style="223" customWidth="1"/>
    <col min="2310" max="2310" width="6.85546875" style="223" customWidth="1"/>
    <col min="2311" max="2311" width="6.140625" style="223" customWidth="1"/>
    <col min="2312" max="2312" width="7.7109375" style="223" customWidth="1"/>
    <col min="2313" max="2313" width="6.140625" style="223" customWidth="1"/>
    <col min="2314" max="2318" width="8.140625" style="223" customWidth="1"/>
    <col min="2319" max="2320" width="9.7109375" style="223" customWidth="1"/>
    <col min="2321" max="2324" width="6.140625" style="223" customWidth="1"/>
    <col min="2325" max="2328" width="10.28515625" style="223" customWidth="1"/>
    <col min="2329" max="2330" width="12" style="223" customWidth="1"/>
    <col min="2331" max="2331" width="12.42578125" style="223" customWidth="1"/>
    <col min="2332" max="2332" width="12.28515625" style="223" customWidth="1"/>
    <col min="2333" max="2333" width="9.28515625" style="223" customWidth="1"/>
    <col min="2334" max="2339" width="11.7109375" style="223" customWidth="1"/>
    <col min="2340" max="2340" width="13.85546875" style="223" customWidth="1"/>
    <col min="2341" max="2341" width="11.7109375" style="223" customWidth="1"/>
    <col min="2342" max="2342" width="15.42578125" style="223" customWidth="1"/>
    <col min="2343" max="2343" width="11.28515625" style="223" customWidth="1"/>
    <col min="2344" max="2345" width="6.140625" style="223" customWidth="1"/>
    <col min="2346" max="2346" width="8.42578125" style="223" bestFit="1" customWidth="1"/>
    <col min="2347" max="2348" width="8.7109375" style="223" customWidth="1"/>
    <col min="2349" max="2349" width="12.7109375" style="223" bestFit="1" customWidth="1"/>
    <col min="2350" max="2350" width="6.5703125" style="223" customWidth="1"/>
    <col min="2351" max="2351" width="12.28515625" style="223" customWidth="1"/>
    <col min="2352" max="2352" width="6.140625" style="223" customWidth="1"/>
    <col min="2353" max="2353" width="13" style="223" customWidth="1"/>
    <col min="2354" max="2354" width="8.28515625" style="223" bestFit="1" customWidth="1"/>
    <col min="2355" max="2356" width="8.42578125" style="223" customWidth="1"/>
    <col min="2357" max="2357" width="12.7109375" style="223" customWidth="1"/>
    <col min="2358" max="2358" width="6.28515625" style="223" bestFit="1" customWidth="1"/>
    <col min="2359" max="2360" width="8.42578125" style="223" customWidth="1"/>
    <col min="2361" max="2361" width="10.5703125" style="223" bestFit="1" customWidth="1"/>
    <col min="2362" max="2362" width="10.140625" style="223" bestFit="1" customWidth="1"/>
    <col min="2363" max="2363" width="9.7109375" style="223" bestFit="1" customWidth="1"/>
    <col min="2364" max="2364" width="6.28515625" style="223" bestFit="1" customWidth="1"/>
    <col min="2365" max="2365" width="10.5703125" style="223" bestFit="1" customWidth="1"/>
    <col min="2366" max="2366" width="6.42578125" style="223" customWidth="1"/>
    <col min="2367" max="2367" width="12.42578125" style="223" customWidth="1"/>
    <col min="2368" max="2368" width="7.42578125" style="223" customWidth="1"/>
    <col min="2369" max="2369" width="10.5703125" style="223" bestFit="1" customWidth="1"/>
    <col min="2370" max="2370" width="7.42578125" style="223" customWidth="1"/>
    <col min="2371" max="2371" width="11.7109375" style="223" customWidth="1"/>
    <col min="2372" max="2372" width="6.28515625" style="223" customWidth="1"/>
    <col min="2373" max="2373" width="10.5703125" style="223" bestFit="1" customWidth="1"/>
    <col min="2374" max="2374" width="7.42578125" style="223" customWidth="1"/>
    <col min="2375" max="2375" width="10.42578125" style="223" customWidth="1"/>
    <col min="2376" max="2376" width="15.7109375" style="223" bestFit="1" customWidth="1"/>
    <col min="2377" max="2377" width="14.28515625" style="223" customWidth="1"/>
    <col min="2378" max="2379" width="7.42578125" style="223" customWidth="1"/>
    <col min="2380" max="2380" width="9" style="223" customWidth="1"/>
    <col min="2381" max="2381" width="11.42578125" style="223" customWidth="1"/>
    <col min="2382" max="2560" width="9.140625" style="223"/>
    <col min="2561" max="2561" width="3.85546875" style="223" customWidth="1"/>
    <col min="2562" max="2562" width="23" style="223" customWidth="1"/>
    <col min="2563" max="2563" width="5.42578125" style="223" customWidth="1"/>
    <col min="2564" max="2564" width="7.28515625" style="223" customWidth="1"/>
    <col min="2565" max="2565" width="9.7109375" style="223" customWidth="1"/>
    <col min="2566" max="2566" width="6.85546875" style="223" customWidth="1"/>
    <col min="2567" max="2567" width="6.140625" style="223" customWidth="1"/>
    <col min="2568" max="2568" width="7.7109375" style="223" customWidth="1"/>
    <col min="2569" max="2569" width="6.140625" style="223" customWidth="1"/>
    <col min="2570" max="2574" width="8.140625" style="223" customWidth="1"/>
    <col min="2575" max="2576" width="9.7109375" style="223" customWidth="1"/>
    <col min="2577" max="2580" width="6.140625" style="223" customWidth="1"/>
    <col min="2581" max="2584" width="10.28515625" style="223" customWidth="1"/>
    <col min="2585" max="2586" width="12" style="223" customWidth="1"/>
    <col min="2587" max="2587" width="12.42578125" style="223" customWidth="1"/>
    <col min="2588" max="2588" width="12.28515625" style="223" customWidth="1"/>
    <col min="2589" max="2589" width="9.28515625" style="223" customWidth="1"/>
    <col min="2590" max="2595" width="11.7109375" style="223" customWidth="1"/>
    <col min="2596" max="2596" width="13.85546875" style="223" customWidth="1"/>
    <col min="2597" max="2597" width="11.7109375" style="223" customWidth="1"/>
    <col min="2598" max="2598" width="15.42578125" style="223" customWidth="1"/>
    <col min="2599" max="2599" width="11.28515625" style="223" customWidth="1"/>
    <col min="2600" max="2601" width="6.140625" style="223" customWidth="1"/>
    <col min="2602" max="2602" width="8.42578125" style="223" bestFit="1" customWidth="1"/>
    <col min="2603" max="2604" width="8.7109375" style="223" customWidth="1"/>
    <col min="2605" max="2605" width="12.7109375" style="223" bestFit="1" customWidth="1"/>
    <col min="2606" max="2606" width="6.5703125" style="223" customWidth="1"/>
    <col min="2607" max="2607" width="12.28515625" style="223" customWidth="1"/>
    <col min="2608" max="2608" width="6.140625" style="223" customWidth="1"/>
    <col min="2609" max="2609" width="13" style="223" customWidth="1"/>
    <col min="2610" max="2610" width="8.28515625" style="223" bestFit="1" customWidth="1"/>
    <col min="2611" max="2612" width="8.42578125" style="223" customWidth="1"/>
    <col min="2613" max="2613" width="12.7109375" style="223" customWidth="1"/>
    <col min="2614" max="2614" width="6.28515625" style="223" bestFit="1" customWidth="1"/>
    <col min="2615" max="2616" width="8.42578125" style="223" customWidth="1"/>
    <col min="2617" max="2617" width="10.5703125" style="223" bestFit="1" customWidth="1"/>
    <col min="2618" max="2618" width="10.140625" style="223" bestFit="1" customWidth="1"/>
    <col min="2619" max="2619" width="9.7109375" style="223" bestFit="1" customWidth="1"/>
    <col min="2620" max="2620" width="6.28515625" style="223" bestFit="1" customWidth="1"/>
    <col min="2621" max="2621" width="10.5703125" style="223" bestFit="1" customWidth="1"/>
    <col min="2622" max="2622" width="6.42578125" style="223" customWidth="1"/>
    <col min="2623" max="2623" width="12.42578125" style="223" customWidth="1"/>
    <col min="2624" max="2624" width="7.42578125" style="223" customWidth="1"/>
    <col min="2625" max="2625" width="10.5703125" style="223" bestFit="1" customWidth="1"/>
    <col min="2626" max="2626" width="7.42578125" style="223" customWidth="1"/>
    <col min="2627" max="2627" width="11.7109375" style="223" customWidth="1"/>
    <col min="2628" max="2628" width="6.28515625" style="223" customWidth="1"/>
    <col min="2629" max="2629" width="10.5703125" style="223" bestFit="1" customWidth="1"/>
    <col min="2630" max="2630" width="7.42578125" style="223" customWidth="1"/>
    <col min="2631" max="2631" width="10.42578125" style="223" customWidth="1"/>
    <col min="2632" max="2632" width="15.7109375" style="223" bestFit="1" customWidth="1"/>
    <col min="2633" max="2633" width="14.28515625" style="223" customWidth="1"/>
    <col min="2634" max="2635" width="7.42578125" style="223" customWidth="1"/>
    <col min="2636" max="2636" width="9" style="223" customWidth="1"/>
    <col min="2637" max="2637" width="11.42578125" style="223" customWidth="1"/>
    <col min="2638" max="2816" width="9.140625" style="223"/>
    <col min="2817" max="2817" width="3.85546875" style="223" customWidth="1"/>
    <col min="2818" max="2818" width="23" style="223" customWidth="1"/>
    <col min="2819" max="2819" width="5.42578125" style="223" customWidth="1"/>
    <col min="2820" max="2820" width="7.28515625" style="223" customWidth="1"/>
    <col min="2821" max="2821" width="9.7109375" style="223" customWidth="1"/>
    <col min="2822" max="2822" width="6.85546875" style="223" customWidth="1"/>
    <col min="2823" max="2823" width="6.140625" style="223" customWidth="1"/>
    <col min="2824" max="2824" width="7.7109375" style="223" customWidth="1"/>
    <col min="2825" max="2825" width="6.140625" style="223" customWidth="1"/>
    <col min="2826" max="2830" width="8.140625" style="223" customWidth="1"/>
    <col min="2831" max="2832" width="9.7109375" style="223" customWidth="1"/>
    <col min="2833" max="2836" width="6.140625" style="223" customWidth="1"/>
    <col min="2837" max="2840" width="10.28515625" style="223" customWidth="1"/>
    <col min="2841" max="2842" width="12" style="223" customWidth="1"/>
    <col min="2843" max="2843" width="12.42578125" style="223" customWidth="1"/>
    <col min="2844" max="2844" width="12.28515625" style="223" customWidth="1"/>
    <col min="2845" max="2845" width="9.28515625" style="223" customWidth="1"/>
    <col min="2846" max="2851" width="11.7109375" style="223" customWidth="1"/>
    <col min="2852" max="2852" width="13.85546875" style="223" customWidth="1"/>
    <col min="2853" max="2853" width="11.7109375" style="223" customWidth="1"/>
    <col min="2854" max="2854" width="15.42578125" style="223" customWidth="1"/>
    <col min="2855" max="2855" width="11.28515625" style="223" customWidth="1"/>
    <col min="2856" max="2857" width="6.140625" style="223" customWidth="1"/>
    <col min="2858" max="2858" width="8.42578125" style="223" bestFit="1" customWidth="1"/>
    <col min="2859" max="2860" width="8.7109375" style="223" customWidth="1"/>
    <col min="2861" max="2861" width="12.7109375" style="223" bestFit="1" customWidth="1"/>
    <col min="2862" max="2862" width="6.5703125" style="223" customWidth="1"/>
    <col min="2863" max="2863" width="12.28515625" style="223" customWidth="1"/>
    <col min="2864" max="2864" width="6.140625" style="223" customWidth="1"/>
    <col min="2865" max="2865" width="13" style="223" customWidth="1"/>
    <col min="2866" max="2866" width="8.28515625" style="223" bestFit="1" customWidth="1"/>
    <col min="2867" max="2868" width="8.42578125" style="223" customWidth="1"/>
    <col min="2869" max="2869" width="12.7109375" style="223" customWidth="1"/>
    <col min="2870" max="2870" width="6.28515625" style="223" bestFit="1" customWidth="1"/>
    <col min="2871" max="2872" width="8.42578125" style="223" customWidth="1"/>
    <col min="2873" max="2873" width="10.5703125" style="223" bestFit="1" customWidth="1"/>
    <col min="2874" max="2874" width="10.140625" style="223" bestFit="1" customWidth="1"/>
    <col min="2875" max="2875" width="9.7109375" style="223" bestFit="1" customWidth="1"/>
    <col min="2876" max="2876" width="6.28515625" style="223" bestFit="1" customWidth="1"/>
    <col min="2877" max="2877" width="10.5703125" style="223" bestFit="1" customWidth="1"/>
    <col min="2878" max="2878" width="6.42578125" style="223" customWidth="1"/>
    <col min="2879" max="2879" width="12.42578125" style="223" customWidth="1"/>
    <col min="2880" max="2880" width="7.42578125" style="223" customWidth="1"/>
    <col min="2881" max="2881" width="10.5703125" style="223" bestFit="1" customWidth="1"/>
    <col min="2882" max="2882" width="7.42578125" style="223" customWidth="1"/>
    <col min="2883" max="2883" width="11.7109375" style="223" customWidth="1"/>
    <col min="2884" max="2884" width="6.28515625" style="223" customWidth="1"/>
    <col min="2885" max="2885" width="10.5703125" style="223" bestFit="1" customWidth="1"/>
    <col min="2886" max="2886" width="7.42578125" style="223" customWidth="1"/>
    <col min="2887" max="2887" width="10.42578125" style="223" customWidth="1"/>
    <col min="2888" max="2888" width="15.7109375" style="223" bestFit="1" customWidth="1"/>
    <col min="2889" max="2889" width="14.28515625" style="223" customWidth="1"/>
    <col min="2890" max="2891" width="7.42578125" style="223" customWidth="1"/>
    <col min="2892" max="2892" width="9" style="223" customWidth="1"/>
    <col min="2893" max="2893" width="11.42578125" style="223" customWidth="1"/>
    <col min="2894" max="3072" width="9.140625" style="223"/>
    <col min="3073" max="3073" width="3.85546875" style="223" customWidth="1"/>
    <col min="3074" max="3074" width="23" style="223" customWidth="1"/>
    <col min="3075" max="3075" width="5.42578125" style="223" customWidth="1"/>
    <col min="3076" max="3076" width="7.28515625" style="223" customWidth="1"/>
    <col min="3077" max="3077" width="9.7109375" style="223" customWidth="1"/>
    <col min="3078" max="3078" width="6.85546875" style="223" customWidth="1"/>
    <col min="3079" max="3079" width="6.140625" style="223" customWidth="1"/>
    <col min="3080" max="3080" width="7.7109375" style="223" customWidth="1"/>
    <col min="3081" max="3081" width="6.140625" style="223" customWidth="1"/>
    <col min="3082" max="3086" width="8.140625" style="223" customWidth="1"/>
    <col min="3087" max="3088" width="9.7109375" style="223" customWidth="1"/>
    <col min="3089" max="3092" width="6.140625" style="223" customWidth="1"/>
    <col min="3093" max="3096" width="10.28515625" style="223" customWidth="1"/>
    <col min="3097" max="3098" width="12" style="223" customWidth="1"/>
    <col min="3099" max="3099" width="12.42578125" style="223" customWidth="1"/>
    <col min="3100" max="3100" width="12.28515625" style="223" customWidth="1"/>
    <col min="3101" max="3101" width="9.28515625" style="223" customWidth="1"/>
    <col min="3102" max="3107" width="11.7109375" style="223" customWidth="1"/>
    <col min="3108" max="3108" width="13.85546875" style="223" customWidth="1"/>
    <col min="3109" max="3109" width="11.7109375" style="223" customWidth="1"/>
    <col min="3110" max="3110" width="15.42578125" style="223" customWidth="1"/>
    <col min="3111" max="3111" width="11.28515625" style="223" customWidth="1"/>
    <col min="3112" max="3113" width="6.140625" style="223" customWidth="1"/>
    <col min="3114" max="3114" width="8.42578125" style="223" bestFit="1" customWidth="1"/>
    <col min="3115" max="3116" width="8.7109375" style="223" customWidth="1"/>
    <col min="3117" max="3117" width="12.7109375" style="223" bestFit="1" customWidth="1"/>
    <col min="3118" max="3118" width="6.5703125" style="223" customWidth="1"/>
    <col min="3119" max="3119" width="12.28515625" style="223" customWidth="1"/>
    <col min="3120" max="3120" width="6.140625" style="223" customWidth="1"/>
    <col min="3121" max="3121" width="13" style="223" customWidth="1"/>
    <col min="3122" max="3122" width="8.28515625" style="223" bestFit="1" customWidth="1"/>
    <col min="3123" max="3124" width="8.42578125" style="223" customWidth="1"/>
    <col min="3125" max="3125" width="12.7109375" style="223" customWidth="1"/>
    <col min="3126" max="3126" width="6.28515625" style="223" bestFit="1" customWidth="1"/>
    <col min="3127" max="3128" width="8.42578125" style="223" customWidth="1"/>
    <col min="3129" max="3129" width="10.5703125" style="223" bestFit="1" customWidth="1"/>
    <col min="3130" max="3130" width="10.140625" style="223" bestFit="1" customWidth="1"/>
    <col min="3131" max="3131" width="9.7109375" style="223" bestFit="1" customWidth="1"/>
    <col min="3132" max="3132" width="6.28515625" style="223" bestFit="1" customWidth="1"/>
    <col min="3133" max="3133" width="10.5703125" style="223" bestFit="1" customWidth="1"/>
    <col min="3134" max="3134" width="6.42578125" style="223" customWidth="1"/>
    <col min="3135" max="3135" width="12.42578125" style="223" customWidth="1"/>
    <col min="3136" max="3136" width="7.42578125" style="223" customWidth="1"/>
    <col min="3137" max="3137" width="10.5703125" style="223" bestFit="1" customWidth="1"/>
    <col min="3138" max="3138" width="7.42578125" style="223" customWidth="1"/>
    <col min="3139" max="3139" width="11.7109375" style="223" customWidth="1"/>
    <col min="3140" max="3140" width="6.28515625" style="223" customWidth="1"/>
    <col min="3141" max="3141" width="10.5703125" style="223" bestFit="1" customWidth="1"/>
    <col min="3142" max="3142" width="7.42578125" style="223" customWidth="1"/>
    <col min="3143" max="3143" width="10.42578125" style="223" customWidth="1"/>
    <col min="3144" max="3144" width="15.7109375" style="223" bestFit="1" customWidth="1"/>
    <col min="3145" max="3145" width="14.28515625" style="223" customWidth="1"/>
    <col min="3146" max="3147" width="7.42578125" style="223" customWidth="1"/>
    <col min="3148" max="3148" width="9" style="223" customWidth="1"/>
    <col min="3149" max="3149" width="11.42578125" style="223" customWidth="1"/>
    <col min="3150" max="3328" width="9.140625" style="223"/>
    <col min="3329" max="3329" width="3.85546875" style="223" customWidth="1"/>
    <col min="3330" max="3330" width="23" style="223" customWidth="1"/>
    <col min="3331" max="3331" width="5.42578125" style="223" customWidth="1"/>
    <col min="3332" max="3332" width="7.28515625" style="223" customWidth="1"/>
    <col min="3333" max="3333" width="9.7109375" style="223" customWidth="1"/>
    <col min="3334" max="3334" width="6.85546875" style="223" customWidth="1"/>
    <col min="3335" max="3335" width="6.140625" style="223" customWidth="1"/>
    <col min="3336" max="3336" width="7.7109375" style="223" customWidth="1"/>
    <col min="3337" max="3337" width="6.140625" style="223" customWidth="1"/>
    <col min="3338" max="3342" width="8.140625" style="223" customWidth="1"/>
    <col min="3343" max="3344" width="9.7109375" style="223" customWidth="1"/>
    <col min="3345" max="3348" width="6.140625" style="223" customWidth="1"/>
    <col min="3349" max="3352" width="10.28515625" style="223" customWidth="1"/>
    <col min="3353" max="3354" width="12" style="223" customWidth="1"/>
    <col min="3355" max="3355" width="12.42578125" style="223" customWidth="1"/>
    <col min="3356" max="3356" width="12.28515625" style="223" customWidth="1"/>
    <col min="3357" max="3357" width="9.28515625" style="223" customWidth="1"/>
    <col min="3358" max="3363" width="11.7109375" style="223" customWidth="1"/>
    <col min="3364" max="3364" width="13.85546875" style="223" customWidth="1"/>
    <col min="3365" max="3365" width="11.7109375" style="223" customWidth="1"/>
    <col min="3366" max="3366" width="15.42578125" style="223" customWidth="1"/>
    <col min="3367" max="3367" width="11.28515625" style="223" customWidth="1"/>
    <col min="3368" max="3369" width="6.140625" style="223" customWidth="1"/>
    <col min="3370" max="3370" width="8.42578125" style="223" bestFit="1" customWidth="1"/>
    <col min="3371" max="3372" width="8.7109375" style="223" customWidth="1"/>
    <col min="3373" max="3373" width="12.7109375" style="223" bestFit="1" customWidth="1"/>
    <col min="3374" max="3374" width="6.5703125" style="223" customWidth="1"/>
    <col min="3375" max="3375" width="12.28515625" style="223" customWidth="1"/>
    <col min="3376" max="3376" width="6.140625" style="223" customWidth="1"/>
    <col min="3377" max="3377" width="13" style="223" customWidth="1"/>
    <col min="3378" max="3378" width="8.28515625" style="223" bestFit="1" customWidth="1"/>
    <col min="3379" max="3380" width="8.42578125" style="223" customWidth="1"/>
    <col min="3381" max="3381" width="12.7109375" style="223" customWidth="1"/>
    <col min="3382" max="3382" width="6.28515625" style="223" bestFit="1" customWidth="1"/>
    <col min="3383" max="3384" width="8.42578125" style="223" customWidth="1"/>
    <col min="3385" max="3385" width="10.5703125" style="223" bestFit="1" customWidth="1"/>
    <col min="3386" max="3386" width="10.140625" style="223" bestFit="1" customWidth="1"/>
    <col min="3387" max="3387" width="9.7109375" style="223" bestFit="1" customWidth="1"/>
    <col min="3388" max="3388" width="6.28515625" style="223" bestFit="1" customWidth="1"/>
    <col min="3389" max="3389" width="10.5703125" style="223" bestFit="1" customWidth="1"/>
    <col min="3390" max="3390" width="6.42578125" style="223" customWidth="1"/>
    <col min="3391" max="3391" width="12.42578125" style="223" customWidth="1"/>
    <col min="3392" max="3392" width="7.42578125" style="223" customWidth="1"/>
    <col min="3393" max="3393" width="10.5703125" style="223" bestFit="1" customWidth="1"/>
    <col min="3394" max="3394" width="7.42578125" style="223" customWidth="1"/>
    <col min="3395" max="3395" width="11.7109375" style="223" customWidth="1"/>
    <col min="3396" max="3396" width="6.28515625" style="223" customWidth="1"/>
    <col min="3397" max="3397" width="10.5703125" style="223" bestFit="1" customWidth="1"/>
    <col min="3398" max="3398" width="7.42578125" style="223" customWidth="1"/>
    <col min="3399" max="3399" width="10.42578125" style="223" customWidth="1"/>
    <col min="3400" max="3400" width="15.7109375" style="223" bestFit="1" customWidth="1"/>
    <col min="3401" max="3401" width="14.28515625" style="223" customWidth="1"/>
    <col min="3402" max="3403" width="7.42578125" style="223" customWidth="1"/>
    <col min="3404" max="3404" width="9" style="223" customWidth="1"/>
    <col min="3405" max="3405" width="11.42578125" style="223" customWidth="1"/>
    <col min="3406" max="3584" width="9.140625" style="223"/>
    <col min="3585" max="3585" width="3.85546875" style="223" customWidth="1"/>
    <col min="3586" max="3586" width="23" style="223" customWidth="1"/>
    <col min="3587" max="3587" width="5.42578125" style="223" customWidth="1"/>
    <col min="3588" max="3588" width="7.28515625" style="223" customWidth="1"/>
    <col min="3589" max="3589" width="9.7109375" style="223" customWidth="1"/>
    <col min="3590" max="3590" width="6.85546875" style="223" customWidth="1"/>
    <col min="3591" max="3591" width="6.140625" style="223" customWidth="1"/>
    <col min="3592" max="3592" width="7.7109375" style="223" customWidth="1"/>
    <col min="3593" max="3593" width="6.140625" style="223" customWidth="1"/>
    <col min="3594" max="3598" width="8.140625" style="223" customWidth="1"/>
    <col min="3599" max="3600" width="9.7109375" style="223" customWidth="1"/>
    <col min="3601" max="3604" width="6.140625" style="223" customWidth="1"/>
    <col min="3605" max="3608" width="10.28515625" style="223" customWidth="1"/>
    <col min="3609" max="3610" width="12" style="223" customWidth="1"/>
    <col min="3611" max="3611" width="12.42578125" style="223" customWidth="1"/>
    <col min="3612" max="3612" width="12.28515625" style="223" customWidth="1"/>
    <col min="3613" max="3613" width="9.28515625" style="223" customWidth="1"/>
    <col min="3614" max="3619" width="11.7109375" style="223" customWidth="1"/>
    <col min="3620" max="3620" width="13.85546875" style="223" customWidth="1"/>
    <col min="3621" max="3621" width="11.7109375" style="223" customWidth="1"/>
    <col min="3622" max="3622" width="15.42578125" style="223" customWidth="1"/>
    <col min="3623" max="3623" width="11.28515625" style="223" customWidth="1"/>
    <col min="3624" max="3625" width="6.140625" style="223" customWidth="1"/>
    <col min="3626" max="3626" width="8.42578125" style="223" bestFit="1" customWidth="1"/>
    <col min="3627" max="3628" width="8.7109375" style="223" customWidth="1"/>
    <col min="3629" max="3629" width="12.7109375" style="223" bestFit="1" customWidth="1"/>
    <col min="3630" max="3630" width="6.5703125" style="223" customWidth="1"/>
    <col min="3631" max="3631" width="12.28515625" style="223" customWidth="1"/>
    <col min="3632" max="3632" width="6.140625" style="223" customWidth="1"/>
    <col min="3633" max="3633" width="13" style="223" customWidth="1"/>
    <col min="3634" max="3634" width="8.28515625" style="223" bestFit="1" customWidth="1"/>
    <col min="3635" max="3636" width="8.42578125" style="223" customWidth="1"/>
    <col min="3637" max="3637" width="12.7109375" style="223" customWidth="1"/>
    <col min="3638" max="3638" width="6.28515625" style="223" bestFit="1" customWidth="1"/>
    <col min="3639" max="3640" width="8.42578125" style="223" customWidth="1"/>
    <col min="3641" max="3641" width="10.5703125" style="223" bestFit="1" customWidth="1"/>
    <col min="3642" max="3642" width="10.140625" style="223" bestFit="1" customWidth="1"/>
    <col min="3643" max="3643" width="9.7109375" style="223" bestFit="1" customWidth="1"/>
    <col min="3644" max="3644" width="6.28515625" style="223" bestFit="1" customWidth="1"/>
    <col min="3645" max="3645" width="10.5703125" style="223" bestFit="1" customWidth="1"/>
    <col min="3646" max="3646" width="6.42578125" style="223" customWidth="1"/>
    <col min="3647" max="3647" width="12.42578125" style="223" customWidth="1"/>
    <col min="3648" max="3648" width="7.42578125" style="223" customWidth="1"/>
    <col min="3649" max="3649" width="10.5703125" style="223" bestFit="1" customWidth="1"/>
    <col min="3650" max="3650" width="7.42578125" style="223" customWidth="1"/>
    <col min="3651" max="3651" width="11.7109375" style="223" customWidth="1"/>
    <col min="3652" max="3652" width="6.28515625" style="223" customWidth="1"/>
    <col min="3653" max="3653" width="10.5703125" style="223" bestFit="1" customWidth="1"/>
    <col min="3654" max="3654" width="7.42578125" style="223" customWidth="1"/>
    <col min="3655" max="3655" width="10.42578125" style="223" customWidth="1"/>
    <col min="3656" max="3656" width="15.7109375" style="223" bestFit="1" customWidth="1"/>
    <col min="3657" max="3657" width="14.28515625" style="223" customWidth="1"/>
    <col min="3658" max="3659" width="7.42578125" style="223" customWidth="1"/>
    <col min="3660" max="3660" width="9" style="223" customWidth="1"/>
    <col min="3661" max="3661" width="11.42578125" style="223" customWidth="1"/>
    <col min="3662" max="3840" width="9.140625" style="223"/>
    <col min="3841" max="3841" width="3.85546875" style="223" customWidth="1"/>
    <col min="3842" max="3842" width="23" style="223" customWidth="1"/>
    <col min="3843" max="3843" width="5.42578125" style="223" customWidth="1"/>
    <col min="3844" max="3844" width="7.28515625" style="223" customWidth="1"/>
    <col min="3845" max="3845" width="9.7109375" style="223" customWidth="1"/>
    <col min="3846" max="3846" width="6.85546875" style="223" customWidth="1"/>
    <col min="3847" max="3847" width="6.140625" style="223" customWidth="1"/>
    <col min="3848" max="3848" width="7.7109375" style="223" customWidth="1"/>
    <col min="3849" max="3849" width="6.140625" style="223" customWidth="1"/>
    <col min="3850" max="3854" width="8.140625" style="223" customWidth="1"/>
    <col min="3855" max="3856" width="9.7109375" style="223" customWidth="1"/>
    <col min="3857" max="3860" width="6.140625" style="223" customWidth="1"/>
    <col min="3861" max="3864" width="10.28515625" style="223" customWidth="1"/>
    <col min="3865" max="3866" width="12" style="223" customWidth="1"/>
    <col min="3867" max="3867" width="12.42578125" style="223" customWidth="1"/>
    <col min="3868" max="3868" width="12.28515625" style="223" customWidth="1"/>
    <col min="3869" max="3869" width="9.28515625" style="223" customWidth="1"/>
    <col min="3870" max="3875" width="11.7109375" style="223" customWidth="1"/>
    <col min="3876" max="3876" width="13.85546875" style="223" customWidth="1"/>
    <col min="3877" max="3877" width="11.7109375" style="223" customWidth="1"/>
    <col min="3878" max="3878" width="15.42578125" style="223" customWidth="1"/>
    <col min="3879" max="3879" width="11.28515625" style="223" customWidth="1"/>
    <col min="3880" max="3881" width="6.140625" style="223" customWidth="1"/>
    <col min="3882" max="3882" width="8.42578125" style="223" bestFit="1" customWidth="1"/>
    <col min="3883" max="3884" width="8.7109375" style="223" customWidth="1"/>
    <col min="3885" max="3885" width="12.7109375" style="223" bestFit="1" customWidth="1"/>
    <col min="3886" max="3886" width="6.5703125" style="223" customWidth="1"/>
    <col min="3887" max="3887" width="12.28515625" style="223" customWidth="1"/>
    <col min="3888" max="3888" width="6.140625" style="223" customWidth="1"/>
    <col min="3889" max="3889" width="13" style="223" customWidth="1"/>
    <col min="3890" max="3890" width="8.28515625" style="223" bestFit="1" customWidth="1"/>
    <col min="3891" max="3892" width="8.42578125" style="223" customWidth="1"/>
    <col min="3893" max="3893" width="12.7109375" style="223" customWidth="1"/>
    <col min="3894" max="3894" width="6.28515625" style="223" bestFit="1" customWidth="1"/>
    <col min="3895" max="3896" width="8.42578125" style="223" customWidth="1"/>
    <col min="3897" max="3897" width="10.5703125" style="223" bestFit="1" customWidth="1"/>
    <col min="3898" max="3898" width="10.140625" style="223" bestFit="1" customWidth="1"/>
    <col min="3899" max="3899" width="9.7109375" style="223" bestFit="1" customWidth="1"/>
    <col min="3900" max="3900" width="6.28515625" style="223" bestFit="1" customWidth="1"/>
    <col min="3901" max="3901" width="10.5703125" style="223" bestFit="1" customWidth="1"/>
    <col min="3902" max="3902" width="6.42578125" style="223" customWidth="1"/>
    <col min="3903" max="3903" width="12.42578125" style="223" customWidth="1"/>
    <col min="3904" max="3904" width="7.42578125" style="223" customWidth="1"/>
    <col min="3905" max="3905" width="10.5703125" style="223" bestFit="1" customWidth="1"/>
    <col min="3906" max="3906" width="7.42578125" style="223" customWidth="1"/>
    <col min="3907" max="3907" width="11.7109375" style="223" customWidth="1"/>
    <col min="3908" max="3908" width="6.28515625" style="223" customWidth="1"/>
    <col min="3909" max="3909" width="10.5703125" style="223" bestFit="1" customWidth="1"/>
    <col min="3910" max="3910" width="7.42578125" style="223" customWidth="1"/>
    <col min="3911" max="3911" width="10.42578125" style="223" customWidth="1"/>
    <col min="3912" max="3912" width="15.7109375" style="223" bestFit="1" customWidth="1"/>
    <col min="3913" max="3913" width="14.28515625" style="223" customWidth="1"/>
    <col min="3914" max="3915" width="7.42578125" style="223" customWidth="1"/>
    <col min="3916" max="3916" width="9" style="223" customWidth="1"/>
    <col min="3917" max="3917" width="11.42578125" style="223" customWidth="1"/>
    <col min="3918" max="4096" width="9.140625" style="223"/>
    <col min="4097" max="4097" width="3.85546875" style="223" customWidth="1"/>
    <col min="4098" max="4098" width="23" style="223" customWidth="1"/>
    <col min="4099" max="4099" width="5.42578125" style="223" customWidth="1"/>
    <col min="4100" max="4100" width="7.28515625" style="223" customWidth="1"/>
    <col min="4101" max="4101" width="9.7109375" style="223" customWidth="1"/>
    <col min="4102" max="4102" width="6.85546875" style="223" customWidth="1"/>
    <col min="4103" max="4103" width="6.140625" style="223" customWidth="1"/>
    <col min="4104" max="4104" width="7.7109375" style="223" customWidth="1"/>
    <col min="4105" max="4105" width="6.140625" style="223" customWidth="1"/>
    <col min="4106" max="4110" width="8.140625" style="223" customWidth="1"/>
    <col min="4111" max="4112" width="9.7109375" style="223" customWidth="1"/>
    <col min="4113" max="4116" width="6.140625" style="223" customWidth="1"/>
    <col min="4117" max="4120" width="10.28515625" style="223" customWidth="1"/>
    <col min="4121" max="4122" width="12" style="223" customWidth="1"/>
    <col min="4123" max="4123" width="12.42578125" style="223" customWidth="1"/>
    <col min="4124" max="4124" width="12.28515625" style="223" customWidth="1"/>
    <col min="4125" max="4125" width="9.28515625" style="223" customWidth="1"/>
    <col min="4126" max="4131" width="11.7109375" style="223" customWidth="1"/>
    <col min="4132" max="4132" width="13.85546875" style="223" customWidth="1"/>
    <col min="4133" max="4133" width="11.7109375" style="223" customWidth="1"/>
    <col min="4134" max="4134" width="15.42578125" style="223" customWidth="1"/>
    <col min="4135" max="4135" width="11.28515625" style="223" customWidth="1"/>
    <col min="4136" max="4137" width="6.140625" style="223" customWidth="1"/>
    <col min="4138" max="4138" width="8.42578125" style="223" bestFit="1" customWidth="1"/>
    <col min="4139" max="4140" width="8.7109375" style="223" customWidth="1"/>
    <col min="4141" max="4141" width="12.7109375" style="223" bestFit="1" customWidth="1"/>
    <col min="4142" max="4142" width="6.5703125" style="223" customWidth="1"/>
    <col min="4143" max="4143" width="12.28515625" style="223" customWidth="1"/>
    <col min="4144" max="4144" width="6.140625" style="223" customWidth="1"/>
    <col min="4145" max="4145" width="13" style="223" customWidth="1"/>
    <col min="4146" max="4146" width="8.28515625" style="223" bestFit="1" customWidth="1"/>
    <col min="4147" max="4148" width="8.42578125" style="223" customWidth="1"/>
    <col min="4149" max="4149" width="12.7109375" style="223" customWidth="1"/>
    <col min="4150" max="4150" width="6.28515625" style="223" bestFit="1" customWidth="1"/>
    <col min="4151" max="4152" width="8.42578125" style="223" customWidth="1"/>
    <col min="4153" max="4153" width="10.5703125" style="223" bestFit="1" customWidth="1"/>
    <col min="4154" max="4154" width="10.140625" style="223" bestFit="1" customWidth="1"/>
    <col min="4155" max="4155" width="9.7109375" style="223" bestFit="1" customWidth="1"/>
    <col min="4156" max="4156" width="6.28515625" style="223" bestFit="1" customWidth="1"/>
    <col min="4157" max="4157" width="10.5703125" style="223" bestFit="1" customWidth="1"/>
    <col min="4158" max="4158" width="6.42578125" style="223" customWidth="1"/>
    <col min="4159" max="4159" width="12.42578125" style="223" customWidth="1"/>
    <col min="4160" max="4160" width="7.42578125" style="223" customWidth="1"/>
    <col min="4161" max="4161" width="10.5703125" style="223" bestFit="1" customWidth="1"/>
    <col min="4162" max="4162" width="7.42578125" style="223" customWidth="1"/>
    <col min="4163" max="4163" width="11.7109375" style="223" customWidth="1"/>
    <col min="4164" max="4164" width="6.28515625" style="223" customWidth="1"/>
    <col min="4165" max="4165" width="10.5703125" style="223" bestFit="1" customWidth="1"/>
    <col min="4166" max="4166" width="7.42578125" style="223" customWidth="1"/>
    <col min="4167" max="4167" width="10.42578125" style="223" customWidth="1"/>
    <col min="4168" max="4168" width="15.7109375" style="223" bestFit="1" customWidth="1"/>
    <col min="4169" max="4169" width="14.28515625" style="223" customWidth="1"/>
    <col min="4170" max="4171" width="7.42578125" style="223" customWidth="1"/>
    <col min="4172" max="4172" width="9" style="223" customWidth="1"/>
    <col min="4173" max="4173" width="11.42578125" style="223" customWidth="1"/>
    <col min="4174" max="4352" width="9.140625" style="223"/>
    <col min="4353" max="4353" width="3.85546875" style="223" customWidth="1"/>
    <col min="4354" max="4354" width="23" style="223" customWidth="1"/>
    <col min="4355" max="4355" width="5.42578125" style="223" customWidth="1"/>
    <col min="4356" max="4356" width="7.28515625" style="223" customWidth="1"/>
    <col min="4357" max="4357" width="9.7109375" style="223" customWidth="1"/>
    <col min="4358" max="4358" width="6.85546875" style="223" customWidth="1"/>
    <col min="4359" max="4359" width="6.140625" style="223" customWidth="1"/>
    <col min="4360" max="4360" width="7.7109375" style="223" customWidth="1"/>
    <col min="4361" max="4361" width="6.140625" style="223" customWidth="1"/>
    <col min="4362" max="4366" width="8.140625" style="223" customWidth="1"/>
    <col min="4367" max="4368" width="9.7109375" style="223" customWidth="1"/>
    <col min="4369" max="4372" width="6.140625" style="223" customWidth="1"/>
    <col min="4373" max="4376" width="10.28515625" style="223" customWidth="1"/>
    <col min="4377" max="4378" width="12" style="223" customWidth="1"/>
    <col min="4379" max="4379" width="12.42578125" style="223" customWidth="1"/>
    <col min="4380" max="4380" width="12.28515625" style="223" customWidth="1"/>
    <col min="4381" max="4381" width="9.28515625" style="223" customWidth="1"/>
    <col min="4382" max="4387" width="11.7109375" style="223" customWidth="1"/>
    <col min="4388" max="4388" width="13.85546875" style="223" customWidth="1"/>
    <col min="4389" max="4389" width="11.7109375" style="223" customWidth="1"/>
    <col min="4390" max="4390" width="15.42578125" style="223" customWidth="1"/>
    <col min="4391" max="4391" width="11.28515625" style="223" customWidth="1"/>
    <col min="4392" max="4393" width="6.140625" style="223" customWidth="1"/>
    <col min="4394" max="4394" width="8.42578125" style="223" bestFit="1" customWidth="1"/>
    <col min="4395" max="4396" width="8.7109375" style="223" customWidth="1"/>
    <col min="4397" max="4397" width="12.7109375" style="223" bestFit="1" customWidth="1"/>
    <col min="4398" max="4398" width="6.5703125" style="223" customWidth="1"/>
    <col min="4399" max="4399" width="12.28515625" style="223" customWidth="1"/>
    <col min="4400" max="4400" width="6.140625" style="223" customWidth="1"/>
    <col min="4401" max="4401" width="13" style="223" customWidth="1"/>
    <col min="4402" max="4402" width="8.28515625" style="223" bestFit="1" customWidth="1"/>
    <col min="4403" max="4404" width="8.42578125" style="223" customWidth="1"/>
    <col min="4405" max="4405" width="12.7109375" style="223" customWidth="1"/>
    <col min="4406" max="4406" width="6.28515625" style="223" bestFit="1" customWidth="1"/>
    <col min="4407" max="4408" width="8.42578125" style="223" customWidth="1"/>
    <col min="4409" max="4409" width="10.5703125" style="223" bestFit="1" customWidth="1"/>
    <col min="4410" max="4410" width="10.140625" style="223" bestFit="1" customWidth="1"/>
    <col min="4411" max="4411" width="9.7109375" style="223" bestFit="1" customWidth="1"/>
    <col min="4412" max="4412" width="6.28515625" style="223" bestFit="1" customWidth="1"/>
    <col min="4413" max="4413" width="10.5703125" style="223" bestFit="1" customWidth="1"/>
    <col min="4414" max="4414" width="6.42578125" style="223" customWidth="1"/>
    <col min="4415" max="4415" width="12.42578125" style="223" customWidth="1"/>
    <col min="4416" max="4416" width="7.42578125" style="223" customWidth="1"/>
    <col min="4417" max="4417" width="10.5703125" style="223" bestFit="1" customWidth="1"/>
    <col min="4418" max="4418" width="7.42578125" style="223" customWidth="1"/>
    <col min="4419" max="4419" width="11.7109375" style="223" customWidth="1"/>
    <col min="4420" max="4420" width="6.28515625" style="223" customWidth="1"/>
    <col min="4421" max="4421" width="10.5703125" style="223" bestFit="1" customWidth="1"/>
    <col min="4422" max="4422" width="7.42578125" style="223" customWidth="1"/>
    <col min="4423" max="4423" width="10.42578125" style="223" customWidth="1"/>
    <col min="4424" max="4424" width="15.7109375" style="223" bestFit="1" customWidth="1"/>
    <col min="4425" max="4425" width="14.28515625" style="223" customWidth="1"/>
    <col min="4426" max="4427" width="7.42578125" style="223" customWidth="1"/>
    <col min="4428" max="4428" width="9" style="223" customWidth="1"/>
    <col min="4429" max="4429" width="11.42578125" style="223" customWidth="1"/>
    <col min="4430" max="4608" width="9.140625" style="223"/>
    <col min="4609" max="4609" width="3.85546875" style="223" customWidth="1"/>
    <col min="4610" max="4610" width="23" style="223" customWidth="1"/>
    <col min="4611" max="4611" width="5.42578125" style="223" customWidth="1"/>
    <col min="4612" max="4612" width="7.28515625" style="223" customWidth="1"/>
    <col min="4613" max="4613" width="9.7109375" style="223" customWidth="1"/>
    <col min="4614" max="4614" width="6.85546875" style="223" customWidth="1"/>
    <col min="4615" max="4615" width="6.140625" style="223" customWidth="1"/>
    <col min="4616" max="4616" width="7.7109375" style="223" customWidth="1"/>
    <col min="4617" max="4617" width="6.140625" style="223" customWidth="1"/>
    <col min="4618" max="4622" width="8.140625" style="223" customWidth="1"/>
    <col min="4623" max="4624" width="9.7109375" style="223" customWidth="1"/>
    <col min="4625" max="4628" width="6.140625" style="223" customWidth="1"/>
    <col min="4629" max="4632" width="10.28515625" style="223" customWidth="1"/>
    <col min="4633" max="4634" width="12" style="223" customWidth="1"/>
    <col min="4635" max="4635" width="12.42578125" style="223" customWidth="1"/>
    <col min="4636" max="4636" width="12.28515625" style="223" customWidth="1"/>
    <col min="4637" max="4637" width="9.28515625" style="223" customWidth="1"/>
    <col min="4638" max="4643" width="11.7109375" style="223" customWidth="1"/>
    <col min="4644" max="4644" width="13.85546875" style="223" customWidth="1"/>
    <col min="4645" max="4645" width="11.7109375" style="223" customWidth="1"/>
    <col min="4646" max="4646" width="15.42578125" style="223" customWidth="1"/>
    <col min="4647" max="4647" width="11.28515625" style="223" customWidth="1"/>
    <col min="4648" max="4649" width="6.140625" style="223" customWidth="1"/>
    <col min="4650" max="4650" width="8.42578125" style="223" bestFit="1" customWidth="1"/>
    <col min="4651" max="4652" width="8.7109375" style="223" customWidth="1"/>
    <col min="4653" max="4653" width="12.7109375" style="223" bestFit="1" customWidth="1"/>
    <col min="4654" max="4654" width="6.5703125" style="223" customWidth="1"/>
    <col min="4655" max="4655" width="12.28515625" style="223" customWidth="1"/>
    <col min="4656" max="4656" width="6.140625" style="223" customWidth="1"/>
    <col min="4657" max="4657" width="13" style="223" customWidth="1"/>
    <col min="4658" max="4658" width="8.28515625" style="223" bestFit="1" customWidth="1"/>
    <col min="4659" max="4660" width="8.42578125" style="223" customWidth="1"/>
    <col min="4661" max="4661" width="12.7109375" style="223" customWidth="1"/>
    <col min="4662" max="4662" width="6.28515625" style="223" bestFit="1" customWidth="1"/>
    <col min="4663" max="4664" width="8.42578125" style="223" customWidth="1"/>
    <col min="4665" max="4665" width="10.5703125" style="223" bestFit="1" customWidth="1"/>
    <col min="4666" max="4666" width="10.140625" style="223" bestFit="1" customWidth="1"/>
    <col min="4667" max="4667" width="9.7109375" style="223" bestFit="1" customWidth="1"/>
    <col min="4668" max="4668" width="6.28515625" style="223" bestFit="1" customWidth="1"/>
    <col min="4669" max="4669" width="10.5703125" style="223" bestFit="1" customWidth="1"/>
    <col min="4670" max="4670" width="6.42578125" style="223" customWidth="1"/>
    <col min="4671" max="4671" width="12.42578125" style="223" customWidth="1"/>
    <col min="4672" max="4672" width="7.42578125" style="223" customWidth="1"/>
    <col min="4673" max="4673" width="10.5703125" style="223" bestFit="1" customWidth="1"/>
    <col min="4674" max="4674" width="7.42578125" style="223" customWidth="1"/>
    <col min="4675" max="4675" width="11.7109375" style="223" customWidth="1"/>
    <col min="4676" max="4676" width="6.28515625" style="223" customWidth="1"/>
    <col min="4677" max="4677" width="10.5703125" style="223" bestFit="1" customWidth="1"/>
    <col min="4678" max="4678" width="7.42578125" style="223" customWidth="1"/>
    <col min="4679" max="4679" width="10.42578125" style="223" customWidth="1"/>
    <col min="4680" max="4680" width="15.7109375" style="223" bestFit="1" customWidth="1"/>
    <col min="4681" max="4681" width="14.28515625" style="223" customWidth="1"/>
    <col min="4682" max="4683" width="7.42578125" style="223" customWidth="1"/>
    <col min="4684" max="4684" width="9" style="223" customWidth="1"/>
    <col min="4685" max="4685" width="11.42578125" style="223" customWidth="1"/>
    <col min="4686" max="4864" width="9.140625" style="223"/>
    <col min="4865" max="4865" width="3.85546875" style="223" customWidth="1"/>
    <col min="4866" max="4866" width="23" style="223" customWidth="1"/>
    <col min="4867" max="4867" width="5.42578125" style="223" customWidth="1"/>
    <col min="4868" max="4868" width="7.28515625" style="223" customWidth="1"/>
    <col min="4869" max="4869" width="9.7109375" style="223" customWidth="1"/>
    <col min="4870" max="4870" width="6.85546875" style="223" customWidth="1"/>
    <col min="4871" max="4871" width="6.140625" style="223" customWidth="1"/>
    <col min="4872" max="4872" width="7.7109375" style="223" customWidth="1"/>
    <col min="4873" max="4873" width="6.140625" style="223" customWidth="1"/>
    <col min="4874" max="4878" width="8.140625" style="223" customWidth="1"/>
    <col min="4879" max="4880" width="9.7109375" style="223" customWidth="1"/>
    <col min="4881" max="4884" width="6.140625" style="223" customWidth="1"/>
    <col min="4885" max="4888" width="10.28515625" style="223" customWidth="1"/>
    <col min="4889" max="4890" width="12" style="223" customWidth="1"/>
    <col min="4891" max="4891" width="12.42578125" style="223" customWidth="1"/>
    <col min="4892" max="4892" width="12.28515625" style="223" customWidth="1"/>
    <col min="4893" max="4893" width="9.28515625" style="223" customWidth="1"/>
    <col min="4894" max="4899" width="11.7109375" style="223" customWidth="1"/>
    <col min="4900" max="4900" width="13.85546875" style="223" customWidth="1"/>
    <col min="4901" max="4901" width="11.7109375" style="223" customWidth="1"/>
    <col min="4902" max="4902" width="15.42578125" style="223" customWidth="1"/>
    <col min="4903" max="4903" width="11.28515625" style="223" customWidth="1"/>
    <col min="4904" max="4905" width="6.140625" style="223" customWidth="1"/>
    <col min="4906" max="4906" width="8.42578125" style="223" bestFit="1" customWidth="1"/>
    <col min="4907" max="4908" width="8.7109375" style="223" customWidth="1"/>
    <col min="4909" max="4909" width="12.7109375" style="223" bestFit="1" customWidth="1"/>
    <col min="4910" max="4910" width="6.5703125" style="223" customWidth="1"/>
    <col min="4911" max="4911" width="12.28515625" style="223" customWidth="1"/>
    <col min="4912" max="4912" width="6.140625" style="223" customWidth="1"/>
    <col min="4913" max="4913" width="13" style="223" customWidth="1"/>
    <col min="4914" max="4914" width="8.28515625" style="223" bestFit="1" customWidth="1"/>
    <col min="4915" max="4916" width="8.42578125" style="223" customWidth="1"/>
    <col min="4917" max="4917" width="12.7109375" style="223" customWidth="1"/>
    <col min="4918" max="4918" width="6.28515625" style="223" bestFit="1" customWidth="1"/>
    <col min="4919" max="4920" width="8.42578125" style="223" customWidth="1"/>
    <col min="4921" max="4921" width="10.5703125" style="223" bestFit="1" customWidth="1"/>
    <col min="4922" max="4922" width="10.140625" style="223" bestFit="1" customWidth="1"/>
    <col min="4923" max="4923" width="9.7109375" style="223" bestFit="1" customWidth="1"/>
    <col min="4924" max="4924" width="6.28515625" style="223" bestFit="1" customWidth="1"/>
    <col min="4925" max="4925" width="10.5703125" style="223" bestFit="1" customWidth="1"/>
    <col min="4926" max="4926" width="6.42578125" style="223" customWidth="1"/>
    <col min="4927" max="4927" width="12.42578125" style="223" customWidth="1"/>
    <col min="4928" max="4928" width="7.42578125" style="223" customWidth="1"/>
    <col min="4929" max="4929" width="10.5703125" style="223" bestFit="1" customWidth="1"/>
    <col min="4930" max="4930" width="7.42578125" style="223" customWidth="1"/>
    <col min="4931" max="4931" width="11.7109375" style="223" customWidth="1"/>
    <col min="4932" max="4932" width="6.28515625" style="223" customWidth="1"/>
    <col min="4933" max="4933" width="10.5703125" style="223" bestFit="1" customWidth="1"/>
    <col min="4934" max="4934" width="7.42578125" style="223" customWidth="1"/>
    <col min="4935" max="4935" width="10.42578125" style="223" customWidth="1"/>
    <col min="4936" max="4936" width="15.7109375" style="223" bestFit="1" customWidth="1"/>
    <col min="4937" max="4937" width="14.28515625" style="223" customWidth="1"/>
    <col min="4938" max="4939" width="7.42578125" style="223" customWidth="1"/>
    <col min="4940" max="4940" width="9" style="223" customWidth="1"/>
    <col min="4941" max="4941" width="11.42578125" style="223" customWidth="1"/>
    <col min="4942" max="5120" width="9.140625" style="223"/>
    <col min="5121" max="5121" width="3.85546875" style="223" customWidth="1"/>
    <col min="5122" max="5122" width="23" style="223" customWidth="1"/>
    <col min="5123" max="5123" width="5.42578125" style="223" customWidth="1"/>
    <col min="5124" max="5124" width="7.28515625" style="223" customWidth="1"/>
    <col min="5125" max="5125" width="9.7109375" style="223" customWidth="1"/>
    <col min="5126" max="5126" width="6.85546875" style="223" customWidth="1"/>
    <col min="5127" max="5127" width="6.140625" style="223" customWidth="1"/>
    <col min="5128" max="5128" width="7.7109375" style="223" customWidth="1"/>
    <col min="5129" max="5129" width="6.140625" style="223" customWidth="1"/>
    <col min="5130" max="5134" width="8.140625" style="223" customWidth="1"/>
    <col min="5135" max="5136" width="9.7109375" style="223" customWidth="1"/>
    <col min="5137" max="5140" width="6.140625" style="223" customWidth="1"/>
    <col min="5141" max="5144" width="10.28515625" style="223" customWidth="1"/>
    <col min="5145" max="5146" width="12" style="223" customWidth="1"/>
    <col min="5147" max="5147" width="12.42578125" style="223" customWidth="1"/>
    <col min="5148" max="5148" width="12.28515625" style="223" customWidth="1"/>
    <col min="5149" max="5149" width="9.28515625" style="223" customWidth="1"/>
    <col min="5150" max="5155" width="11.7109375" style="223" customWidth="1"/>
    <col min="5156" max="5156" width="13.85546875" style="223" customWidth="1"/>
    <col min="5157" max="5157" width="11.7109375" style="223" customWidth="1"/>
    <col min="5158" max="5158" width="15.42578125" style="223" customWidth="1"/>
    <col min="5159" max="5159" width="11.28515625" style="223" customWidth="1"/>
    <col min="5160" max="5161" width="6.140625" style="223" customWidth="1"/>
    <col min="5162" max="5162" width="8.42578125" style="223" bestFit="1" customWidth="1"/>
    <col min="5163" max="5164" width="8.7109375" style="223" customWidth="1"/>
    <col min="5165" max="5165" width="12.7109375" style="223" bestFit="1" customWidth="1"/>
    <col min="5166" max="5166" width="6.5703125" style="223" customWidth="1"/>
    <col min="5167" max="5167" width="12.28515625" style="223" customWidth="1"/>
    <col min="5168" max="5168" width="6.140625" style="223" customWidth="1"/>
    <col min="5169" max="5169" width="13" style="223" customWidth="1"/>
    <col min="5170" max="5170" width="8.28515625" style="223" bestFit="1" customWidth="1"/>
    <col min="5171" max="5172" width="8.42578125" style="223" customWidth="1"/>
    <col min="5173" max="5173" width="12.7109375" style="223" customWidth="1"/>
    <col min="5174" max="5174" width="6.28515625" style="223" bestFit="1" customWidth="1"/>
    <col min="5175" max="5176" width="8.42578125" style="223" customWidth="1"/>
    <col min="5177" max="5177" width="10.5703125" style="223" bestFit="1" customWidth="1"/>
    <col min="5178" max="5178" width="10.140625" style="223" bestFit="1" customWidth="1"/>
    <col min="5179" max="5179" width="9.7109375" style="223" bestFit="1" customWidth="1"/>
    <col min="5180" max="5180" width="6.28515625" style="223" bestFit="1" customWidth="1"/>
    <col min="5181" max="5181" width="10.5703125" style="223" bestFit="1" customWidth="1"/>
    <col min="5182" max="5182" width="6.42578125" style="223" customWidth="1"/>
    <col min="5183" max="5183" width="12.42578125" style="223" customWidth="1"/>
    <col min="5184" max="5184" width="7.42578125" style="223" customWidth="1"/>
    <col min="5185" max="5185" width="10.5703125" style="223" bestFit="1" customWidth="1"/>
    <col min="5186" max="5186" width="7.42578125" style="223" customWidth="1"/>
    <col min="5187" max="5187" width="11.7109375" style="223" customWidth="1"/>
    <col min="5188" max="5188" width="6.28515625" style="223" customWidth="1"/>
    <col min="5189" max="5189" width="10.5703125" style="223" bestFit="1" customWidth="1"/>
    <col min="5190" max="5190" width="7.42578125" style="223" customWidth="1"/>
    <col min="5191" max="5191" width="10.42578125" style="223" customWidth="1"/>
    <col min="5192" max="5192" width="15.7109375" style="223" bestFit="1" customWidth="1"/>
    <col min="5193" max="5193" width="14.28515625" style="223" customWidth="1"/>
    <col min="5194" max="5195" width="7.42578125" style="223" customWidth="1"/>
    <col min="5196" max="5196" width="9" style="223" customWidth="1"/>
    <col min="5197" max="5197" width="11.42578125" style="223" customWidth="1"/>
    <col min="5198" max="5376" width="9.140625" style="223"/>
    <col min="5377" max="5377" width="3.85546875" style="223" customWidth="1"/>
    <col min="5378" max="5378" width="23" style="223" customWidth="1"/>
    <col min="5379" max="5379" width="5.42578125" style="223" customWidth="1"/>
    <col min="5380" max="5380" width="7.28515625" style="223" customWidth="1"/>
    <col min="5381" max="5381" width="9.7109375" style="223" customWidth="1"/>
    <col min="5382" max="5382" width="6.85546875" style="223" customWidth="1"/>
    <col min="5383" max="5383" width="6.140625" style="223" customWidth="1"/>
    <col min="5384" max="5384" width="7.7109375" style="223" customWidth="1"/>
    <col min="5385" max="5385" width="6.140625" style="223" customWidth="1"/>
    <col min="5386" max="5390" width="8.140625" style="223" customWidth="1"/>
    <col min="5391" max="5392" width="9.7109375" style="223" customWidth="1"/>
    <col min="5393" max="5396" width="6.140625" style="223" customWidth="1"/>
    <col min="5397" max="5400" width="10.28515625" style="223" customWidth="1"/>
    <col min="5401" max="5402" width="12" style="223" customWidth="1"/>
    <col min="5403" max="5403" width="12.42578125" style="223" customWidth="1"/>
    <col min="5404" max="5404" width="12.28515625" style="223" customWidth="1"/>
    <col min="5405" max="5405" width="9.28515625" style="223" customWidth="1"/>
    <col min="5406" max="5411" width="11.7109375" style="223" customWidth="1"/>
    <col min="5412" max="5412" width="13.85546875" style="223" customWidth="1"/>
    <col min="5413" max="5413" width="11.7109375" style="223" customWidth="1"/>
    <col min="5414" max="5414" width="15.42578125" style="223" customWidth="1"/>
    <col min="5415" max="5415" width="11.28515625" style="223" customWidth="1"/>
    <col min="5416" max="5417" width="6.140625" style="223" customWidth="1"/>
    <col min="5418" max="5418" width="8.42578125" style="223" bestFit="1" customWidth="1"/>
    <col min="5419" max="5420" width="8.7109375" style="223" customWidth="1"/>
    <col min="5421" max="5421" width="12.7109375" style="223" bestFit="1" customWidth="1"/>
    <col min="5422" max="5422" width="6.5703125" style="223" customWidth="1"/>
    <col min="5423" max="5423" width="12.28515625" style="223" customWidth="1"/>
    <col min="5424" max="5424" width="6.140625" style="223" customWidth="1"/>
    <col min="5425" max="5425" width="13" style="223" customWidth="1"/>
    <col min="5426" max="5426" width="8.28515625" style="223" bestFit="1" customWidth="1"/>
    <col min="5427" max="5428" width="8.42578125" style="223" customWidth="1"/>
    <col min="5429" max="5429" width="12.7109375" style="223" customWidth="1"/>
    <col min="5430" max="5430" width="6.28515625" style="223" bestFit="1" customWidth="1"/>
    <col min="5431" max="5432" width="8.42578125" style="223" customWidth="1"/>
    <col min="5433" max="5433" width="10.5703125" style="223" bestFit="1" customWidth="1"/>
    <col min="5434" max="5434" width="10.140625" style="223" bestFit="1" customWidth="1"/>
    <col min="5435" max="5435" width="9.7109375" style="223" bestFit="1" customWidth="1"/>
    <col min="5436" max="5436" width="6.28515625" style="223" bestFit="1" customWidth="1"/>
    <col min="5437" max="5437" width="10.5703125" style="223" bestFit="1" customWidth="1"/>
    <col min="5438" max="5438" width="6.42578125" style="223" customWidth="1"/>
    <col min="5439" max="5439" width="12.42578125" style="223" customWidth="1"/>
    <col min="5440" max="5440" width="7.42578125" style="223" customWidth="1"/>
    <col min="5441" max="5441" width="10.5703125" style="223" bestFit="1" customWidth="1"/>
    <col min="5442" max="5442" width="7.42578125" style="223" customWidth="1"/>
    <col min="5443" max="5443" width="11.7109375" style="223" customWidth="1"/>
    <col min="5444" max="5444" width="6.28515625" style="223" customWidth="1"/>
    <col min="5445" max="5445" width="10.5703125" style="223" bestFit="1" customWidth="1"/>
    <col min="5446" max="5446" width="7.42578125" style="223" customWidth="1"/>
    <col min="5447" max="5447" width="10.42578125" style="223" customWidth="1"/>
    <col min="5448" max="5448" width="15.7109375" style="223" bestFit="1" customWidth="1"/>
    <col min="5449" max="5449" width="14.28515625" style="223" customWidth="1"/>
    <col min="5450" max="5451" width="7.42578125" style="223" customWidth="1"/>
    <col min="5452" max="5452" width="9" style="223" customWidth="1"/>
    <col min="5453" max="5453" width="11.42578125" style="223" customWidth="1"/>
    <col min="5454" max="5632" width="9.140625" style="223"/>
    <col min="5633" max="5633" width="3.85546875" style="223" customWidth="1"/>
    <col min="5634" max="5634" width="23" style="223" customWidth="1"/>
    <col min="5635" max="5635" width="5.42578125" style="223" customWidth="1"/>
    <col min="5636" max="5636" width="7.28515625" style="223" customWidth="1"/>
    <col min="5637" max="5637" width="9.7109375" style="223" customWidth="1"/>
    <col min="5638" max="5638" width="6.85546875" style="223" customWidth="1"/>
    <col min="5639" max="5639" width="6.140625" style="223" customWidth="1"/>
    <col min="5640" max="5640" width="7.7109375" style="223" customWidth="1"/>
    <col min="5641" max="5641" width="6.140625" style="223" customWidth="1"/>
    <col min="5642" max="5646" width="8.140625" style="223" customWidth="1"/>
    <col min="5647" max="5648" width="9.7109375" style="223" customWidth="1"/>
    <col min="5649" max="5652" width="6.140625" style="223" customWidth="1"/>
    <col min="5653" max="5656" width="10.28515625" style="223" customWidth="1"/>
    <col min="5657" max="5658" width="12" style="223" customWidth="1"/>
    <col min="5659" max="5659" width="12.42578125" style="223" customWidth="1"/>
    <col min="5660" max="5660" width="12.28515625" style="223" customWidth="1"/>
    <col min="5661" max="5661" width="9.28515625" style="223" customWidth="1"/>
    <col min="5662" max="5667" width="11.7109375" style="223" customWidth="1"/>
    <col min="5668" max="5668" width="13.85546875" style="223" customWidth="1"/>
    <col min="5669" max="5669" width="11.7109375" style="223" customWidth="1"/>
    <col min="5670" max="5670" width="15.42578125" style="223" customWidth="1"/>
    <col min="5671" max="5671" width="11.28515625" style="223" customWidth="1"/>
    <col min="5672" max="5673" width="6.140625" style="223" customWidth="1"/>
    <col min="5674" max="5674" width="8.42578125" style="223" bestFit="1" customWidth="1"/>
    <col min="5675" max="5676" width="8.7109375" style="223" customWidth="1"/>
    <col min="5677" max="5677" width="12.7109375" style="223" bestFit="1" customWidth="1"/>
    <col min="5678" max="5678" width="6.5703125" style="223" customWidth="1"/>
    <col min="5679" max="5679" width="12.28515625" style="223" customWidth="1"/>
    <col min="5680" max="5680" width="6.140625" style="223" customWidth="1"/>
    <col min="5681" max="5681" width="13" style="223" customWidth="1"/>
    <col min="5682" max="5682" width="8.28515625" style="223" bestFit="1" customWidth="1"/>
    <col min="5683" max="5684" width="8.42578125" style="223" customWidth="1"/>
    <col min="5685" max="5685" width="12.7109375" style="223" customWidth="1"/>
    <col min="5686" max="5686" width="6.28515625" style="223" bestFit="1" customWidth="1"/>
    <col min="5687" max="5688" width="8.42578125" style="223" customWidth="1"/>
    <col min="5689" max="5689" width="10.5703125" style="223" bestFit="1" customWidth="1"/>
    <col min="5690" max="5690" width="10.140625" style="223" bestFit="1" customWidth="1"/>
    <col min="5691" max="5691" width="9.7109375" style="223" bestFit="1" customWidth="1"/>
    <col min="5692" max="5692" width="6.28515625" style="223" bestFit="1" customWidth="1"/>
    <col min="5693" max="5693" width="10.5703125" style="223" bestFit="1" customWidth="1"/>
    <col min="5694" max="5694" width="6.42578125" style="223" customWidth="1"/>
    <col min="5695" max="5695" width="12.42578125" style="223" customWidth="1"/>
    <col min="5696" max="5696" width="7.42578125" style="223" customWidth="1"/>
    <col min="5697" max="5697" width="10.5703125" style="223" bestFit="1" customWidth="1"/>
    <col min="5698" max="5698" width="7.42578125" style="223" customWidth="1"/>
    <col min="5699" max="5699" width="11.7109375" style="223" customWidth="1"/>
    <col min="5700" max="5700" width="6.28515625" style="223" customWidth="1"/>
    <col min="5701" max="5701" width="10.5703125" style="223" bestFit="1" customWidth="1"/>
    <col min="5702" max="5702" width="7.42578125" style="223" customWidth="1"/>
    <col min="5703" max="5703" width="10.42578125" style="223" customWidth="1"/>
    <col min="5704" max="5704" width="15.7109375" style="223" bestFit="1" customWidth="1"/>
    <col min="5705" max="5705" width="14.28515625" style="223" customWidth="1"/>
    <col min="5706" max="5707" width="7.42578125" style="223" customWidth="1"/>
    <col min="5708" max="5708" width="9" style="223" customWidth="1"/>
    <col min="5709" max="5709" width="11.42578125" style="223" customWidth="1"/>
    <col min="5710" max="5888" width="9.140625" style="223"/>
    <col min="5889" max="5889" width="3.85546875" style="223" customWidth="1"/>
    <col min="5890" max="5890" width="23" style="223" customWidth="1"/>
    <col min="5891" max="5891" width="5.42578125" style="223" customWidth="1"/>
    <col min="5892" max="5892" width="7.28515625" style="223" customWidth="1"/>
    <col min="5893" max="5893" width="9.7109375" style="223" customWidth="1"/>
    <col min="5894" max="5894" width="6.85546875" style="223" customWidth="1"/>
    <col min="5895" max="5895" width="6.140625" style="223" customWidth="1"/>
    <col min="5896" max="5896" width="7.7109375" style="223" customWidth="1"/>
    <col min="5897" max="5897" width="6.140625" style="223" customWidth="1"/>
    <col min="5898" max="5902" width="8.140625" style="223" customWidth="1"/>
    <col min="5903" max="5904" width="9.7109375" style="223" customWidth="1"/>
    <col min="5905" max="5908" width="6.140625" style="223" customWidth="1"/>
    <col min="5909" max="5912" width="10.28515625" style="223" customWidth="1"/>
    <col min="5913" max="5914" width="12" style="223" customWidth="1"/>
    <col min="5915" max="5915" width="12.42578125" style="223" customWidth="1"/>
    <col min="5916" max="5916" width="12.28515625" style="223" customWidth="1"/>
    <col min="5917" max="5917" width="9.28515625" style="223" customWidth="1"/>
    <col min="5918" max="5923" width="11.7109375" style="223" customWidth="1"/>
    <col min="5924" max="5924" width="13.85546875" style="223" customWidth="1"/>
    <col min="5925" max="5925" width="11.7109375" style="223" customWidth="1"/>
    <col min="5926" max="5926" width="15.42578125" style="223" customWidth="1"/>
    <col min="5927" max="5927" width="11.28515625" style="223" customWidth="1"/>
    <col min="5928" max="5929" width="6.140625" style="223" customWidth="1"/>
    <col min="5930" max="5930" width="8.42578125" style="223" bestFit="1" customWidth="1"/>
    <col min="5931" max="5932" width="8.7109375" style="223" customWidth="1"/>
    <col min="5933" max="5933" width="12.7109375" style="223" bestFit="1" customWidth="1"/>
    <col min="5934" max="5934" width="6.5703125" style="223" customWidth="1"/>
    <col min="5935" max="5935" width="12.28515625" style="223" customWidth="1"/>
    <col min="5936" max="5936" width="6.140625" style="223" customWidth="1"/>
    <col min="5937" max="5937" width="13" style="223" customWidth="1"/>
    <col min="5938" max="5938" width="8.28515625" style="223" bestFit="1" customWidth="1"/>
    <col min="5939" max="5940" width="8.42578125" style="223" customWidth="1"/>
    <col min="5941" max="5941" width="12.7109375" style="223" customWidth="1"/>
    <col min="5942" max="5942" width="6.28515625" style="223" bestFit="1" customWidth="1"/>
    <col min="5943" max="5944" width="8.42578125" style="223" customWidth="1"/>
    <col min="5945" max="5945" width="10.5703125" style="223" bestFit="1" customWidth="1"/>
    <col min="5946" max="5946" width="10.140625" style="223" bestFit="1" customWidth="1"/>
    <col min="5947" max="5947" width="9.7109375" style="223" bestFit="1" customWidth="1"/>
    <col min="5948" max="5948" width="6.28515625" style="223" bestFit="1" customWidth="1"/>
    <col min="5949" max="5949" width="10.5703125" style="223" bestFit="1" customWidth="1"/>
    <col min="5950" max="5950" width="6.42578125" style="223" customWidth="1"/>
    <col min="5951" max="5951" width="12.42578125" style="223" customWidth="1"/>
    <col min="5952" max="5952" width="7.42578125" style="223" customWidth="1"/>
    <col min="5953" max="5953" width="10.5703125" style="223" bestFit="1" customWidth="1"/>
    <col min="5954" max="5954" width="7.42578125" style="223" customWidth="1"/>
    <col min="5955" max="5955" width="11.7109375" style="223" customWidth="1"/>
    <col min="5956" max="5956" width="6.28515625" style="223" customWidth="1"/>
    <col min="5957" max="5957" width="10.5703125" style="223" bestFit="1" customWidth="1"/>
    <col min="5958" max="5958" width="7.42578125" style="223" customWidth="1"/>
    <col min="5959" max="5959" width="10.42578125" style="223" customWidth="1"/>
    <col min="5960" max="5960" width="15.7109375" style="223" bestFit="1" customWidth="1"/>
    <col min="5961" max="5961" width="14.28515625" style="223" customWidth="1"/>
    <col min="5962" max="5963" width="7.42578125" style="223" customWidth="1"/>
    <col min="5964" max="5964" width="9" style="223" customWidth="1"/>
    <col min="5965" max="5965" width="11.42578125" style="223" customWidth="1"/>
    <col min="5966" max="6144" width="9.140625" style="223"/>
    <col min="6145" max="6145" width="3.85546875" style="223" customWidth="1"/>
    <col min="6146" max="6146" width="23" style="223" customWidth="1"/>
    <col min="6147" max="6147" width="5.42578125" style="223" customWidth="1"/>
    <col min="6148" max="6148" width="7.28515625" style="223" customWidth="1"/>
    <col min="6149" max="6149" width="9.7109375" style="223" customWidth="1"/>
    <col min="6150" max="6150" width="6.85546875" style="223" customWidth="1"/>
    <col min="6151" max="6151" width="6.140625" style="223" customWidth="1"/>
    <col min="6152" max="6152" width="7.7109375" style="223" customWidth="1"/>
    <col min="6153" max="6153" width="6.140625" style="223" customWidth="1"/>
    <col min="6154" max="6158" width="8.140625" style="223" customWidth="1"/>
    <col min="6159" max="6160" width="9.7109375" style="223" customWidth="1"/>
    <col min="6161" max="6164" width="6.140625" style="223" customWidth="1"/>
    <col min="6165" max="6168" width="10.28515625" style="223" customWidth="1"/>
    <col min="6169" max="6170" width="12" style="223" customWidth="1"/>
    <col min="6171" max="6171" width="12.42578125" style="223" customWidth="1"/>
    <col min="6172" max="6172" width="12.28515625" style="223" customWidth="1"/>
    <col min="6173" max="6173" width="9.28515625" style="223" customWidth="1"/>
    <col min="6174" max="6179" width="11.7109375" style="223" customWidth="1"/>
    <col min="6180" max="6180" width="13.85546875" style="223" customWidth="1"/>
    <col min="6181" max="6181" width="11.7109375" style="223" customWidth="1"/>
    <col min="6182" max="6182" width="15.42578125" style="223" customWidth="1"/>
    <col min="6183" max="6183" width="11.28515625" style="223" customWidth="1"/>
    <col min="6184" max="6185" width="6.140625" style="223" customWidth="1"/>
    <col min="6186" max="6186" width="8.42578125" style="223" bestFit="1" customWidth="1"/>
    <col min="6187" max="6188" width="8.7109375" style="223" customWidth="1"/>
    <col min="6189" max="6189" width="12.7109375" style="223" bestFit="1" customWidth="1"/>
    <col min="6190" max="6190" width="6.5703125" style="223" customWidth="1"/>
    <col min="6191" max="6191" width="12.28515625" style="223" customWidth="1"/>
    <col min="6192" max="6192" width="6.140625" style="223" customWidth="1"/>
    <col min="6193" max="6193" width="13" style="223" customWidth="1"/>
    <col min="6194" max="6194" width="8.28515625" style="223" bestFit="1" customWidth="1"/>
    <col min="6195" max="6196" width="8.42578125" style="223" customWidth="1"/>
    <col min="6197" max="6197" width="12.7109375" style="223" customWidth="1"/>
    <col min="6198" max="6198" width="6.28515625" style="223" bestFit="1" customWidth="1"/>
    <col min="6199" max="6200" width="8.42578125" style="223" customWidth="1"/>
    <col min="6201" max="6201" width="10.5703125" style="223" bestFit="1" customWidth="1"/>
    <col min="6202" max="6202" width="10.140625" style="223" bestFit="1" customWidth="1"/>
    <col min="6203" max="6203" width="9.7109375" style="223" bestFit="1" customWidth="1"/>
    <col min="6204" max="6204" width="6.28515625" style="223" bestFit="1" customWidth="1"/>
    <col min="6205" max="6205" width="10.5703125" style="223" bestFit="1" customWidth="1"/>
    <col min="6206" max="6206" width="6.42578125" style="223" customWidth="1"/>
    <col min="6207" max="6207" width="12.42578125" style="223" customWidth="1"/>
    <col min="6208" max="6208" width="7.42578125" style="223" customWidth="1"/>
    <col min="6209" max="6209" width="10.5703125" style="223" bestFit="1" customWidth="1"/>
    <col min="6210" max="6210" width="7.42578125" style="223" customWidth="1"/>
    <col min="6211" max="6211" width="11.7109375" style="223" customWidth="1"/>
    <col min="6212" max="6212" width="6.28515625" style="223" customWidth="1"/>
    <col min="6213" max="6213" width="10.5703125" style="223" bestFit="1" customWidth="1"/>
    <col min="6214" max="6214" width="7.42578125" style="223" customWidth="1"/>
    <col min="6215" max="6215" width="10.42578125" style="223" customWidth="1"/>
    <col min="6216" max="6216" width="15.7109375" style="223" bestFit="1" customWidth="1"/>
    <col min="6217" max="6217" width="14.28515625" style="223" customWidth="1"/>
    <col min="6218" max="6219" width="7.42578125" style="223" customWidth="1"/>
    <col min="6220" max="6220" width="9" style="223" customWidth="1"/>
    <col min="6221" max="6221" width="11.42578125" style="223" customWidth="1"/>
    <col min="6222" max="6400" width="9.140625" style="223"/>
    <col min="6401" max="6401" width="3.85546875" style="223" customWidth="1"/>
    <col min="6402" max="6402" width="23" style="223" customWidth="1"/>
    <col min="6403" max="6403" width="5.42578125" style="223" customWidth="1"/>
    <col min="6404" max="6404" width="7.28515625" style="223" customWidth="1"/>
    <col min="6405" max="6405" width="9.7109375" style="223" customWidth="1"/>
    <col min="6406" max="6406" width="6.85546875" style="223" customWidth="1"/>
    <col min="6407" max="6407" width="6.140625" style="223" customWidth="1"/>
    <col min="6408" max="6408" width="7.7109375" style="223" customWidth="1"/>
    <col min="6409" max="6409" width="6.140625" style="223" customWidth="1"/>
    <col min="6410" max="6414" width="8.140625" style="223" customWidth="1"/>
    <col min="6415" max="6416" width="9.7109375" style="223" customWidth="1"/>
    <col min="6417" max="6420" width="6.140625" style="223" customWidth="1"/>
    <col min="6421" max="6424" width="10.28515625" style="223" customWidth="1"/>
    <col min="6425" max="6426" width="12" style="223" customWidth="1"/>
    <col min="6427" max="6427" width="12.42578125" style="223" customWidth="1"/>
    <col min="6428" max="6428" width="12.28515625" style="223" customWidth="1"/>
    <col min="6429" max="6429" width="9.28515625" style="223" customWidth="1"/>
    <col min="6430" max="6435" width="11.7109375" style="223" customWidth="1"/>
    <col min="6436" max="6436" width="13.85546875" style="223" customWidth="1"/>
    <col min="6437" max="6437" width="11.7109375" style="223" customWidth="1"/>
    <col min="6438" max="6438" width="15.42578125" style="223" customWidth="1"/>
    <col min="6439" max="6439" width="11.28515625" style="223" customWidth="1"/>
    <col min="6440" max="6441" width="6.140625" style="223" customWidth="1"/>
    <col min="6442" max="6442" width="8.42578125" style="223" bestFit="1" customWidth="1"/>
    <col min="6443" max="6444" width="8.7109375" style="223" customWidth="1"/>
    <col min="6445" max="6445" width="12.7109375" style="223" bestFit="1" customWidth="1"/>
    <col min="6446" max="6446" width="6.5703125" style="223" customWidth="1"/>
    <col min="6447" max="6447" width="12.28515625" style="223" customWidth="1"/>
    <col min="6448" max="6448" width="6.140625" style="223" customWidth="1"/>
    <col min="6449" max="6449" width="13" style="223" customWidth="1"/>
    <col min="6450" max="6450" width="8.28515625" style="223" bestFit="1" customWidth="1"/>
    <col min="6451" max="6452" width="8.42578125" style="223" customWidth="1"/>
    <col min="6453" max="6453" width="12.7109375" style="223" customWidth="1"/>
    <col min="6454" max="6454" width="6.28515625" style="223" bestFit="1" customWidth="1"/>
    <col min="6455" max="6456" width="8.42578125" style="223" customWidth="1"/>
    <col min="6457" max="6457" width="10.5703125" style="223" bestFit="1" customWidth="1"/>
    <col min="6458" max="6458" width="10.140625" style="223" bestFit="1" customWidth="1"/>
    <col min="6459" max="6459" width="9.7109375" style="223" bestFit="1" customWidth="1"/>
    <col min="6460" max="6460" width="6.28515625" style="223" bestFit="1" customWidth="1"/>
    <col min="6461" max="6461" width="10.5703125" style="223" bestFit="1" customWidth="1"/>
    <col min="6462" max="6462" width="6.42578125" style="223" customWidth="1"/>
    <col min="6463" max="6463" width="12.42578125" style="223" customWidth="1"/>
    <col min="6464" max="6464" width="7.42578125" style="223" customWidth="1"/>
    <col min="6465" max="6465" width="10.5703125" style="223" bestFit="1" customWidth="1"/>
    <col min="6466" max="6466" width="7.42578125" style="223" customWidth="1"/>
    <col min="6467" max="6467" width="11.7109375" style="223" customWidth="1"/>
    <col min="6468" max="6468" width="6.28515625" style="223" customWidth="1"/>
    <col min="6469" max="6469" width="10.5703125" style="223" bestFit="1" customWidth="1"/>
    <col min="6470" max="6470" width="7.42578125" style="223" customWidth="1"/>
    <col min="6471" max="6471" width="10.42578125" style="223" customWidth="1"/>
    <col min="6472" max="6472" width="15.7109375" style="223" bestFit="1" customWidth="1"/>
    <col min="6473" max="6473" width="14.28515625" style="223" customWidth="1"/>
    <col min="6474" max="6475" width="7.42578125" style="223" customWidth="1"/>
    <col min="6476" max="6476" width="9" style="223" customWidth="1"/>
    <col min="6477" max="6477" width="11.42578125" style="223" customWidth="1"/>
    <col min="6478" max="6656" width="9.140625" style="223"/>
    <col min="6657" max="6657" width="3.85546875" style="223" customWidth="1"/>
    <col min="6658" max="6658" width="23" style="223" customWidth="1"/>
    <col min="6659" max="6659" width="5.42578125" style="223" customWidth="1"/>
    <col min="6660" max="6660" width="7.28515625" style="223" customWidth="1"/>
    <col min="6661" max="6661" width="9.7109375" style="223" customWidth="1"/>
    <col min="6662" max="6662" width="6.85546875" style="223" customWidth="1"/>
    <col min="6663" max="6663" width="6.140625" style="223" customWidth="1"/>
    <col min="6664" max="6664" width="7.7109375" style="223" customWidth="1"/>
    <col min="6665" max="6665" width="6.140625" style="223" customWidth="1"/>
    <col min="6666" max="6670" width="8.140625" style="223" customWidth="1"/>
    <col min="6671" max="6672" width="9.7109375" style="223" customWidth="1"/>
    <col min="6673" max="6676" width="6.140625" style="223" customWidth="1"/>
    <col min="6677" max="6680" width="10.28515625" style="223" customWidth="1"/>
    <col min="6681" max="6682" width="12" style="223" customWidth="1"/>
    <col min="6683" max="6683" width="12.42578125" style="223" customWidth="1"/>
    <col min="6684" max="6684" width="12.28515625" style="223" customWidth="1"/>
    <col min="6685" max="6685" width="9.28515625" style="223" customWidth="1"/>
    <col min="6686" max="6691" width="11.7109375" style="223" customWidth="1"/>
    <col min="6692" max="6692" width="13.85546875" style="223" customWidth="1"/>
    <col min="6693" max="6693" width="11.7109375" style="223" customWidth="1"/>
    <col min="6694" max="6694" width="15.42578125" style="223" customWidth="1"/>
    <col min="6695" max="6695" width="11.28515625" style="223" customWidth="1"/>
    <col min="6696" max="6697" width="6.140625" style="223" customWidth="1"/>
    <col min="6698" max="6698" width="8.42578125" style="223" bestFit="1" customWidth="1"/>
    <col min="6699" max="6700" width="8.7109375" style="223" customWidth="1"/>
    <col min="6701" max="6701" width="12.7109375" style="223" bestFit="1" customWidth="1"/>
    <col min="6702" max="6702" width="6.5703125" style="223" customWidth="1"/>
    <col min="6703" max="6703" width="12.28515625" style="223" customWidth="1"/>
    <col min="6704" max="6704" width="6.140625" style="223" customWidth="1"/>
    <col min="6705" max="6705" width="13" style="223" customWidth="1"/>
    <col min="6706" max="6706" width="8.28515625" style="223" bestFit="1" customWidth="1"/>
    <col min="6707" max="6708" width="8.42578125" style="223" customWidth="1"/>
    <col min="6709" max="6709" width="12.7109375" style="223" customWidth="1"/>
    <col min="6710" max="6710" width="6.28515625" style="223" bestFit="1" customWidth="1"/>
    <col min="6711" max="6712" width="8.42578125" style="223" customWidth="1"/>
    <col min="6713" max="6713" width="10.5703125" style="223" bestFit="1" customWidth="1"/>
    <col min="6714" max="6714" width="10.140625" style="223" bestFit="1" customWidth="1"/>
    <col min="6715" max="6715" width="9.7109375" style="223" bestFit="1" customWidth="1"/>
    <col min="6716" max="6716" width="6.28515625" style="223" bestFit="1" customWidth="1"/>
    <col min="6717" max="6717" width="10.5703125" style="223" bestFit="1" customWidth="1"/>
    <col min="6718" max="6718" width="6.42578125" style="223" customWidth="1"/>
    <col min="6719" max="6719" width="12.42578125" style="223" customWidth="1"/>
    <col min="6720" max="6720" width="7.42578125" style="223" customWidth="1"/>
    <col min="6721" max="6721" width="10.5703125" style="223" bestFit="1" customWidth="1"/>
    <col min="6722" max="6722" width="7.42578125" style="223" customWidth="1"/>
    <col min="6723" max="6723" width="11.7109375" style="223" customWidth="1"/>
    <col min="6724" max="6724" width="6.28515625" style="223" customWidth="1"/>
    <col min="6725" max="6725" width="10.5703125" style="223" bestFit="1" customWidth="1"/>
    <col min="6726" max="6726" width="7.42578125" style="223" customWidth="1"/>
    <col min="6727" max="6727" width="10.42578125" style="223" customWidth="1"/>
    <col min="6728" max="6728" width="15.7109375" style="223" bestFit="1" customWidth="1"/>
    <col min="6729" max="6729" width="14.28515625" style="223" customWidth="1"/>
    <col min="6730" max="6731" width="7.42578125" style="223" customWidth="1"/>
    <col min="6732" max="6732" width="9" style="223" customWidth="1"/>
    <col min="6733" max="6733" width="11.42578125" style="223" customWidth="1"/>
    <col min="6734" max="6912" width="9.140625" style="223"/>
    <col min="6913" max="6913" width="3.85546875" style="223" customWidth="1"/>
    <col min="6914" max="6914" width="23" style="223" customWidth="1"/>
    <col min="6915" max="6915" width="5.42578125" style="223" customWidth="1"/>
    <col min="6916" max="6916" width="7.28515625" style="223" customWidth="1"/>
    <col min="6917" max="6917" width="9.7109375" style="223" customWidth="1"/>
    <col min="6918" max="6918" width="6.85546875" style="223" customWidth="1"/>
    <col min="6919" max="6919" width="6.140625" style="223" customWidth="1"/>
    <col min="6920" max="6920" width="7.7109375" style="223" customWidth="1"/>
    <col min="6921" max="6921" width="6.140625" style="223" customWidth="1"/>
    <col min="6922" max="6926" width="8.140625" style="223" customWidth="1"/>
    <col min="6927" max="6928" width="9.7109375" style="223" customWidth="1"/>
    <col min="6929" max="6932" width="6.140625" style="223" customWidth="1"/>
    <col min="6933" max="6936" width="10.28515625" style="223" customWidth="1"/>
    <col min="6937" max="6938" width="12" style="223" customWidth="1"/>
    <col min="6939" max="6939" width="12.42578125" style="223" customWidth="1"/>
    <col min="6940" max="6940" width="12.28515625" style="223" customWidth="1"/>
    <col min="6941" max="6941" width="9.28515625" style="223" customWidth="1"/>
    <col min="6942" max="6947" width="11.7109375" style="223" customWidth="1"/>
    <col min="6948" max="6948" width="13.85546875" style="223" customWidth="1"/>
    <col min="6949" max="6949" width="11.7109375" style="223" customWidth="1"/>
    <col min="6950" max="6950" width="15.42578125" style="223" customWidth="1"/>
    <col min="6951" max="6951" width="11.28515625" style="223" customWidth="1"/>
    <col min="6952" max="6953" width="6.140625" style="223" customWidth="1"/>
    <col min="6954" max="6954" width="8.42578125" style="223" bestFit="1" customWidth="1"/>
    <col min="6955" max="6956" width="8.7109375" style="223" customWidth="1"/>
    <col min="6957" max="6957" width="12.7109375" style="223" bestFit="1" customWidth="1"/>
    <col min="6958" max="6958" width="6.5703125" style="223" customWidth="1"/>
    <col min="6959" max="6959" width="12.28515625" style="223" customWidth="1"/>
    <col min="6960" max="6960" width="6.140625" style="223" customWidth="1"/>
    <col min="6961" max="6961" width="13" style="223" customWidth="1"/>
    <col min="6962" max="6962" width="8.28515625" style="223" bestFit="1" customWidth="1"/>
    <col min="6963" max="6964" width="8.42578125" style="223" customWidth="1"/>
    <col min="6965" max="6965" width="12.7109375" style="223" customWidth="1"/>
    <col min="6966" max="6966" width="6.28515625" style="223" bestFit="1" customWidth="1"/>
    <col min="6967" max="6968" width="8.42578125" style="223" customWidth="1"/>
    <col min="6969" max="6969" width="10.5703125" style="223" bestFit="1" customWidth="1"/>
    <col min="6970" max="6970" width="10.140625" style="223" bestFit="1" customWidth="1"/>
    <col min="6971" max="6971" width="9.7109375" style="223" bestFit="1" customWidth="1"/>
    <col min="6972" max="6972" width="6.28515625" style="223" bestFit="1" customWidth="1"/>
    <col min="6973" max="6973" width="10.5703125" style="223" bestFit="1" customWidth="1"/>
    <col min="6974" max="6974" width="6.42578125" style="223" customWidth="1"/>
    <col min="6975" max="6975" width="12.42578125" style="223" customWidth="1"/>
    <col min="6976" max="6976" width="7.42578125" style="223" customWidth="1"/>
    <col min="6977" max="6977" width="10.5703125" style="223" bestFit="1" customWidth="1"/>
    <col min="6978" max="6978" width="7.42578125" style="223" customWidth="1"/>
    <col min="6979" max="6979" width="11.7109375" style="223" customWidth="1"/>
    <col min="6980" max="6980" width="6.28515625" style="223" customWidth="1"/>
    <col min="6981" max="6981" width="10.5703125" style="223" bestFit="1" customWidth="1"/>
    <col min="6982" max="6982" width="7.42578125" style="223" customWidth="1"/>
    <col min="6983" max="6983" width="10.42578125" style="223" customWidth="1"/>
    <col min="6984" max="6984" width="15.7109375" style="223" bestFit="1" customWidth="1"/>
    <col min="6985" max="6985" width="14.28515625" style="223" customWidth="1"/>
    <col min="6986" max="6987" width="7.42578125" style="223" customWidth="1"/>
    <col min="6988" max="6988" width="9" style="223" customWidth="1"/>
    <col min="6989" max="6989" width="11.42578125" style="223" customWidth="1"/>
    <col min="6990" max="7168" width="9.140625" style="223"/>
    <col min="7169" max="7169" width="3.85546875" style="223" customWidth="1"/>
    <col min="7170" max="7170" width="23" style="223" customWidth="1"/>
    <col min="7171" max="7171" width="5.42578125" style="223" customWidth="1"/>
    <col min="7172" max="7172" width="7.28515625" style="223" customWidth="1"/>
    <col min="7173" max="7173" width="9.7109375" style="223" customWidth="1"/>
    <col min="7174" max="7174" width="6.85546875" style="223" customWidth="1"/>
    <col min="7175" max="7175" width="6.140625" style="223" customWidth="1"/>
    <col min="7176" max="7176" width="7.7109375" style="223" customWidth="1"/>
    <col min="7177" max="7177" width="6.140625" style="223" customWidth="1"/>
    <col min="7178" max="7182" width="8.140625" style="223" customWidth="1"/>
    <col min="7183" max="7184" width="9.7109375" style="223" customWidth="1"/>
    <col min="7185" max="7188" width="6.140625" style="223" customWidth="1"/>
    <col min="7189" max="7192" width="10.28515625" style="223" customWidth="1"/>
    <col min="7193" max="7194" width="12" style="223" customWidth="1"/>
    <col min="7195" max="7195" width="12.42578125" style="223" customWidth="1"/>
    <col min="7196" max="7196" width="12.28515625" style="223" customWidth="1"/>
    <col min="7197" max="7197" width="9.28515625" style="223" customWidth="1"/>
    <col min="7198" max="7203" width="11.7109375" style="223" customWidth="1"/>
    <col min="7204" max="7204" width="13.85546875" style="223" customWidth="1"/>
    <col min="7205" max="7205" width="11.7109375" style="223" customWidth="1"/>
    <col min="7206" max="7206" width="15.42578125" style="223" customWidth="1"/>
    <col min="7207" max="7207" width="11.28515625" style="223" customWidth="1"/>
    <col min="7208" max="7209" width="6.140625" style="223" customWidth="1"/>
    <col min="7210" max="7210" width="8.42578125" style="223" bestFit="1" customWidth="1"/>
    <col min="7211" max="7212" width="8.7109375" style="223" customWidth="1"/>
    <col min="7213" max="7213" width="12.7109375" style="223" bestFit="1" customWidth="1"/>
    <col min="7214" max="7214" width="6.5703125" style="223" customWidth="1"/>
    <col min="7215" max="7215" width="12.28515625" style="223" customWidth="1"/>
    <col min="7216" max="7216" width="6.140625" style="223" customWidth="1"/>
    <col min="7217" max="7217" width="13" style="223" customWidth="1"/>
    <col min="7218" max="7218" width="8.28515625" style="223" bestFit="1" customWidth="1"/>
    <col min="7219" max="7220" width="8.42578125" style="223" customWidth="1"/>
    <col min="7221" max="7221" width="12.7109375" style="223" customWidth="1"/>
    <col min="7222" max="7222" width="6.28515625" style="223" bestFit="1" customWidth="1"/>
    <col min="7223" max="7224" width="8.42578125" style="223" customWidth="1"/>
    <col min="7225" max="7225" width="10.5703125" style="223" bestFit="1" customWidth="1"/>
    <col min="7226" max="7226" width="10.140625" style="223" bestFit="1" customWidth="1"/>
    <col min="7227" max="7227" width="9.7109375" style="223" bestFit="1" customWidth="1"/>
    <col min="7228" max="7228" width="6.28515625" style="223" bestFit="1" customWidth="1"/>
    <col min="7229" max="7229" width="10.5703125" style="223" bestFit="1" customWidth="1"/>
    <col min="7230" max="7230" width="6.42578125" style="223" customWidth="1"/>
    <col min="7231" max="7231" width="12.42578125" style="223" customWidth="1"/>
    <col min="7232" max="7232" width="7.42578125" style="223" customWidth="1"/>
    <col min="7233" max="7233" width="10.5703125" style="223" bestFit="1" customWidth="1"/>
    <col min="7234" max="7234" width="7.42578125" style="223" customWidth="1"/>
    <col min="7235" max="7235" width="11.7109375" style="223" customWidth="1"/>
    <col min="7236" max="7236" width="6.28515625" style="223" customWidth="1"/>
    <col min="7237" max="7237" width="10.5703125" style="223" bestFit="1" customWidth="1"/>
    <col min="7238" max="7238" width="7.42578125" style="223" customWidth="1"/>
    <col min="7239" max="7239" width="10.42578125" style="223" customWidth="1"/>
    <col min="7240" max="7240" width="15.7109375" style="223" bestFit="1" customWidth="1"/>
    <col min="7241" max="7241" width="14.28515625" style="223" customWidth="1"/>
    <col min="7242" max="7243" width="7.42578125" style="223" customWidth="1"/>
    <col min="7244" max="7244" width="9" style="223" customWidth="1"/>
    <col min="7245" max="7245" width="11.42578125" style="223" customWidth="1"/>
    <col min="7246" max="7424" width="9.140625" style="223"/>
    <col min="7425" max="7425" width="3.85546875" style="223" customWidth="1"/>
    <col min="7426" max="7426" width="23" style="223" customWidth="1"/>
    <col min="7427" max="7427" width="5.42578125" style="223" customWidth="1"/>
    <col min="7428" max="7428" width="7.28515625" style="223" customWidth="1"/>
    <col min="7429" max="7429" width="9.7109375" style="223" customWidth="1"/>
    <col min="7430" max="7430" width="6.85546875" style="223" customWidth="1"/>
    <col min="7431" max="7431" width="6.140625" style="223" customWidth="1"/>
    <col min="7432" max="7432" width="7.7109375" style="223" customWidth="1"/>
    <col min="7433" max="7433" width="6.140625" style="223" customWidth="1"/>
    <col min="7434" max="7438" width="8.140625" style="223" customWidth="1"/>
    <col min="7439" max="7440" width="9.7109375" style="223" customWidth="1"/>
    <col min="7441" max="7444" width="6.140625" style="223" customWidth="1"/>
    <col min="7445" max="7448" width="10.28515625" style="223" customWidth="1"/>
    <col min="7449" max="7450" width="12" style="223" customWidth="1"/>
    <col min="7451" max="7451" width="12.42578125" style="223" customWidth="1"/>
    <col min="7452" max="7452" width="12.28515625" style="223" customWidth="1"/>
    <col min="7453" max="7453" width="9.28515625" style="223" customWidth="1"/>
    <col min="7454" max="7459" width="11.7109375" style="223" customWidth="1"/>
    <col min="7460" max="7460" width="13.85546875" style="223" customWidth="1"/>
    <col min="7461" max="7461" width="11.7109375" style="223" customWidth="1"/>
    <col min="7462" max="7462" width="15.42578125" style="223" customWidth="1"/>
    <col min="7463" max="7463" width="11.28515625" style="223" customWidth="1"/>
    <col min="7464" max="7465" width="6.140625" style="223" customWidth="1"/>
    <col min="7466" max="7466" width="8.42578125" style="223" bestFit="1" customWidth="1"/>
    <col min="7467" max="7468" width="8.7109375" style="223" customWidth="1"/>
    <col min="7469" max="7469" width="12.7109375" style="223" bestFit="1" customWidth="1"/>
    <col min="7470" max="7470" width="6.5703125" style="223" customWidth="1"/>
    <col min="7471" max="7471" width="12.28515625" style="223" customWidth="1"/>
    <col min="7472" max="7472" width="6.140625" style="223" customWidth="1"/>
    <col min="7473" max="7473" width="13" style="223" customWidth="1"/>
    <col min="7474" max="7474" width="8.28515625" style="223" bestFit="1" customWidth="1"/>
    <col min="7475" max="7476" width="8.42578125" style="223" customWidth="1"/>
    <col min="7477" max="7477" width="12.7109375" style="223" customWidth="1"/>
    <col min="7478" max="7478" width="6.28515625" style="223" bestFit="1" customWidth="1"/>
    <col min="7479" max="7480" width="8.42578125" style="223" customWidth="1"/>
    <col min="7481" max="7481" width="10.5703125" style="223" bestFit="1" customWidth="1"/>
    <col min="7482" max="7482" width="10.140625" style="223" bestFit="1" customWidth="1"/>
    <col min="7483" max="7483" width="9.7109375" style="223" bestFit="1" customWidth="1"/>
    <col min="7484" max="7484" width="6.28515625" style="223" bestFit="1" customWidth="1"/>
    <col min="7485" max="7485" width="10.5703125" style="223" bestFit="1" customWidth="1"/>
    <col min="7486" max="7486" width="6.42578125" style="223" customWidth="1"/>
    <col min="7487" max="7487" width="12.42578125" style="223" customWidth="1"/>
    <col min="7488" max="7488" width="7.42578125" style="223" customWidth="1"/>
    <col min="7489" max="7489" width="10.5703125" style="223" bestFit="1" customWidth="1"/>
    <col min="7490" max="7490" width="7.42578125" style="223" customWidth="1"/>
    <col min="7491" max="7491" width="11.7109375" style="223" customWidth="1"/>
    <col min="7492" max="7492" width="6.28515625" style="223" customWidth="1"/>
    <col min="7493" max="7493" width="10.5703125" style="223" bestFit="1" customWidth="1"/>
    <col min="7494" max="7494" width="7.42578125" style="223" customWidth="1"/>
    <col min="7495" max="7495" width="10.42578125" style="223" customWidth="1"/>
    <col min="7496" max="7496" width="15.7109375" style="223" bestFit="1" customWidth="1"/>
    <col min="7497" max="7497" width="14.28515625" style="223" customWidth="1"/>
    <col min="7498" max="7499" width="7.42578125" style="223" customWidth="1"/>
    <col min="7500" max="7500" width="9" style="223" customWidth="1"/>
    <col min="7501" max="7501" width="11.42578125" style="223" customWidth="1"/>
    <col min="7502" max="7680" width="9.140625" style="223"/>
    <col min="7681" max="7681" width="3.85546875" style="223" customWidth="1"/>
    <col min="7682" max="7682" width="23" style="223" customWidth="1"/>
    <col min="7683" max="7683" width="5.42578125" style="223" customWidth="1"/>
    <col min="7684" max="7684" width="7.28515625" style="223" customWidth="1"/>
    <col min="7685" max="7685" width="9.7109375" style="223" customWidth="1"/>
    <col min="7686" max="7686" width="6.85546875" style="223" customWidth="1"/>
    <col min="7687" max="7687" width="6.140625" style="223" customWidth="1"/>
    <col min="7688" max="7688" width="7.7109375" style="223" customWidth="1"/>
    <col min="7689" max="7689" width="6.140625" style="223" customWidth="1"/>
    <col min="7690" max="7694" width="8.140625" style="223" customWidth="1"/>
    <col min="7695" max="7696" width="9.7109375" style="223" customWidth="1"/>
    <col min="7697" max="7700" width="6.140625" style="223" customWidth="1"/>
    <col min="7701" max="7704" width="10.28515625" style="223" customWidth="1"/>
    <col min="7705" max="7706" width="12" style="223" customWidth="1"/>
    <col min="7707" max="7707" width="12.42578125" style="223" customWidth="1"/>
    <col min="7708" max="7708" width="12.28515625" style="223" customWidth="1"/>
    <col min="7709" max="7709" width="9.28515625" style="223" customWidth="1"/>
    <col min="7710" max="7715" width="11.7109375" style="223" customWidth="1"/>
    <col min="7716" max="7716" width="13.85546875" style="223" customWidth="1"/>
    <col min="7717" max="7717" width="11.7109375" style="223" customWidth="1"/>
    <col min="7718" max="7718" width="15.42578125" style="223" customWidth="1"/>
    <col min="7719" max="7719" width="11.28515625" style="223" customWidth="1"/>
    <col min="7720" max="7721" width="6.140625" style="223" customWidth="1"/>
    <col min="7722" max="7722" width="8.42578125" style="223" bestFit="1" customWidth="1"/>
    <col min="7723" max="7724" width="8.7109375" style="223" customWidth="1"/>
    <col min="7725" max="7725" width="12.7109375" style="223" bestFit="1" customWidth="1"/>
    <col min="7726" max="7726" width="6.5703125" style="223" customWidth="1"/>
    <col min="7727" max="7727" width="12.28515625" style="223" customWidth="1"/>
    <col min="7728" max="7728" width="6.140625" style="223" customWidth="1"/>
    <col min="7729" max="7729" width="13" style="223" customWidth="1"/>
    <col min="7730" max="7730" width="8.28515625" style="223" bestFit="1" customWidth="1"/>
    <col min="7731" max="7732" width="8.42578125" style="223" customWidth="1"/>
    <col min="7733" max="7733" width="12.7109375" style="223" customWidth="1"/>
    <col min="7734" max="7734" width="6.28515625" style="223" bestFit="1" customWidth="1"/>
    <col min="7735" max="7736" width="8.42578125" style="223" customWidth="1"/>
    <col min="7737" max="7737" width="10.5703125" style="223" bestFit="1" customWidth="1"/>
    <col min="7738" max="7738" width="10.140625" style="223" bestFit="1" customWidth="1"/>
    <col min="7739" max="7739" width="9.7109375" style="223" bestFit="1" customWidth="1"/>
    <col min="7740" max="7740" width="6.28515625" style="223" bestFit="1" customWidth="1"/>
    <col min="7741" max="7741" width="10.5703125" style="223" bestFit="1" customWidth="1"/>
    <col min="7742" max="7742" width="6.42578125" style="223" customWidth="1"/>
    <col min="7743" max="7743" width="12.42578125" style="223" customWidth="1"/>
    <col min="7744" max="7744" width="7.42578125" style="223" customWidth="1"/>
    <col min="7745" max="7745" width="10.5703125" style="223" bestFit="1" customWidth="1"/>
    <col min="7746" max="7746" width="7.42578125" style="223" customWidth="1"/>
    <col min="7747" max="7747" width="11.7109375" style="223" customWidth="1"/>
    <col min="7748" max="7748" width="6.28515625" style="223" customWidth="1"/>
    <col min="7749" max="7749" width="10.5703125" style="223" bestFit="1" customWidth="1"/>
    <col min="7750" max="7750" width="7.42578125" style="223" customWidth="1"/>
    <col min="7751" max="7751" width="10.42578125" style="223" customWidth="1"/>
    <col min="7752" max="7752" width="15.7109375" style="223" bestFit="1" customWidth="1"/>
    <col min="7753" max="7753" width="14.28515625" style="223" customWidth="1"/>
    <col min="7754" max="7755" width="7.42578125" style="223" customWidth="1"/>
    <col min="7756" max="7756" width="9" style="223" customWidth="1"/>
    <col min="7757" max="7757" width="11.42578125" style="223" customWidth="1"/>
    <col min="7758" max="7936" width="9.140625" style="223"/>
    <col min="7937" max="7937" width="3.85546875" style="223" customWidth="1"/>
    <col min="7938" max="7938" width="23" style="223" customWidth="1"/>
    <col min="7939" max="7939" width="5.42578125" style="223" customWidth="1"/>
    <col min="7940" max="7940" width="7.28515625" style="223" customWidth="1"/>
    <col min="7941" max="7941" width="9.7109375" style="223" customWidth="1"/>
    <col min="7942" max="7942" width="6.85546875" style="223" customWidth="1"/>
    <col min="7943" max="7943" width="6.140625" style="223" customWidth="1"/>
    <col min="7944" max="7944" width="7.7109375" style="223" customWidth="1"/>
    <col min="7945" max="7945" width="6.140625" style="223" customWidth="1"/>
    <col min="7946" max="7950" width="8.140625" style="223" customWidth="1"/>
    <col min="7951" max="7952" width="9.7109375" style="223" customWidth="1"/>
    <col min="7953" max="7956" width="6.140625" style="223" customWidth="1"/>
    <col min="7957" max="7960" width="10.28515625" style="223" customWidth="1"/>
    <col min="7961" max="7962" width="12" style="223" customWidth="1"/>
    <col min="7963" max="7963" width="12.42578125" style="223" customWidth="1"/>
    <col min="7964" max="7964" width="12.28515625" style="223" customWidth="1"/>
    <col min="7965" max="7965" width="9.28515625" style="223" customWidth="1"/>
    <col min="7966" max="7971" width="11.7109375" style="223" customWidth="1"/>
    <col min="7972" max="7972" width="13.85546875" style="223" customWidth="1"/>
    <col min="7973" max="7973" width="11.7109375" style="223" customWidth="1"/>
    <col min="7974" max="7974" width="15.42578125" style="223" customWidth="1"/>
    <col min="7975" max="7975" width="11.28515625" style="223" customWidth="1"/>
    <col min="7976" max="7977" width="6.140625" style="223" customWidth="1"/>
    <col min="7978" max="7978" width="8.42578125" style="223" bestFit="1" customWidth="1"/>
    <col min="7979" max="7980" width="8.7109375" style="223" customWidth="1"/>
    <col min="7981" max="7981" width="12.7109375" style="223" bestFit="1" customWidth="1"/>
    <col min="7982" max="7982" width="6.5703125" style="223" customWidth="1"/>
    <col min="7983" max="7983" width="12.28515625" style="223" customWidth="1"/>
    <col min="7984" max="7984" width="6.140625" style="223" customWidth="1"/>
    <col min="7985" max="7985" width="13" style="223" customWidth="1"/>
    <col min="7986" max="7986" width="8.28515625" style="223" bestFit="1" customWidth="1"/>
    <col min="7987" max="7988" width="8.42578125" style="223" customWidth="1"/>
    <col min="7989" max="7989" width="12.7109375" style="223" customWidth="1"/>
    <col min="7990" max="7990" width="6.28515625" style="223" bestFit="1" customWidth="1"/>
    <col min="7991" max="7992" width="8.42578125" style="223" customWidth="1"/>
    <col min="7993" max="7993" width="10.5703125" style="223" bestFit="1" customWidth="1"/>
    <col min="7994" max="7994" width="10.140625" style="223" bestFit="1" customWidth="1"/>
    <col min="7995" max="7995" width="9.7109375" style="223" bestFit="1" customWidth="1"/>
    <col min="7996" max="7996" width="6.28515625" style="223" bestFit="1" customWidth="1"/>
    <col min="7997" max="7997" width="10.5703125" style="223" bestFit="1" customWidth="1"/>
    <col min="7998" max="7998" width="6.42578125" style="223" customWidth="1"/>
    <col min="7999" max="7999" width="12.42578125" style="223" customWidth="1"/>
    <col min="8000" max="8000" width="7.42578125" style="223" customWidth="1"/>
    <col min="8001" max="8001" width="10.5703125" style="223" bestFit="1" customWidth="1"/>
    <col min="8002" max="8002" width="7.42578125" style="223" customWidth="1"/>
    <col min="8003" max="8003" width="11.7109375" style="223" customWidth="1"/>
    <col min="8004" max="8004" width="6.28515625" style="223" customWidth="1"/>
    <col min="8005" max="8005" width="10.5703125" style="223" bestFit="1" customWidth="1"/>
    <col min="8006" max="8006" width="7.42578125" style="223" customWidth="1"/>
    <col min="8007" max="8007" width="10.42578125" style="223" customWidth="1"/>
    <col min="8008" max="8008" width="15.7109375" style="223" bestFit="1" customWidth="1"/>
    <col min="8009" max="8009" width="14.28515625" style="223" customWidth="1"/>
    <col min="8010" max="8011" width="7.42578125" style="223" customWidth="1"/>
    <col min="8012" max="8012" width="9" style="223" customWidth="1"/>
    <col min="8013" max="8013" width="11.42578125" style="223" customWidth="1"/>
    <col min="8014" max="8192" width="9.140625" style="223"/>
    <col min="8193" max="8193" width="3.85546875" style="223" customWidth="1"/>
    <col min="8194" max="8194" width="23" style="223" customWidth="1"/>
    <col min="8195" max="8195" width="5.42578125" style="223" customWidth="1"/>
    <col min="8196" max="8196" width="7.28515625" style="223" customWidth="1"/>
    <col min="8197" max="8197" width="9.7109375" style="223" customWidth="1"/>
    <col min="8198" max="8198" width="6.85546875" style="223" customWidth="1"/>
    <col min="8199" max="8199" width="6.140625" style="223" customWidth="1"/>
    <col min="8200" max="8200" width="7.7109375" style="223" customWidth="1"/>
    <col min="8201" max="8201" width="6.140625" style="223" customWidth="1"/>
    <col min="8202" max="8206" width="8.140625" style="223" customWidth="1"/>
    <col min="8207" max="8208" width="9.7109375" style="223" customWidth="1"/>
    <col min="8209" max="8212" width="6.140625" style="223" customWidth="1"/>
    <col min="8213" max="8216" width="10.28515625" style="223" customWidth="1"/>
    <col min="8217" max="8218" width="12" style="223" customWidth="1"/>
    <col min="8219" max="8219" width="12.42578125" style="223" customWidth="1"/>
    <col min="8220" max="8220" width="12.28515625" style="223" customWidth="1"/>
    <col min="8221" max="8221" width="9.28515625" style="223" customWidth="1"/>
    <col min="8222" max="8227" width="11.7109375" style="223" customWidth="1"/>
    <col min="8228" max="8228" width="13.85546875" style="223" customWidth="1"/>
    <col min="8229" max="8229" width="11.7109375" style="223" customWidth="1"/>
    <col min="8230" max="8230" width="15.42578125" style="223" customWidth="1"/>
    <col min="8231" max="8231" width="11.28515625" style="223" customWidth="1"/>
    <col min="8232" max="8233" width="6.140625" style="223" customWidth="1"/>
    <col min="8234" max="8234" width="8.42578125" style="223" bestFit="1" customWidth="1"/>
    <col min="8235" max="8236" width="8.7109375" style="223" customWidth="1"/>
    <col min="8237" max="8237" width="12.7109375" style="223" bestFit="1" customWidth="1"/>
    <col min="8238" max="8238" width="6.5703125" style="223" customWidth="1"/>
    <col min="8239" max="8239" width="12.28515625" style="223" customWidth="1"/>
    <col min="8240" max="8240" width="6.140625" style="223" customWidth="1"/>
    <col min="8241" max="8241" width="13" style="223" customWidth="1"/>
    <col min="8242" max="8242" width="8.28515625" style="223" bestFit="1" customWidth="1"/>
    <col min="8243" max="8244" width="8.42578125" style="223" customWidth="1"/>
    <col min="8245" max="8245" width="12.7109375" style="223" customWidth="1"/>
    <col min="8246" max="8246" width="6.28515625" style="223" bestFit="1" customWidth="1"/>
    <col min="8247" max="8248" width="8.42578125" style="223" customWidth="1"/>
    <col min="8249" max="8249" width="10.5703125" style="223" bestFit="1" customWidth="1"/>
    <col min="8250" max="8250" width="10.140625" style="223" bestFit="1" customWidth="1"/>
    <col min="8251" max="8251" width="9.7109375" style="223" bestFit="1" customWidth="1"/>
    <col min="8252" max="8252" width="6.28515625" style="223" bestFit="1" customWidth="1"/>
    <col min="8253" max="8253" width="10.5703125" style="223" bestFit="1" customWidth="1"/>
    <col min="8254" max="8254" width="6.42578125" style="223" customWidth="1"/>
    <col min="8255" max="8255" width="12.42578125" style="223" customWidth="1"/>
    <col min="8256" max="8256" width="7.42578125" style="223" customWidth="1"/>
    <col min="8257" max="8257" width="10.5703125" style="223" bestFit="1" customWidth="1"/>
    <col min="8258" max="8258" width="7.42578125" style="223" customWidth="1"/>
    <col min="8259" max="8259" width="11.7109375" style="223" customWidth="1"/>
    <col min="8260" max="8260" width="6.28515625" style="223" customWidth="1"/>
    <col min="8261" max="8261" width="10.5703125" style="223" bestFit="1" customWidth="1"/>
    <col min="8262" max="8262" width="7.42578125" style="223" customWidth="1"/>
    <col min="8263" max="8263" width="10.42578125" style="223" customWidth="1"/>
    <col min="8264" max="8264" width="15.7109375" style="223" bestFit="1" customWidth="1"/>
    <col min="8265" max="8265" width="14.28515625" style="223" customWidth="1"/>
    <col min="8266" max="8267" width="7.42578125" style="223" customWidth="1"/>
    <col min="8268" max="8268" width="9" style="223" customWidth="1"/>
    <col min="8269" max="8269" width="11.42578125" style="223" customWidth="1"/>
    <col min="8270" max="8448" width="9.140625" style="223"/>
    <col min="8449" max="8449" width="3.85546875" style="223" customWidth="1"/>
    <col min="8450" max="8450" width="23" style="223" customWidth="1"/>
    <col min="8451" max="8451" width="5.42578125" style="223" customWidth="1"/>
    <col min="8452" max="8452" width="7.28515625" style="223" customWidth="1"/>
    <col min="8453" max="8453" width="9.7109375" style="223" customWidth="1"/>
    <col min="8454" max="8454" width="6.85546875" style="223" customWidth="1"/>
    <col min="8455" max="8455" width="6.140625" style="223" customWidth="1"/>
    <col min="8456" max="8456" width="7.7109375" style="223" customWidth="1"/>
    <col min="8457" max="8457" width="6.140625" style="223" customWidth="1"/>
    <col min="8458" max="8462" width="8.140625" style="223" customWidth="1"/>
    <col min="8463" max="8464" width="9.7109375" style="223" customWidth="1"/>
    <col min="8465" max="8468" width="6.140625" style="223" customWidth="1"/>
    <col min="8469" max="8472" width="10.28515625" style="223" customWidth="1"/>
    <col min="8473" max="8474" width="12" style="223" customWidth="1"/>
    <col min="8475" max="8475" width="12.42578125" style="223" customWidth="1"/>
    <col min="8476" max="8476" width="12.28515625" style="223" customWidth="1"/>
    <col min="8477" max="8477" width="9.28515625" style="223" customWidth="1"/>
    <col min="8478" max="8483" width="11.7109375" style="223" customWidth="1"/>
    <col min="8484" max="8484" width="13.85546875" style="223" customWidth="1"/>
    <col min="8485" max="8485" width="11.7109375" style="223" customWidth="1"/>
    <col min="8486" max="8486" width="15.42578125" style="223" customWidth="1"/>
    <col min="8487" max="8487" width="11.28515625" style="223" customWidth="1"/>
    <col min="8488" max="8489" width="6.140625" style="223" customWidth="1"/>
    <col min="8490" max="8490" width="8.42578125" style="223" bestFit="1" customWidth="1"/>
    <col min="8491" max="8492" width="8.7109375" style="223" customWidth="1"/>
    <col min="8493" max="8493" width="12.7109375" style="223" bestFit="1" customWidth="1"/>
    <col min="8494" max="8494" width="6.5703125" style="223" customWidth="1"/>
    <col min="8495" max="8495" width="12.28515625" style="223" customWidth="1"/>
    <col min="8496" max="8496" width="6.140625" style="223" customWidth="1"/>
    <col min="8497" max="8497" width="13" style="223" customWidth="1"/>
    <col min="8498" max="8498" width="8.28515625" style="223" bestFit="1" customWidth="1"/>
    <col min="8499" max="8500" width="8.42578125" style="223" customWidth="1"/>
    <col min="8501" max="8501" width="12.7109375" style="223" customWidth="1"/>
    <col min="8502" max="8502" width="6.28515625" style="223" bestFit="1" customWidth="1"/>
    <col min="8503" max="8504" width="8.42578125" style="223" customWidth="1"/>
    <col min="8505" max="8505" width="10.5703125" style="223" bestFit="1" customWidth="1"/>
    <col min="8506" max="8506" width="10.140625" style="223" bestFit="1" customWidth="1"/>
    <col min="8507" max="8507" width="9.7109375" style="223" bestFit="1" customWidth="1"/>
    <col min="8508" max="8508" width="6.28515625" style="223" bestFit="1" customWidth="1"/>
    <col min="8509" max="8509" width="10.5703125" style="223" bestFit="1" customWidth="1"/>
    <col min="8510" max="8510" width="6.42578125" style="223" customWidth="1"/>
    <col min="8511" max="8511" width="12.42578125" style="223" customWidth="1"/>
    <col min="8512" max="8512" width="7.42578125" style="223" customWidth="1"/>
    <col min="8513" max="8513" width="10.5703125" style="223" bestFit="1" customWidth="1"/>
    <col min="8514" max="8514" width="7.42578125" style="223" customWidth="1"/>
    <col min="8515" max="8515" width="11.7109375" style="223" customWidth="1"/>
    <col min="8516" max="8516" width="6.28515625" style="223" customWidth="1"/>
    <col min="8517" max="8517" width="10.5703125" style="223" bestFit="1" customWidth="1"/>
    <col min="8518" max="8518" width="7.42578125" style="223" customWidth="1"/>
    <col min="8519" max="8519" width="10.42578125" style="223" customWidth="1"/>
    <col min="8520" max="8520" width="15.7109375" style="223" bestFit="1" customWidth="1"/>
    <col min="8521" max="8521" width="14.28515625" style="223" customWidth="1"/>
    <col min="8522" max="8523" width="7.42578125" style="223" customWidth="1"/>
    <col min="8524" max="8524" width="9" style="223" customWidth="1"/>
    <col min="8525" max="8525" width="11.42578125" style="223" customWidth="1"/>
    <col min="8526" max="8704" width="9.140625" style="223"/>
    <col min="8705" max="8705" width="3.85546875" style="223" customWidth="1"/>
    <col min="8706" max="8706" width="23" style="223" customWidth="1"/>
    <col min="8707" max="8707" width="5.42578125" style="223" customWidth="1"/>
    <col min="8708" max="8708" width="7.28515625" style="223" customWidth="1"/>
    <col min="8709" max="8709" width="9.7109375" style="223" customWidth="1"/>
    <col min="8710" max="8710" width="6.85546875" style="223" customWidth="1"/>
    <col min="8711" max="8711" width="6.140625" style="223" customWidth="1"/>
    <col min="8712" max="8712" width="7.7109375" style="223" customWidth="1"/>
    <col min="8713" max="8713" width="6.140625" style="223" customWidth="1"/>
    <col min="8714" max="8718" width="8.140625" style="223" customWidth="1"/>
    <col min="8719" max="8720" width="9.7109375" style="223" customWidth="1"/>
    <col min="8721" max="8724" width="6.140625" style="223" customWidth="1"/>
    <col min="8725" max="8728" width="10.28515625" style="223" customWidth="1"/>
    <col min="8729" max="8730" width="12" style="223" customWidth="1"/>
    <col min="8731" max="8731" width="12.42578125" style="223" customWidth="1"/>
    <col min="8732" max="8732" width="12.28515625" style="223" customWidth="1"/>
    <col min="8733" max="8733" width="9.28515625" style="223" customWidth="1"/>
    <col min="8734" max="8739" width="11.7109375" style="223" customWidth="1"/>
    <col min="8740" max="8740" width="13.85546875" style="223" customWidth="1"/>
    <col min="8741" max="8741" width="11.7109375" style="223" customWidth="1"/>
    <col min="8742" max="8742" width="15.42578125" style="223" customWidth="1"/>
    <col min="8743" max="8743" width="11.28515625" style="223" customWidth="1"/>
    <col min="8744" max="8745" width="6.140625" style="223" customWidth="1"/>
    <col min="8746" max="8746" width="8.42578125" style="223" bestFit="1" customWidth="1"/>
    <col min="8747" max="8748" width="8.7109375" style="223" customWidth="1"/>
    <col min="8749" max="8749" width="12.7109375" style="223" bestFit="1" customWidth="1"/>
    <col min="8750" max="8750" width="6.5703125" style="223" customWidth="1"/>
    <col min="8751" max="8751" width="12.28515625" style="223" customWidth="1"/>
    <col min="8752" max="8752" width="6.140625" style="223" customWidth="1"/>
    <col min="8753" max="8753" width="13" style="223" customWidth="1"/>
    <col min="8754" max="8754" width="8.28515625" style="223" bestFit="1" customWidth="1"/>
    <col min="8755" max="8756" width="8.42578125" style="223" customWidth="1"/>
    <col min="8757" max="8757" width="12.7109375" style="223" customWidth="1"/>
    <col min="8758" max="8758" width="6.28515625" style="223" bestFit="1" customWidth="1"/>
    <col min="8759" max="8760" width="8.42578125" style="223" customWidth="1"/>
    <col min="8761" max="8761" width="10.5703125" style="223" bestFit="1" customWidth="1"/>
    <col min="8762" max="8762" width="10.140625" style="223" bestFit="1" customWidth="1"/>
    <col min="8763" max="8763" width="9.7109375" style="223" bestFit="1" customWidth="1"/>
    <col min="8764" max="8764" width="6.28515625" style="223" bestFit="1" customWidth="1"/>
    <col min="8765" max="8765" width="10.5703125" style="223" bestFit="1" customWidth="1"/>
    <col min="8766" max="8766" width="6.42578125" style="223" customWidth="1"/>
    <col min="8767" max="8767" width="12.42578125" style="223" customWidth="1"/>
    <col min="8768" max="8768" width="7.42578125" style="223" customWidth="1"/>
    <col min="8769" max="8769" width="10.5703125" style="223" bestFit="1" customWidth="1"/>
    <col min="8770" max="8770" width="7.42578125" style="223" customWidth="1"/>
    <col min="8771" max="8771" width="11.7109375" style="223" customWidth="1"/>
    <col min="8772" max="8772" width="6.28515625" style="223" customWidth="1"/>
    <col min="8773" max="8773" width="10.5703125" style="223" bestFit="1" customWidth="1"/>
    <col min="8774" max="8774" width="7.42578125" style="223" customWidth="1"/>
    <col min="8775" max="8775" width="10.42578125" style="223" customWidth="1"/>
    <col min="8776" max="8776" width="15.7109375" style="223" bestFit="1" customWidth="1"/>
    <col min="8777" max="8777" width="14.28515625" style="223" customWidth="1"/>
    <col min="8778" max="8779" width="7.42578125" style="223" customWidth="1"/>
    <col min="8780" max="8780" width="9" style="223" customWidth="1"/>
    <col min="8781" max="8781" width="11.42578125" style="223" customWidth="1"/>
    <col min="8782" max="8960" width="9.140625" style="223"/>
    <col min="8961" max="8961" width="3.85546875" style="223" customWidth="1"/>
    <col min="8962" max="8962" width="23" style="223" customWidth="1"/>
    <col min="8963" max="8963" width="5.42578125" style="223" customWidth="1"/>
    <col min="8964" max="8964" width="7.28515625" style="223" customWidth="1"/>
    <col min="8965" max="8965" width="9.7109375" style="223" customWidth="1"/>
    <col min="8966" max="8966" width="6.85546875" style="223" customWidth="1"/>
    <col min="8967" max="8967" width="6.140625" style="223" customWidth="1"/>
    <col min="8968" max="8968" width="7.7109375" style="223" customWidth="1"/>
    <col min="8969" max="8969" width="6.140625" style="223" customWidth="1"/>
    <col min="8970" max="8974" width="8.140625" style="223" customWidth="1"/>
    <col min="8975" max="8976" width="9.7109375" style="223" customWidth="1"/>
    <col min="8977" max="8980" width="6.140625" style="223" customWidth="1"/>
    <col min="8981" max="8984" width="10.28515625" style="223" customWidth="1"/>
    <col min="8985" max="8986" width="12" style="223" customWidth="1"/>
    <col min="8987" max="8987" width="12.42578125" style="223" customWidth="1"/>
    <col min="8988" max="8988" width="12.28515625" style="223" customWidth="1"/>
    <col min="8989" max="8989" width="9.28515625" style="223" customWidth="1"/>
    <col min="8990" max="8995" width="11.7109375" style="223" customWidth="1"/>
    <col min="8996" max="8996" width="13.85546875" style="223" customWidth="1"/>
    <col min="8997" max="8997" width="11.7109375" style="223" customWidth="1"/>
    <col min="8998" max="8998" width="15.42578125" style="223" customWidth="1"/>
    <col min="8999" max="8999" width="11.28515625" style="223" customWidth="1"/>
    <col min="9000" max="9001" width="6.140625" style="223" customWidth="1"/>
    <col min="9002" max="9002" width="8.42578125" style="223" bestFit="1" customWidth="1"/>
    <col min="9003" max="9004" width="8.7109375" style="223" customWidth="1"/>
    <col min="9005" max="9005" width="12.7109375" style="223" bestFit="1" customWidth="1"/>
    <col min="9006" max="9006" width="6.5703125" style="223" customWidth="1"/>
    <col min="9007" max="9007" width="12.28515625" style="223" customWidth="1"/>
    <col min="9008" max="9008" width="6.140625" style="223" customWidth="1"/>
    <col min="9009" max="9009" width="13" style="223" customWidth="1"/>
    <col min="9010" max="9010" width="8.28515625" style="223" bestFit="1" customWidth="1"/>
    <col min="9011" max="9012" width="8.42578125" style="223" customWidth="1"/>
    <col min="9013" max="9013" width="12.7109375" style="223" customWidth="1"/>
    <col min="9014" max="9014" width="6.28515625" style="223" bestFit="1" customWidth="1"/>
    <col min="9015" max="9016" width="8.42578125" style="223" customWidth="1"/>
    <col min="9017" max="9017" width="10.5703125" style="223" bestFit="1" customWidth="1"/>
    <col min="9018" max="9018" width="10.140625" style="223" bestFit="1" customWidth="1"/>
    <col min="9019" max="9019" width="9.7109375" style="223" bestFit="1" customWidth="1"/>
    <col min="9020" max="9020" width="6.28515625" style="223" bestFit="1" customWidth="1"/>
    <col min="9021" max="9021" width="10.5703125" style="223" bestFit="1" customWidth="1"/>
    <col min="9022" max="9022" width="6.42578125" style="223" customWidth="1"/>
    <col min="9023" max="9023" width="12.42578125" style="223" customWidth="1"/>
    <col min="9024" max="9024" width="7.42578125" style="223" customWidth="1"/>
    <col min="9025" max="9025" width="10.5703125" style="223" bestFit="1" customWidth="1"/>
    <col min="9026" max="9026" width="7.42578125" style="223" customWidth="1"/>
    <col min="9027" max="9027" width="11.7109375" style="223" customWidth="1"/>
    <col min="9028" max="9028" width="6.28515625" style="223" customWidth="1"/>
    <col min="9029" max="9029" width="10.5703125" style="223" bestFit="1" customWidth="1"/>
    <col min="9030" max="9030" width="7.42578125" style="223" customWidth="1"/>
    <col min="9031" max="9031" width="10.42578125" style="223" customWidth="1"/>
    <col min="9032" max="9032" width="15.7109375" style="223" bestFit="1" customWidth="1"/>
    <col min="9033" max="9033" width="14.28515625" style="223" customWidth="1"/>
    <col min="9034" max="9035" width="7.42578125" style="223" customWidth="1"/>
    <col min="9036" max="9036" width="9" style="223" customWidth="1"/>
    <col min="9037" max="9037" width="11.42578125" style="223" customWidth="1"/>
    <col min="9038" max="9216" width="9.140625" style="223"/>
    <col min="9217" max="9217" width="3.85546875" style="223" customWidth="1"/>
    <col min="9218" max="9218" width="23" style="223" customWidth="1"/>
    <col min="9219" max="9219" width="5.42578125" style="223" customWidth="1"/>
    <col min="9220" max="9220" width="7.28515625" style="223" customWidth="1"/>
    <col min="9221" max="9221" width="9.7109375" style="223" customWidth="1"/>
    <col min="9222" max="9222" width="6.85546875" style="223" customWidth="1"/>
    <col min="9223" max="9223" width="6.140625" style="223" customWidth="1"/>
    <col min="9224" max="9224" width="7.7109375" style="223" customWidth="1"/>
    <col min="9225" max="9225" width="6.140625" style="223" customWidth="1"/>
    <col min="9226" max="9230" width="8.140625" style="223" customWidth="1"/>
    <col min="9231" max="9232" width="9.7109375" style="223" customWidth="1"/>
    <col min="9233" max="9236" width="6.140625" style="223" customWidth="1"/>
    <col min="9237" max="9240" width="10.28515625" style="223" customWidth="1"/>
    <col min="9241" max="9242" width="12" style="223" customWidth="1"/>
    <col min="9243" max="9243" width="12.42578125" style="223" customWidth="1"/>
    <col min="9244" max="9244" width="12.28515625" style="223" customWidth="1"/>
    <col min="9245" max="9245" width="9.28515625" style="223" customWidth="1"/>
    <col min="9246" max="9251" width="11.7109375" style="223" customWidth="1"/>
    <col min="9252" max="9252" width="13.85546875" style="223" customWidth="1"/>
    <col min="9253" max="9253" width="11.7109375" style="223" customWidth="1"/>
    <col min="9254" max="9254" width="15.42578125" style="223" customWidth="1"/>
    <col min="9255" max="9255" width="11.28515625" style="223" customWidth="1"/>
    <col min="9256" max="9257" width="6.140625" style="223" customWidth="1"/>
    <col min="9258" max="9258" width="8.42578125" style="223" bestFit="1" customWidth="1"/>
    <col min="9259" max="9260" width="8.7109375" style="223" customWidth="1"/>
    <col min="9261" max="9261" width="12.7109375" style="223" bestFit="1" customWidth="1"/>
    <col min="9262" max="9262" width="6.5703125" style="223" customWidth="1"/>
    <col min="9263" max="9263" width="12.28515625" style="223" customWidth="1"/>
    <col min="9264" max="9264" width="6.140625" style="223" customWidth="1"/>
    <col min="9265" max="9265" width="13" style="223" customWidth="1"/>
    <col min="9266" max="9266" width="8.28515625" style="223" bestFit="1" customWidth="1"/>
    <col min="9267" max="9268" width="8.42578125" style="223" customWidth="1"/>
    <col min="9269" max="9269" width="12.7109375" style="223" customWidth="1"/>
    <col min="9270" max="9270" width="6.28515625" style="223" bestFit="1" customWidth="1"/>
    <col min="9271" max="9272" width="8.42578125" style="223" customWidth="1"/>
    <col min="9273" max="9273" width="10.5703125" style="223" bestFit="1" customWidth="1"/>
    <col min="9274" max="9274" width="10.140625" style="223" bestFit="1" customWidth="1"/>
    <col min="9275" max="9275" width="9.7109375" style="223" bestFit="1" customWidth="1"/>
    <col min="9276" max="9276" width="6.28515625" style="223" bestFit="1" customWidth="1"/>
    <col min="9277" max="9277" width="10.5703125" style="223" bestFit="1" customWidth="1"/>
    <col min="9278" max="9278" width="6.42578125" style="223" customWidth="1"/>
    <col min="9279" max="9279" width="12.42578125" style="223" customWidth="1"/>
    <col min="9280" max="9280" width="7.42578125" style="223" customWidth="1"/>
    <col min="9281" max="9281" width="10.5703125" style="223" bestFit="1" customWidth="1"/>
    <col min="9282" max="9282" width="7.42578125" style="223" customWidth="1"/>
    <col min="9283" max="9283" width="11.7109375" style="223" customWidth="1"/>
    <col min="9284" max="9284" width="6.28515625" style="223" customWidth="1"/>
    <col min="9285" max="9285" width="10.5703125" style="223" bestFit="1" customWidth="1"/>
    <col min="9286" max="9286" width="7.42578125" style="223" customWidth="1"/>
    <col min="9287" max="9287" width="10.42578125" style="223" customWidth="1"/>
    <col min="9288" max="9288" width="15.7109375" style="223" bestFit="1" customWidth="1"/>
    <col min="9289" max="9289" width="14.28515625" style="223" customWidth="1"/>
    <col min="9290" max="9291" width="7.42578125" style="223" customWidth="1"/>
    <col min="9292" max="9292" width="9" style="223" customWidth="1"/>
    <col min="9293" max="9293" width="11.42578125" style="223" customWidth="1"/>
    <col min="9294" max="9472" width="9.140625" style="223"/>
    <col min="9473" max="9473" width="3.85546875" style="223" customWidth="1"/>
    <col min="9474" max="9474" width="23" style="223" customWidth="1"/>
    <col min="9475" max="9475" width="5.42578125" style="223" customWidth="1"/>
    <col min="9476" max="9476" width="7.28515625" style="223" customWidth="1"/>
    <col min="9477" max="9477" width="9.7109375" style="223" customWidth="1"/>
    <col min="9478" max="9478" width="6.85546875" style="223" customWidth="1"/>
    <col min="9479" max="9479" width="6.140625" style="223" customWidth="1"/>
    <col min="9480" max="9480" width="7.7109375" style="223" customWidth="1"/>
    <col min="9481" max="9481" width="6.140625" style="223" customWidth="1"/>
    <col min="9482" max="9486" width="8.140625" style="223" customWidth="1"/>
    <col min="9487" max="9488" width="9.7109375" style="223" customWidth="1"/>
    <col min="9489" max="9492" width="6.140625" style="223" customWidth="1"/>
    <col min="9493" max="9496" width="10.28515625" style="223" customWidth="1"/>
    <col min="9497" max="9498" width="12" style="223" customWidth="1"/>
    <col min="9499" max="9499" width="12.42578125" style="223" customWidth="1"/>
    <col min="9500" max="9500" width="12.28515625" style="223" customWidth="1"/>
    <col min="9501" max="9501" width="9.28515625" style="223" customWidth="1"/>
    <col min="9502" max="9507" width="11.7109375" style="223" customWidth="1"/>
    <col min="9508" max="9508" width="13.85546875" style="223" customWidth="1"/>
    <col min="9509" max="9509" width="11.7109375" style="223" customWidth="1"/>
    <col min="9510" max="9510" width="15.42578125" style="223" customWidth="1"/>
    <col min="9511" max="9511" width="11.28515625" style="223" customWidth="1"/>
    <col min="9512" max="9513" width="6.140625" style="223" customWidth="1"/>
    <col min="9514" max="9514" width="8.42578125" style="223" bestFit="1" customWidth="1"/>
    <col min="9515" max="9516" width="8.7109375" style="223" customWidth="1"/>
    <col min="9517" max="9517" width="12.7109375" style="223" bestFit="1" customWidth="1"/>
    <col min="9518" max="9518" width="6.5703125" style="223" customWidth="1"/>
    <col min="9519" max="9519" width="12.28515625" style="223" customWidth="1"/>
    <col min="9520" max="9520" width="6.140625" style="223" customWidth="1"/>
    <col min="9521" max="9521" width="13" style="223" customWidth="1"/>
    <col min="9522" max="9522" width="8.28515625" style="223" bestFit="1" customWidth="1"/>
    <col min="9523" max="9524" width="8.42578125" style="223" customWidth="1"/>
    <col min="9525" max="9525" width="12.7109375" style="223" customWidth="1"/>
    <col min="9526" max="9526" width="6.28515625" style="223" bestFit="1" customWidth="1"/>
    <col min="9527" max="9528" width="8.42578125" style="223" customWidth="1"/>
    <col min="9529" max="9529" width="10.5703125" style="223" bestFit="1" customWidth="1"/>
    <col min="9530" max="9530" width="10.140625" style="223" bestFit="1" customWidth="1"/>
    <col min="9531" max="9531" width="9.7109375" style="223" bestFit="1" customWidth="1"/>
    <col min="9532" max="9532" width="6.28515625" style="223" bestFit="1" customWidth="1"/>
    <col min="9533" max="9533" width="10.5703125" style="223" bestFit="1" customWidth="1"/>
    <col min="9534" max="9534" width="6.42578125" style="223" customWidth="1"/>
    <col min="9535" max="9535" width="12.42578125" style="223" customWidth="1"/>
    <col min="9536" max="9536" width="7.42578125" style="223" customWidth="1"/>
    <col min="9537" max="9537" width="10.5703125" style="223" bestFit="1" customWidth="1"/>
    <col min="9538" max="9538" width="7.42578125" style="223" customWidth="1"/>
    <col min="9539" max="9539" width="11.7109375" style="223" customWidth="1"/>
    <col min="9540" max="9540" width="6.28515625" style="223" customWidth="1"/>
    <col min="9541" max="9541" width="10.5703125" style="223" bestFit="1" customWidth="1"/>
    <col min="9542" max="9542" width="7.42578125" style="223" customWidth="1"/>
    <col min="9543" max="9543" width="10.42578125" style="223" customWidth="1"/>
    <col min="9544" max="9544" width="15.7109375" style="223" bestFit="1" customWidth="1"/>
    <col min="9545" max="9545" width="14.28515625" style="223" customWidth="1"/>
    <col min="9546" max="9547" width="7.42578125" style="223" customWidth="1"/>
    <col min="9548" max="9548" width="9" style="223" customWidth="1"/>
    <col min="9549" max="9549" width="11.42578125" style="223" customWidth="1"/>
    <col min="9550" max="9728" width="9.140625" style="223"/>
    <col min="9729" max="9729" width="3.85546875" style="223" customWidth="1"/>
    <col min="9730" max="9730" width="23" style="223" customWidth="1"/>
    <col min="9731" max="9731" width="5.42578125" style="223" customWidth="1"/>
    <col min="9732" max="9732" width="7.28515625" style="223" customWidth="1"/>
    <col min="9733" max="9733" width="9.7109375" style="223" customWidth="1"/>
    <col min="9734" max="9734" width="6.85546875" style="223" customWidth="1"/>
    <col min="9735" max="9735" width="6.140625" style="223" customWidth="1"/>
    <col min="9736" max="9736" width="7.7109375" style="223" customWidth="1"/>
    <col min="9737" max="9737" width="6.140625" style="223" customWidth="1"/>
    <col min="9738" max="9742" width="8.140625" style="223" customWidth="1"/>
    <col min="9743" max="9744" width="9.7109375" style="223" customWidth="1"/>
    <col min="9745" max="9748" width="6.140625" style="223" customWidth="1"/>
    <col min="9749" max="9752" width="10.28515625" style="223" customWidth="1"/>
    <col min="9753" max="9754" width="12" style="223" customWidth="1"/>
    <col min="9755" max="9755" width="12.42578125" style="223" customWidth="1"/>
    <col min="9756" max="9756" width="12.28515625" style="223" customWidth="1"/>
    <col min="9757" max="9757" width="9.28515625" style="223" customWidth="1"/>
    <col min="9758" max="9763" width="11.7109375" style="223" customWidth="1"/>
    <col min="9764" max="9764" width="13.85546875" style="223" customWidth="1"/>
    <col min="9765" max="9765" width="11.7109375" style="223" customWidth="1"/>
    <col min="9766" max="9766" width="15.42578125" style="223" customWidth="1"/>
    <col min="9767" max="9767" width="11.28515625" style="223" customWidth="1"/>
    <col min="9768" max="9769" width="6.140625" style="223" customWidth="1"/>
    <col min="9770" max="9770" width="8.42578125" style="223" bestFit="1" customWidth="1"/>
    <col min="9771" max="9772" width="8.7109375" style="223" customWidth="1"/>
    <col min="9773" max="9773" width="12.7109375" style="223" bestFit="1" customWidth="1"/>
    <col min="9774" max="9774" width="6.5703125" style="223" customWidth="1"/>
    <col min="9775" max="9775" width="12.28515625" style="223" customWidth="1"/>
    <col min="9776" max="9776" width="6.140625" style="223" customWidth="1"/>
    <col min="9777" max="9777" width="13" style="223" customWidth="1"/>
    <col min="9778" max="9778" width="8.28515625" style="223" bestFit="1" customWidth="1"/>
    <col min="9779" max="9780" width="8.42578125" style="223" customWidth="1"/>
    <col min="9781" max="9781" width="12.7109375" style="223" customWidth="1"/>
    <col min="9782" max="9782" width="6.28515625" style="223" bestFit="1" customWidth="1"/>
    <col min="9783" max="9784" width="8.42578125" style="223" customWidth="1"/>
    <col min="9785" max="9785" width="10.5703125" style="223" bestFit="1" customWidth="1"/>
    <col min="9786" max="9786" width="10.140625" style="223" bestFit="1" customWidth="1"/>
    <col min="9787" max="9787" width="9.7109375" style="223" bestFit="1" customWidth="1"/>
    <col min="9788" max="9788" width="6.28515625" style="223" bestFit="1" customWidth="1"/>
    <col min="9789" max="9789" width="10.5703125" style="223" bestFit="1" customWidth="1"/>
    <col min="9790" max="9790" width="6.42578125" style="223" customWidth="1"/>
    <col min="9791" max="9791" width="12.42578125" style="223" customWidth="1"/>
    <col min="9792" max="9792" width="7.42578125" style="223" customWidth="1"/>
    <col min="9793" max="9793" width="10.5703125" style="223" bestFit="1" customWidth="1"/>
    <col min="9794" max="9794" width="7.42578125" style="223" customWidth="1"/>
    <col min="9795" max="9795" width="11.7109375" style="223" customWidth="1"/>
    <col min="9796" max="9796" width="6.28515625" style="223" customWidth="1"/>
    <col min="9797" max="9797" width="10.5703125" style="223" bestFit="1" customWidth="1"/>
    <col min="9798" max="9798" width="7.42578125" style="223" customWidth="1"/>
    <col min="9799" max="9799" width="10.42578125" style="223" customWidth="1"/>
    <col min="9800" max="9800" width="15.7109375" style="223" bestFit="1" customWidth="1"/>
    <col min="9801" max="9801" width="14.28515625" style="223" customWidth="1"/>
    <col min="9802" max="9803" width="7.42578125" style="223" customWidth="1"/>
    <col min="9804" max="9804" width="9" style="223" customWidth="1"/>
    <col min="9805" max="9805" width="11.42578125" style="223" customWidth="1"/>
    <col min="9806" max="9984" width="9.140625" style="223"/>
    <col min="9985" max="9985" width="3.85546875" style="223" customWidth="1"/>
    <col min="9986" max="9986" width="23" style="223" customWidth="1"/>
    <col min="9987" max="9987" width="5.42578125" style="223" customWidth="1"/>
    <col min="9988" max="9988" width="7.28515625" style="223" customWidth="1"/>
    <col min="9989" max="9989" width="9.7109375" style="223" customWidth="1"/>
    <col min="9990" max="9990" width="6.85546875" style="223" customWidth="1"/>
    <col min="9991" max="9991" width="6.140625" style="223" customWidth="1"/>
    <col min="9992" max="9992" width="7.7109375" style="223" customWidth="1"/>
    <col min="9993" max="9993" width="6.140625" style="223" customWidth="1"/>
    <col min="9994" max="9998" width="8.140625" style="223" customWidth="1"/>
    <col min="9999" max="10000" width="9.7109375" style="223" customWidth="1"/>
    <col min="10001" max="10004" width="6.140625" style="223" customWidth="1"/>
    <col min="10005" max="10008" width="10.28515625" style="223" customWidth="1"/>
    <col min="10009" max="10010" width="12" style="223" customWidth="1"/>
    <col min="10011" max="10011" width="12.42578125" style="223" customWidth="1"/>
    <col min="10012" max="10012" width="12.28515625" style="223" customWidth="1"/>
    <col min="10013" max="10013" width="9.28515625" style="223" customWidth="1"/>
    <col min="10014" max="10019" width="11.7109375" style="223" customWidth="1"/>
    <col min="10020" max="10020" width="13.85546875" style="223" customWidth="1"/>
    <col min="10021" max="10021" width="11.7109375" style="223" customWidth="1"/>
    <col min="10022" max="10022" width="15.42578125" style="223" customWidth="1"/>
    <col min="10023" max="10023" width="11.28515625" style="223" customWidth="1"/>
    <col min="10024" max="10025" width="6.140625" style="223" customWidth="1"/>
    <col min="10026" max="10026" width="8.42578125" style="223" bestFit="1" customWidth="1"/>
    <col min="10027" max="10028" width="8.7109375" style="223" customWidth="1"/>
    <col min="10029" max="10029" width="12.7109375" style="223" bestFit="1" customWidth="1"/>
    <col min="10030" max="10030" width="6.5703125" style="223" customWidth="1"/>
    <col min="10031" max="10031" width="12.28515625" style="223" customWidth="1"/>
    <col min="10032" max="10032" width="6.140625" style="223" customWidth="1"/>
    <col min="10033" max="10033" width="13" style="223" customWidth="1"/>
    <col min="10034" max="10034" width="8.28515625" style="223" bestFit="1" customWidth="1"/>
    <col min="10035" max="10036" width="8.42578125" style="223" customWidth="1"/>
    <col min="10037" max="10037" width="12.7109375" style="223" customWidth="1"/>
    <col min="10038" max="10038" width="6.28515625" style="223" bestFit="1" customWidth="1"/>
    <col min="10039" max="10040" width="8.42578125" style="223" customWidth="1"/>
    <col min="10041" max="10041" width="10.5703125" style="223" bestFit="1" customWidth="1"/>
    <col min="10042" max="10042" width="10.140625" style="223" bestFit="1" customWidth="1"/>
    <col min="10043" max="10043" width="9.7109375" style="223" bestFit="1" customWidth="1"/>
    <col min="10044" max="10044" width="6.28515625" style="223" bestFit="1" customWidth="1"/>
    <col min="10045" max="10045" width="10.5703125" style="223" bestFit="1" customWidth="1"/>
    <col min="10046" max="10046" width="6.42578125" style="223" customWidth="1"/>
    <col min="10047" max="10047" width="12.42578125" style="223" customWidth="1"/>
    <col min="10048" max="10048" width="7.42578125" style="223" customWidth="1"/>
    <col min="10049" max="10049" width="10.5703125" style="223" bestFit="1" customWidth="1"/>
    <col min="10050" max="10050" width="7.42578125" style="223" customWidth="1"/>
    <col min="10051" max="10051" width="11.7109375" style="223" customWidth="1"/>
    <col min="10052" max="10052" width="6.28515625" style="223" customWidth="1"/>
    <col min="10053" max="10053" width="10.5703125" style="223" bestFit="1" customWidth="1"/>
    <col min="10054" max="10054" width="7.42578125" style="223" customWidth="1"/>
    <col min="10055" max="10055" width="10.42578125" style="223" customWidth="1"/>
    <col min="10056" max="10056" width="15.7109375" style="223" bestFit="1" customWidth="1"/>
    <col min="10057" max="10057" width="14.28515625" style="223" customWidth="1"/>
    <col min="10058" max="10059" width="7.42578125" style="223" customWidth="1"/>
    <col min="10060" max="10060" width="9" style="223" customWidth="1"/>
    <col min="10061" max="10061" width="11.42578125" style="223" customWidth="1"/>
    <col min="10062" max="10240" width="9.140625" style="223"/>
    <col min="10241" max="10241" width="3.85546875" style="223" customWidth="1"/>
    <col min="10242" max="10242" width="23" style="223" customWidth="1"/>
    <col min="10243" max="10243" width="5.42578125" style="223" customWidth="1"/>
    <col min="10244" max="10244" width="7.28515625" style="223" customWidth="1"/>
    <col min="10245" max="10245" width="9.7109375" style="223" customWidth="1"/>
    <col min="10246" max="10246" width="6.85546875" style="223" customWidth="1"/>
    <col min="10247" max="10247" width="6.140625" style="223" customWidth="1"/>
    <col min="10248" max="10248" width="7.7109375" style="223" customWidth="1"/>
    <col min="10249" max="10249" width="6.140625" style="223" customWidth="1"/>
    <col min="10250" max="10254" width="8.140625" style="223" customWidth="1"/>
    <col min="10255" max="10256" width="9.7109375" style="223" customWidth="1"/>
    <col min="10257" max="10260" width="6.140625" style="223" customWidth="1"/>
    <col min="10261" max="10264" width="10.28515625" style="223" customWidth="1"/>
    <col min="10265" max="10266" width="12" style="223" customWidth="1"/>
    <col min="10267" max="10267" width="12.42578125" style="223" customWidth="1"/>
    <col min="10268" max="10268" width="12.28515625" style="223" customWidth="1"/>
    <col min="10269" max="10269" width="9.28515625" style="223" customWidth="1"/>
    <col min="10270" max="10275" width="11.7109375" style="223" customWidth="1"/>
    <col min="10276" max="10276" width="13.85546875" style="223" customWidth="1"/>
    <col min="10277" max="10277" width="11.7109375" style="223" customWidth="1"/>
    <col min="10278" max="10278" width="15.42578125" style="223" customWidth="1"/>
    <col min="10279" max="10279" width="11.28515625" style="223" customWidth="1"/>
    <col min="10280" max="10281" width="6.140625" style="223" customWidth="1"/>
    <col min="10282" max="10282" width="8.42578125" style="223" bestFit="1" customWidth="1"/>
    <col min="10283" max="10284" width="8.7109375" style="223" customWidth="1"/>
    <col min="10285" max="10285" width="12.7109375" style="223" bestFit="1" customWidth="1"/>
    <col min="10286" max="10286" width="6.5703125" style="223" customWidth="1"/>
    <col min="10287" max="10287" width="12.28515625" style="223" customWidth="1"/>
    <col min="10288" max="10288" width="6.140625" style="223" customWidth="1"/>
    <col min="10289" max="10289" width="13" style="223" customWidth="1"/>
    <col min="10290" max="10290" width="8.28515625" style="223" bestFit="1" customWidth="1"/>
    <col min="10291" max="10292" width="8.42578125" style="223" customWidth="1"/>
    <col min="10293" max="10293" width="12.7109375" style="223" customWidth="1"/>
    <col min="10294" max="10294" width="6.28515625" style="223" bestFit="1" customWidth="1"/>
    <col min="10295" max="10296" width="8.42578125" style="223" customWidth="1"/>
    <col min="10297" max="10297" width="10.5703125" style="223" bestFit="1" customWidth="1"/>
    <col min="10298" max="10298" width="10.140625" style="223" bestFit="1" customWidth="1"/>
    <col min="10299" max="10299" width="9.7109375" style="223" bestFit="1" customWidth="1"/>
    <col min="10300" max="10300" width="6.28515625" style="223" bestFit="1" customWidth="1"/>
    <col min="10301" max="10301" width="10.5703125" style="223" bestFit="1" customWidth="1"/>
    <col min="10302" max="10302" width="6.42578125" style="223" customWidth="1"/>
    <col min="10303" max="10303" width="12.42578125" style="223" customWidth="1"/>
    <col min="10304" max="10304" width="7.42578125" style="223" customWidth="1"/>
    <col min="10305" max="10305" width="10.5703125" style="223" bestFit="1" customWidth="1"/>
    <col min="10306" max="10306" width="7.42578125" style="223" customWidth="1"/>
    <col min="10307" max="10307" width="11.7109375" style="223" customWidth="1"/>
    <col min="10308" max="10308" width="6.28515625" style="223" customWidth="1"/>
    <col min="10309" max="10309" width="10.5703125" style="223" bestFit="1" customWidth="1"/>
    <col min="10310" max="10310" width="7.42578125" style="223" customWidth="1"/>
    <col min="10311" max="10311" width="10.42578125" style="223" customWidth="1"/>
    <col min="10312" max="10312" width="15.7109375" style="223" bestFit="1" customWidth="1"/>
    <col min="10313" max="10313" width="14.28515625" style="223" customWidth="1"/>
    <col min="10314" max="10315" width="7.42578125" style="223" customWidth="1"/>
    <col min="10316" max="10316" width="9" style="223" customWidth="1"/>
    <col min="10317" max="10317" width="11.42578125" style="223" customWidth="1"/>
    <col min="10318" max="10496" width="9.140625" style="223"/>
    <col min="10497" max="10497" width="3.85546875" style="223" customWidth="1"/>
    <col min="10498" max="10498" width="23" style="223" customWidth="1"/>
    <col min="10499" max="10499" width="5.42578125" style="223" customWidth="1"/>
    <col min="10500" max="10500" width="7.28515625" style="223" customWidth="1"/>
    <col min="10501" max="10501" width="9.7109375" style="223" customWidth="1"/>
    <col min="10502" max="10502" width="6.85546875" style="223" customWidth="1"/>
    <col min="10503" max="10503" width="6.140625" style="223" customWidth="1"/>
    <col min="10504" max="10504" width="7.7109375" style="223" customWidth="1"/>
    <col min="10505" max="10505" width="6.140625" style="223" customWidth="1"/>
    <col min="10506" max="10510" width="8.140625" style="223" customWidth="1"/>
    <col min="10511" max="10512" width="9.7109375" style="223" customWidth="1"/>
    <col min="10513" max="10516" width="6.140625" style="223" customWidth="1"/>
    <col min="10517" max="10520" width="10.28515625" style="223" customWidth="1"/>
    <col min="10521" max="10522" width="12" style="223" customWidth="1"/>
    <col min="10523" max="10523" width="12.42578125" style="223" customWidth="1"/>
    <col min="10524" max="10524" width="12.28515625" style="223" customWidth="1"/>
    <col min="10525" max="10525" width="9.28515625" style="223" customWidth="1"/>
    <col min="10526" max="10531" width="11.7109375" style="223" customWidth="1"/>
    <col min="10532" max="10532" width="13.85546875" style="223" customWidth="1"/>
    <col min="10533" max="10533" width="11.7109375" style="223" customWidth="1"/>
    <col min="10534" max="10534" width="15.42578125" style="223" customWidth="1"/>
    <col min="10535" max="10535" width="11.28515625" style="223" customWidth="1"/>
    <col min="10536" max="10537" width="6.140625" style="223" customWidth="1"/>
    <col min="10538" max="10538" width="8.42578125" style="223" bestFit="1" customWidth="1"/>
    <col min="10539" max="10540" width="8.7109375" style="223" customWidth="1"/>
    <col min="10541" max="10541" width="12.7109375" style="223" bestFit="1" customWidth="1"/>
    <col min="10542" max="10542" width="6.5703125" style="223" customWidth="1"/>
    <col min="10543" max="10543" width="12.28515625" style="223" customWidth="1"/>
    <col min="10544" max="10544" width="6.140625" style="223" customWidth="1"/>
    <col min="10545" max="10545" width="13" style="223" customWidth="1"/>
    <col min="10546" max="10546" width="8.28515625" style="223" bestFit="1" customWidth="1"/>
    <col min="10547" max="10548" width="8.42578125" style="223" customWidth="1"/>
    <col min="10549" max="10549" width="12.7109375" style="223" customWidth="1"/>
    <col min="10550" max="10550" width="6.28515625" style="223" bestFit="1" customWidth="1"/>
    <col min="10551" max="10552" width="8.42578125" style="223" customWidth="1"/>
    <col min="10553" max="10553" width="10.5703125" style="223" bestFit="1" customWidth="1"/>
    <col min="10554" max="10554" width="10.140625" style="223" bestFit="1" customWidth="1"/>
    <col min="10555" max="10555" width="9.7109375" style="223" bestFit="1" customWidth="1"/>
    <col min="10556" max="10556" width="6.28515625" style="223" bestFit="1" customWidth="1"/>
    <col min="10557" max="10557" width="10.5703125" style="223" bestFit="1" customWidth="1"/>
    <col min="10558" max="10558" width="6.42578125" style="223" customWidth="1"/>
    <col min="10559" max="10559" width="12.42578125" style="223" customWidth="1"/>
    <col min="10560" max="10560" width="7.42578125" style="223" customWidth="1"/>
    <col min="10561" max="10561" width="10.5703125" style="223" bestFit="1" customWidth="1"/>
    <col min="10562" max="10562" width="7.42578125" style="223" customWidth="1"/>
    <col min="10563" max="10563" width="11.7109375" style="223" customWidth="1"/>
    <col min="10564" max="10564" width="6.28515625" style="223" customWidth="1"/>
    <col min="10565" max="10565" width="10.5703125" style="223" bestFit="1" customWidth="1"/>
    <col min="10566" max="10566" width="7.42578125" style="223" customWidth="1"/>
    <col min="10567" max="10567" width="10.42578125" style="223" customWidth="1"/>
    <col min="10568" max="10568" width="15.7109375" style="223" bestFit="1" customWidth="1"/>
    <col min="10569" max="10569" width="14.28515625" style="223" customWidth="1"/>
    <col min="10570" max="10571" width="7.42578125" style="223" customWidth="1"/>
    <col min="10572" max="10572" width="9" style="223" customWidth="1"/>
    <col min="10573" max="10573" width="11.42578125" style="223" customWidth="1"/>
    <col min="10574" max="10752" width="9.140625" style="223"/>
    <col min="10753" max="10753" width="3.85546875" style="223" customWidth="1"/>
    <col min="10754" max="10754" width="23" style="223" customWidth="1"/>
    <col min="10755" max="10755" width="5.42578125" style="223" customWidth="1"/>
    <col min="10756" max="10756" width="7.28515625" style="223" customWidth="1"/>
    <col min="10757" max="10757" width="9.7109375" style="223" customWidth="1"/>
    <col min="10758" max="10758" width="6.85546875" style="223" customWidth="1"/>
    <col min="10759" max="10759" width="6.140625" style="223" customWidth="1"/>
    <col min="10760" max="10760" width="7.7109375" style="223" customWidth="1"/>
    <col min="10761" max="10761" width="6.140625" style="223" customWidth="1"/>
    <col min="10762" max="10766" width="8.140625" style="223" customWidth="1"/>
    <col min="10767" max="10768" width="9.7109375" style="223" customWidth="1"/>
    <col min="10769" max="10772" width="6.140625" style="223" customWidth="1"/>
    <col min="10773" max="10776" width="10.28515625" style="223" customWidth="1"/>
    <col min="10777" max="10778" width="12" style="223" customWidth="1"/>
    <col min="10779" max="10779" width="12.42578125" style="223" customWidth="1"/>
    <col min="10780" max="10780" width="12.28515625" style="223" customWidth="1"/>
    <col min="10781" max="10781" width="9.28515625" style="223" customWidth="1"/>
    <col min="10782" max="10787" width="11.7109375" style="223" customWidth="1"/>
    <col min="10788" max="10788" width="13.85546875" style="223" customWidth="1"/>
    <col min="10789" max="10789" width="11.7109375" style="223" customWidth="1"/>
    <col min="10790" max="10790" width="15.42578125" style="223" customWidth="1"/>
    <col min="10791" max="10791" width="11.28515625" style="223" customWidth="1"/>
    <col min="10792" max="10793" width="6.140625" style="223" customWidth="1"/>
    <col min="10794" max="10794" width="8.42578125" style="223" bestFit="1" customWidth="1"/>
    <col min="10795" max="10796" width="8.7109375" style="223" customWidth="1"/>
    <col min="10797" max="10797" width="12.7109375" style="223" bestFit="1" customWidth="1"/>
    <col min="10798" max="10798" width="6.5703125" style="223" customWidth="1"/>
    <col min="10799" max="10799" width="12.28515625" style="223" customWidth="1"/>
    <col min="10800" max="10800" width="6.140625" style="223" customWidth="1"/>
    <col min="10801" max="10801" width="13" style="223" customWidth="1"/>
    <col min="10802" max="10802" width="8.28515625" style="223" bestFit="1" customWidth="1"/>
    <col min="10803" max="10804" width="8.42578125" style="223" customWidth="1"/>
    <col min="10805" max="10805" width="12.7109375" style="223" customWidth="1"/>
    <col min="10806" max="10806" width="6.28515625" style="223" bestFit="1" customWidth="1"/>
    <col min="10807" max="10808" width="8.42578125" style="223" customWidth="1"/>
    <col min="10809" max="10809" width="10.5703125" style="223" bestFit="1" customWidth="1"/>
    <col min="10810" max="10810" width="10.140625" style="223" bestFit="1" customWidth="1"/>
    <col min="10811" max="10811" width="9.7109375" style="223" bestFit="1" customWidth="1"/>
    <col min="10812" max="10812" width="6.28515625" style="223" bestFit="1" customWidth="1"/>
    <col min="10813" max="10813" width="10.5703125" style="223" bestFit="1" customWidth="1"/>
    <col min="10814" max="10814" width="6.42578125" style="223" customWidth="1"/>
    <col min="10815" max="10815" width="12.42578125" style="223" customWidth="1"/>
    <col min="10816" max="10816" width="7.42578125" style="223" customWidth="1"/>
    <col min="10817" max="10817" width="10.5703125" style="223" bestFit="1" customWidth="1"/>
    <col min="10818" max="10818" width="7.42578125" style="223" customWidth="1"/>
    <col min="10819" max="10819" width="11.7109375" style="223" customWidth="1"/>
    <col min="10820" max="10820" width="6.28515625" style="223" customWidth="1"/>
    <col min="10821" max="10821" width="10.5703125" style="223" bestFit="1" customWidth="1"/>
    <col min="10822" max="10822" width="7.42578125" style="223" customWidth="1"/>
    <col min="10823" max="10823" width="10.42578125" style="223" customWidth="1"/>
    <col min="10824" max="10824" width="15.7109375" style="223" bestFit="1" customWidth="1"/>
    <col min="10825" max="10825" width="14.28515625" style="223" customWidth="1"/>
    <col min="10826" max="10827" width="7.42578125" style="223" customWidth="1"/>
    <col min="10828" max="10828" width="9" style="223" customWidth="1"/>
    <col min="10829" max="10829" width="11.42578125" style="223" customWidth="1"/>
    <col min="10830" max="11008" width="9.140625" style="223"/>
    <col min="11009" max="11009" width="3.85546875" style="223" customWidth="1"/>
    <col min="11010" max="11010" width="23" style="223" customWidth="1"/>
    <col min="11011" max="11011" width="5.42578125" style="223" customWidth="1"/>
    <col min="11012" max="11012" width="7.28515625" style="223" customWidth="1"/>
    <col min="11013" max="11013" width="9.7109375" style="223" customWidth="1"/>
    <col min="11014" max="11014" width="6.85546875" style="223" customWidth="1"/>
    <col min="11015" max="11015" width="6.140625" style="223" customWidth="1"/>
    <col min="11016" max="11016" width="7.7109375" style="223" customWidth="1"/>
    <col min="11017" max="11017" width="6.140625" style="223" customWidth="1"/>
    <col min="11018" max="11022" width="8.140625" style="223" customWidth="1"/>
    <col min="11023" max="11024" width="9.7109375" style="223" customWidth="1"/>
    <col min="11025" max="11028" width="6.140625" style="223" customWidth="1"/>
    <col min="11029" max="11032" width="10.28515625" style="223" customWidth="1"/>
    <col min="11033" max="11034" width="12" style="223" customWidth="1"/>
    <col min="11035" max="11035" width="12.42578125" style="223" customWidth="1"/>
    <col min="11036" max="11036" width="12.28515625" style="223" customWidth="1"/>
    <col min="11037" max="11037" width="9.28515625" style="223" customWidth="1"/>
    <col min="11038" max="11043" width="11.7109375" style="223" customWidth="1"/>
    <col min="11044" max="11044" width="13.85546875" style="223" customWidth="1"/>
    <col min="11045" max="11045" width="11.7109375" style="223" customWidth="1"/>
    <col min="11046" max="11046" width="15.42578125" style="223" customWidth="1"/>
    <col min="11047" max="11047" width="11.28515625" style="223" customWidth="1"/>
    <col min="11048" max="11049" width="6.140625" style="223" customWidth="1"/>
    <col min="11050" max="11050" width="8.42578125" style="223" bestFit="1" customWidth="1"/>
    <col min="11051" max="11052" width="8.7109375" style="223" customWidth="1"/>
    <col min="11053" max="11053" width="12.7109375" style="223" bestFit="1" customWidth="1"/>
    <col min="11054" max="11054" width="6.5703125" style="223" customWidth="1"/>
    <col min="11055" max="11055" width="12.28515625" style="223" customWidth="1"/>
    <col min="11056" max="11056" width="6.140625" style="223" customWidth="1"/>
    <col min="11057" max="11057" width="13" style="223" customWidth="1"/>
    <col min="11058" max="11058" width="8.28515625" style="223" bestFit="1" customWidth="1"/>
    <col min="11059" max="11060" width="8.42578125" style="223" customWidth="1"/>
    <col min="11061" max="11061" width="12.7109375" style="223" customWidth="1"/>
    <col min="11062" max="11062" width="6.28515625" style="223" bestFit="1" customWidth="1"/>
    <col min="11063" max="11064" width="8.42578125" style="223" customWidth="1"/>
    <col min="11065" max="11065" width="10.5703125" style="223" bestFit="1" customWidth="1"/>
    <col min="11066" max="11066" width="10.140625" style="223" bestFit="1" customWidth="1"/>
    <col min="11067" max="11067" width="9.7109375" style="223" bestFit="1" customWidth="1"/>
    <col min="11068" max="11068" width="6.28515625" style="223" bestFit="1" customWidth="1"/>
    <col min="11069" max="11069" width="10.5703125" style="223" bestFit="1" customWidth="1"/>
    <col min="11070" max="11070" width="6.42578125" style="223" customWidth="1"/>
    <col min="11071" max="11071" width="12.42578125" style="223" customWidth="1"/>
    <col min="11072" max="11072" width="7.42578125" style="223" customWidth="1"/>
    <col min="11073" max="11073" width="10.5703125" style="223" bestFit="1" customWidth="1"/>
    <col min="11074" max="11074" width="7.42578125" style="223" customWidth="1"/>
    <col min="11075" max="11075" width="11.7109375" style="223" customWidth="1"/>
    <col min="11076" max="11076" width="6.28515625" style="223" customWidth="1"/>
    <col min="11077" max="11077" width="10.5703125" style="223" bestFit="1" customWidth="1"/>
    <col min="11078" max="11078" width="7.42578125" style="223" customWidth="1"/>
    <col min="11079" max="11079" width="10.42578125" style="223" customWidth="1"/>
    <col min="11080" max="11080" width="15.7109375" style="223" bestFit="1" customWidth="1"/>
    <col min="11081" max="11081" width="14.28515625" style="223" customWidth="1"/>
    <col min="11082" max="11083" width="7.42578125" style="223" customWidth="1"/>
    <col min="11084" max="11084" width="9" style="223" customWidth="1"/>
    <col min="11085" max="11085" width="11.42578125" style="223" customWidth="1"/>
    <col min="11086" max="11264" width="9.140625" style="223"/>
    <col min="11265" max="11265" width="3.85546875" style="223" customWidth="1"/>
    <col min="11266" max="11266" width="23" style="223" customWidth="1"/>
    <col min="11267" max="11267" width="5.42578125" style="223" customWidth="1"/>
    <col min="11268" max="11268" width="7.28515625" style="223" customWidth="1"/>
    <col min="11269" max="11269" width="9.7109375" style="223" customWidth="1"/>
    <col min="11270" max="11270" width="6.85546875" style="223" customWidth="1"/>
    <col min="11271" max="11271" width="6.140625" style="223" customWidth="1"/>
    <col min="11272" max="11272" width="7.7109375" style="223" customWidth="1"/>
    <col min="11273" max="11273" width="6.140625" style="223" customWidth="1"/>
    <col min="11274" max="11278" width="8.140625" style="223" customWidth="1"/>
    <col min="11279" max="11280" width="9.7109375" style="223" customWidth="1"/>
    <col min="11281" max="11284" width="6.140625" style="223" customWidth="1"/>
    <col min="11285" max="11288" width="10.28515625" style="223" customWidth="1"/>
    <col min="11289" max="11290" width="12" style="223" customWidth="1"/>
    <col min="11291" max="11291" width="12.42578125" style="223" customWidth="1"/>
    <col min="11292" max="11292" width="12.28515625" style="223" customWidth="1"/>
    <col min="11293" max="11293" width="9.28515625" style="223" customWidth="1"/>
    <col min="11294" max="11299" width="11.7109375" style="223" customWidth="1"/>
    <col min="11300" max="11300" width="13.85546875" style="223" customWidth="1"/>
    <col min="11301" max="11301" width="11.7109375" style="223" customWidth="1"/>
    <col min="11302" max="11302" width="15.42578125" style="223" customWidth="1"/>
    <col min="11303" max="11303" width="11.28515625" style="223" customWidth="1"/>
    <col min="11304" max="11305" width="6.140625" style="223" customWidth="1"/>
    <col min="11306" max="11306" width="8.42578125" style="223" bestFit="1" customWidth="1"/>
    <col min="11307" max="11308" width="8.7109375" style="223" customWidth="1"/>
    <col min="11309" max="11309" width="12.7109375" style="223" bestFit="1" customWidth="1"/>
    <col min="11310" max="11310" width="6.5703125" style="223" customWidth="1"/>
    <col min="11311" max="11311" width="12.28515625" style="223" customWidth="1"/>
    <col min="11312" max="11312" width="6.140625" style="223" customWidth="1"/>
    <col min="11313" max="11313" width="13" style="223" customWidth="1"/>
    <col min="11314" max="11314" width="8.28515625" style="223" bestFit="1" customWidth="1"/>
    <col min="11315" max="11316" width="8.42578125" style="223" customWidth="1"/>
    <col min="11317" max="11317" width="12.7109375" style="223" customWidth="1"/>
    <col min="11318" max="11318" width="6.28515625" style="223" bestFit="1" customWidth="1"/>
    <col min="11319" max="11320" width="8.42578125" style="223" customWidth="1"/>
    <col min="11321" max="11321" width="10.5703125" style="223" bestFit="1" customWidth="1"/>
    <col min="11322" max="11322" width="10.140625" style="223" bestFit="1" customWidth="1"/>
    <col min="11323" max="11323" width="9.7109375" style="223" bestFit="1" customWidth="1"/>
    <col min="11324" max="11324" width="6.28515625" style="223" bestFit="1" customWidth="1"/>
    <col min="11325" max="11325" width="10.5703125" style="223" bestFit="1" customWidth="1"/>
    <col min="11326" max="11326" width="6.42578125" style="223" customWidth="1"/>
    <col min="11327" max="11327" width="12.42578125" style="223" customWidth="1"/>
    <col min="11328" max="11328" width="7.42578125" style="223" customWidth="1"/>
    <col min="11329" max="11329" width="10.5703125" style="223" bestFit="1" customWidth="1"/>
    <col min="11330" max="11330" width="7.42578125" style="223" customWidth="1"/>
    <col min="11331" max="11331" width="11.7109375" style="223" customWidth="1"/>
    <col min="11332" max="11332" width="6.28515625" style="223" customWidth="1"/>
    <col min="11333" max="11333" width="10.5703125" style="223" bestFit="1" customWidth="1"/>
    <col min="11334" max="11334" width="7.42578125" style="223" customWidth="1"/>
    <col min="11335" max="11335" width="10.42578125" style="223" customWidth="1"/>
    <col min="11336" max="11336" width="15.7109375" style="223" bestFit="1" customWidth="1"/>
    <col min="11337" max="11337" width="14.28515625" style="223" customWidth="1"/>
    <col min="11338" max="11339" width="7.42578125" style="223" customWidth="1"/>
    <col min="11340" max="11340" width="9" style="223" customWidth="1"/>
    <col min="11341" max="11341" width="11.42578125" style="223" customWidth="1"/>
    <col min="11342" max="11520" width="9.140625" style="223"/>
    <col min="11521" max="11521" width="3.85546875" style="223" customWidth="1"/>
    <col min="11522" max="11522" width="23" style="223" customWidth="1"/>
    <col min="11523" max="11523" width="5.42578125" style="223" customWidth="1"/>
    <col min="11524" max="11524" width="7.28515625" style="223" customWidth="1"/>
    <col min="11525" max="11525" width="9.7109375" style="223" customWidth="1"/>
    <col min="11526" max="11526" width="6.85546875" style="223" customWidth="1"/>
    <col min="11527" max="11527" width="6.140625" style="223" customWidth="1"/>
    <col min="11528" max="11528" width="7.7109375" style="223" customWidth="1"/>
    <col min="11529" max="11529" width="6.140625" style="223" customWidth="1"/>
    <col min="11530" max="11534" width="8.140625" style="223" customWidth="1"/>
    <col min="11535" max="11536" width="9.7109375" style="223" customWidth="1"/>
    <col min="11537" max="11540" width="6.140625" style="223" customWidth="1"/>
    <col min="11541" max="11544" width="10.28515625" style="223" customWidth="1"/>
    <col min="11545" max="11546" width="12" style="223" customWidth="1"/>
    <col min="11547" max="11547" width="12.42578125" style="223" customWidth="1"/>
    <col min="11548" max="11548" width="12.28515625" style="223" customWidth="1"/>
    <col min="11549" max="11549" width="9.28515625" style="223" customWidth="1"/>
    <col min="11550" max="11555" width="11.7109375" style="223" customWidth="1"/>
    <col min="11556" max="11556" width="13.85546875" style="223" customWidth="1"/>
    <col min="11557" max="11557" width="11.7109375" style="223" customWidth="1"/>
    <col min="11558" max="11558" width="15.42578125" style="223" customWidth="1"/>
    <col min="11559" max="11559" width="11.28515625" style="223" customWidth="1"/>
    <col min="11560" max="11561" width="6.140625" style="223" customWidth="1"/>
    <col min="11562" max="11562" width="8.42578125" style="223" bestFit="1" customWidth="1"/>
    <col min="11563" max="11564" width="8.7109375" style="223" customWidth="1"/>
    <col min="11565" max="11565" width="12.7109375" style="223" bestFit="1" customWidth="1"/>
    <col min="11566" max="11566" width="6.5703125" style="223" customWidth="1"/>
    <col min="11567" max="11567" width="12.28515625" style="223" customWidth="1"/>
    <col min="11568" max="11568" width="6.140625" style="223" customWidth="1"/>
    <col min="11569" max="11569" width="13" style="223" customWidth="1"/>
    <col min="11570" max="11570" width="8.28515625" style="223" bestFit="1" customWidth="1"/>
    <col min="11571" max="11572" width="8.42578125" style="223" customWidth="1"/>
    <col min="11573" max="11573" width="12.7109375" style="223" customWidth="1"/>
    <col min="11574" max="11574" width="6.28515625" style="223" bestFit="1" customWidth="1"/>
    <col min="11575" max="11576" width="8.42578125" style="223" customWidth="1"/>
    <col min="11577" max="11577" width="10.5703125" style="223" bestFit="1" customWidth="1"/>
    <col min="11578" max="11578" width="10.140625" style="223" bestFit="1" customWidth="1"/>
    <col min="11579" max="11579" width="9.7109375" style="223" bestFit="1" customWidth="1"/>
    <col min="11580" max="11580" width="6.28515625" style="223" bestFit="1" customWidth="1"/>
    <col min="11581" max="11581" width="10.5703125" style="223" bestFit="1" customWidth="1"/>
    <col min="11582" max="11582" width="6.42578125" style="223" customWidth="1"/>
    <col min="11583" max="11583" width="12.42578125" style="223" customWidth="1"/>
    <col min="11584" max="11584" width="7.42578125" style="223" customWidth="1"/>
    <col min="11585" max="11585" width="10.5703125" style="223" bestFit="1" customWidth="1"/>
    <col min="11586" max="11586" width="7.42578125" style="223" customWidth="1"/>
    <col min="11587" max="11587" width="11.7109375" style="223" customWidth="1"/>
    <col min="11588" max="11588" width="6.28515625" style="223" customWidth="1"/>
    <col min="11589" max="11589" width="10.5703125" style="223" bestFit="1" customWidth="1"/>
    <col min="11590" max="11590" width="7.42578125" style="223" customWidth="1"/>
    <col min="11591" max="11591" width="10.42578125" style="223" customWidth="1"/>
    <col min="11592" max="11592" width="15.7109375" style="223" bestFit="1" customWidth="1"/>
    <col min="11593" max="11593" width="14.28515625" style="223" customWidth="1"/>
    <col min="11594" max="11595" width="7.42578125" style="223" customWidth="1"/>
    <col min="11596" max="11596" width="9" style="223" customWidth="1"/>
    <col min="11597" max="11597" width="11.42578125" style="223" customWidth="1"/>
    <col min="11598" max="11776" width="9.140625" style="223"/>
    <col min="11777" max="11777" width="3.85546875" style="223" customWidth="1"/>
    <col min="11778" max="11778" width="23" style="223" customWidth="1"/>
    <col min="11779" max="11779" width="5.42578125" style="223" customWidth="1"/>
    <col min="11780" max="11780" width="7.28515625" style="223" customWidth="1"/>
    <col min="11781" max="11781" width="9.7109375" style="223" customWidth="1"/>
    <col min="11782" max="11782" width="6.85546875" style="223" customWidth="1"/>
    <col min="11783" max="11783" width="6.140625" style="223" customWidth="1"/>
    <col min="11784" max="11784" width="7.7109375" style="223" customWidth="1"/>
    <col min="11785" max="11785" width="6.140625" style="223" customWidth="1"/>
    <col min="11786" max="11790" width="8.140625" style="223" customWidth="1"/>
    <col min="11791" max="11792" width="9.7109375" style="223" customWidth="1"/>
    <col min="11793" max="11796" width="6.140625" style="223" customWidth="1"/>
    <col min="11797" max="11800" width="10.28515625" style="223" customWidth="1"/>
    <col min="11801" max="11802" width="12" style="223" customWidth="1"/>
    <col min="11803" max="11803" width="12.42578125" style="223" customWidth="1"/>
    <col min="11804" max="11804" width="12.28515625" style="223" customWidth="1"/>
    <col min="11805" max="11805" width="9.28515625" style="223" customWidth="1"/>
    <col min="11806" max="11811" width="11.7109375" style="223" customWidth="1"/>
    <col min="11812" max="11812" width="13.85546875" style="223" customWidth="1"/>
    <col min="11813" max="11813" width="11.7109375" style="223" customWidth="1"/>
    <col min="11814" max="11814" width="15.42578125" style="223" customWidth="1"/>
    <col min="11815" max="11815" width="11.28515625" style="223" customWidth="1"/>
    <col min="11816" max="11817" width="6.140625" style="223" customWidth="1"/>
    <col min="11818" max="11818" width="8.42578125" style="223" bestFit="1" customWidth="1"/>
    <col min="11819" max="11820" width="8.7109375" style="223" customWidth="1"/>
    <col min="11821" max="11821" width="12.7109375" style="223" bestFit="1" customWidth="1"/>
    <col min="11822" max="11822" width="6.5703125" style="223" customWidth="1"/>
    <col min="11823" max="11823" width="12.28515625" style="223" customWidth="1"/>
    <col min="11824" max="11824" width="6.140625" style="223" customWidth="1"/>
    <col min="11825" max="11825" width="13" style="223" customWidth="1"/>
    <col min="11826" max="11826" width="8.28515625" style="223" bestFit="1" customWidth="1"/>
    <col min="11827" max="11828" width="8.42578125" style="223" customWidth="1"/>
    <col min="11829" max="11829" width="12.7109375" style="223" customWidth="1"/>
    <col min="11830" max="11830" width="6.28515625" style="223" bestFit="1" customWidth="1"/>
    <col min="11831" max="11832" width="8.42578125" style="223" customWidth="1"/>
    <col min="11833" max="11833" width="10.5703125" style="223" bestFit="1" customWidth="1"/>
    <col min="11834" max="11834" width="10.140625" style="223" bestFit="1" customWidth="1"/>
    <col min="11835" max="11835" width="9.7109375" style="223" bestFit="1" customWidth="1"/>
    <col min="11836" max="11836" width="6.28515625" style="223" bestFit="1" customWidth="1"/>
    <col min="11837" max="11837" width="10.5703125" style="223" bestFit="1" customWidth="1"/>
    <col min="11838" max="11838" width="6.42578125" style="223" customWidth="1"/>
    <col min="11839" max="11839" width="12.42578125" style="223" customWidth="1"/>
    <col min="11840" max="11840" width="7.42578125" style="223" customWidth="1"/>
    <col min="11841" max="11841" width="10.5703125" style="223" bestFit="1" customWidth="1"/>
    <col min="11842" max="11842" width="7.42578125" style="223" customWidth="1"/>
    <col min="11843" max="11843" width="11.7109375" style="223" customWidth="1"/>
    <col min="11844" max="11844" width="6.28515625" style="223" customWidth="1"/>
    <col min="11845" max="11845" width="10.5703125" style="223" bestFit="1" customWidth="1"/>
    <col min="11846" max="11846" width="7.42578125" style="223" customWidth="1"/>
    <col min="11847" max="11847" width="10.42578125" style="223" customWidth="1"/>
    <col min="11848" max="11848" width="15.7109375" style="223" bestFit="1" customWidth="1"/>
    <col min="11849" max="11849" width="14.28515625" style="223" customWidth="1"/>
    <col min="11850" max="11851" width="7.42578125" style="223" customWidth="1"/>
    <col min="11852" max="11852" width="9" style="223" customWidth="1"/>
    <col min="11853" max="11853" width="11.42578125" style="223" customWidth="1"/>
    <col min="11854" max="12032" width="9.140625" style="223"/>
    <col min="12033" max="12033" width="3.85546875" style="223" customWidth="1"/>
    <col min="12034" max="12034" width="23" style="223" customWidth="1"/>
    <col min="12035" max="12035" width="5.42578125" style="223" customWidth="1"/>
    <col min="12036" max="12036" width="7.28515625" style="223" customWidth="1"/>
    <col min="12037" max="12037" width="9.7109375" style="223" customWidth="1"/>
    <col min="12038" max="12038" width="6.85546875" style="223" customWidth="1"/>
    <col min="12039" max="12039" width="6.140625" style="223" customWidth="1"/>
    <col min="12040" max="12040" width="7.7109375" style="223" customWidth="1"/>
    <col min="12041" max="12041" width="6.140625" style="223" customWidth="1"/>
    <col min="12042" max="12046" width="8.140625" style="223" customWidth="1"/>
    <col min="12047" max="12048" width="9.7109375" style="223" customWidth="1"/>
    <col min="12049" max="12052" width="6.140625" style="223" customWidth="1"/>
    <col min="12053" max="12056" width="10.28515625" style="223" customWidth="1"/>
    <col min="12057" max="12058" width="12" style="223" customWidth="1"/>
    <col min="12059" max="12059" width="12.42578125" style="223" customWidth="1"/>
    <col min="12060" max="12060" width="12.28515625" style="223" customWidth="1"/>
    <col min="12061" max="12061" width="9.28515625" style="223" customWidth="1"/>
    <col min="12062" max="12067" width="11.7109375" style="223" customWidth="1"/>
    <col min="12068" max="12068" width="13.85546875" style="223" customWidth="1"/>
    <col min="12069" max="12069" width="11.7109375" style="223" customWidth="1"/>
    <col min="12070" max="12070" width="15.42578125" style="223" customWidth="1"/>
    <col min="12071" max="12071" width="11.28515625" style="223" customWidth="1"/>
    <col min="12072" max="12073" width="6.140625" style="223" customWidth="1"/>
    <col min="12074" max="12074" width="8.42578125" style="223" bestFit="1" customWidth="1"/>
    <col min="12075" max="12076" width="8.7109375" style="223" customWidth="1"/>
    <col min="12077" max="12077" width="12.7109375" style="223" bestFit="1" customWidth="1"/>
    <col min="12078" max="12078" width="6.5703125" style="223" customWidth="1"/>
    <col min="12079" max="12079" width="12.28515625" style="223" customWidth="1"/>
    <col min="12080" max="12080" width="6.140625" style="223" customWidth="1"/>
    <col min="12081" max="12081" width="13" style="223" customWidth="1"/>
    <col min="12082" max="12082" width="8.28515625" style="223" bestFit="1" customWidth="1"/>
    <col min="12083" max="12084" width="8.42578125" style="223" customWidth="1"/>
    <col min="12085" max="12085" width="12.7109375" style="223" customWidth="1"/>
    <col min="12086" max="12086" width="6.28515625" style="223" bestFit="1" customWidth="1"/>
    <col min="12087" max="12088" width="8.42578125" style="223" customWidth="1"/>
    <col min="12089" max="12089" width="10.5703125" style="223" bestFit="1" customWidth="1"/>
    <col min="12090" max="12090" width="10.140625" style="223" bestFit="1" customWidth="1"/>
    <col min="12091" max="12091" width="9.7109375" style="223" bestFit="1" customWidth="1"/>
    <col min="12092" max="12092" width="6.28515625" style="223" bestFit="1" customWidth="1"/>
    <col min="12093" max="12093" width="10.5703125" style="223" bestFit="1" customWidth="1"/>
    <col min="12094" max="12094" width="6.42578125" style="223" customWidth="1"/>
    <col min="12095" max="12095" width="12.42578125" style="223" customWidth="1"/>
    <col min="12096" max="12096" width="7.42578125" style="223" customWidth="1"/>
    <col min="12097" max="12097" width="10.5703125" style="223" bestFit="1" customWidth="1"/>
    <col min="12098" max="12098" width="7.42578125" style="223" customWidth="1"/>
    <col min="12099" max="12099" width="11.7109375" style="223" customWidth="1"/>
    <col min="12100" max="12100" width="6.28515625" style="223" customWidth="1"/>
    <col min="12101" max="12101" width="10.5703125" style="223" bestFit="1" customWidth="1"/>
    <col min="12102" max="12102" width="7.42578125" style="223" customWidth="1"/>
    <col min="12103" max="12103" width="10.42578125" style="223" customWidth="1"/>
    <col min="12104" max="12104" width="15.7109375" style="223" bestFit="1" customWidth="1"/>
    <col min="12105" max="12105" width="14.28515625" style="223" customWidth="1"/>
    <col min="12106" max="12107" width="7.42578125" style="223" customWidth="1"/>
    <col min="12108" max="12108" width="9" style="223" customWidth="1"/>
    <col min="12109" max="12109" width="11.42578125" style="223" customWidth="1"/>
    <col min="12110" max="12288" width="9.140625" style="223"/>
    <col min="12289" max="12289" width="3.85546875" style="223" customWidth="1"/>
    <col min="12290" max="12290" width="23" style="223" customWidth="1"/>
    <col min="12291" max="12291" width="5.42578125" style="223" customWidth="1"/>
    <col min="12292" max="12292" width="7.28515625" style="223" customWidth="1"/>
    <col min="12293" max="12293" width="9.7109375" style="223" customWidth="1"/>
    <col min="12294" max="12294" width="6.85546875" style="223" customWidth="1"/>
    <col min="12295" max="12295" width="6.140625" style="223" customWidth="1"/>
    <col min="12296" max="12296" width="7.7109375" style="223" customWidth="1"/>
    <col min="12297" max="12297" width="6.140625" style="223" customWidth="1"/>
    <col min="12298" max="12302" width="8.140625" style="223" customWidth="1"/>
    <col min="12303" max="12304" width="9.7109375" style="223" customWidth="1"/>
    <col min="12305" max="12308" width="6.140625" style="223" customWidth="1"/>
    <col min="12309" max="12312" width="10.28515625" style="223" customWidth="1"/>
    <col min="12313" max="12314" width="12" style="223" customWidth="1"/>
    <col min="12315" max="12315" width="12.42578125" style="223" customWidth="1"/>
    <col min="12316" max="12316" width="12.28515625" style="223" customWidth="1"/>
    <col min="12317" max="12317" width="9.28515625" style="223" customWidth="1"/>
    <col min="12318" max="12323" width="11.7109375" style="223" customWidth="1"/>
    <col min="12324" max="12324" width="13.85546875" style="223" customWidth="1"/>
    <col min="12325" max="12325" width="11.7109375" style="223" customWidth="1"/>
    <col min="12326" max="12326" width="15.42578125" style="223" customWidth="1"/>
    <col min="12327" max="12327" width="11.28515625" style="223" customWidth="1"/>
    <col min="12328" max="12329" width="6.140625" style="223" customWidth="1"/>
    <col min="12330" max="12330" width="8.42578125" style="223" bestFit="1" customWidth="1"/>
    <col min="12331" max="12332" width="8.7109375" style="223" customWidth="1"/>
    <col min="12333" max="12333" width="12.7109375" style="223" bestFit="1" customWidth="1"/>
    <col min="12334" max="12334" width="6.5703125" style="223" customWidth="1"/>
    <col min="12335" max="12335" width="12.28515625" style="223" customWidth="1"/>
    <col min="12336" max="12336" width="6.140625" style="223" customWidth="1"/>
    <col min="12337" max="12337" width="13" style="223" customWidth="1"/>
    <col min="12338" max="12338" width="8.28515625" style="223" bestFit="1" customWidth="1"/>
    <col min="12339" max="12340" width="8.42578125" style="223" customWidth="1"/>
    <col min="12341" max="12341" width="12.7109375" style="223" customWidth="1"/>
    <col min="12342" max="12342" width="6.28515625" style="223" bestFit="1" customWidth="1"/>
    <col min="12343" max="12344" width="8.42578125" style="223" customWidth="1"/>
    <col min="12345" max="12345" width="10.5703125" style="223" bestFit="1" customWidth="1"/>
    <col min="12346" max="12346" width="10.140625" style="223" bestFit="1" customWidth="1"/>
    <col min="12347" max="12347" width="9.7109375" style="223" bestFit="1" customWidth="1"/>
    <col min="12348" max="12348" width="6.28515625" style="223" bestFit="1" customWidth="1"/>
    <col min="12349" max="12349" width="10.5703125" style="223" bestFit="1" customWidth="1"/>
    <col min="12350" max="12350" width="6.42578125" style="223" customWidth="1"/>
    <col min="12351" max="12351" width="12.42578125" style="223" customWidth="1"/>
    <col min="12352" max="12352" width="7.42578125" style="223" customWidth="1"/>
    <col min="12353" max="12353" width="10.5703125" style="223" bestFit="1" customWidth="1"/>
    <col min="12354" max="12354" width="7.42578125" style="223" customWidth="1"/>
    <col min="12355" max="12355" width="11.7109375" style="223" customWidth="1"/>
    <col min="12356" max="12356" width="6.28515625" style="223" customWidth="1"/>
    <col min="12357" max="12357" width="10.5703125" style="223" bestFit="1" customWidth="1"/>
    <col min="12358" max="12358" width="7.42578125" style="223" customWidth="1"/>
    <col min="12359" max="12359" width="10.42578125" style="223" customWidth="1"/>
    <col min="12360" max="12360" width="15.7109375" style="223" bestFit="1" customWidth="1"/>
    <col min="12361" max="12361" width="14.28515625" style="223" customWidth="1"/>
    <col min="12362" max="12363" width="7.42578125" style="223" customWidth="1"/>
    <col min="12364" max="12364" width="9" style="223" customWidth="1"/>
    <col min="12365" max="12365" width="11.42578125" style="223" customWidth="1"/>
    <col min="12366" max="12544" width="9.140625" style="223"/>
    <col min="12545" max="12545" width="3.85546875" style="223" customWidth="1"/>
    <col min="12546" max="12546" width="23" style="223" customWidth="1"/>
    <col min="12547" max="12547" width="5.42578125" style="223" customWidth="1"/>
    <col min="12548" max="12548" width="7.28515625" style="223" customWidth="1"/>
    <col min="12549" max="12549" width="9.7109375" style="223" customWidth="1"/>
    <col min="12550" max="12550" width="6.85546875" style="223" customWidth="1"/>
    <col min="12551" max="12551" width="6.140625" style="223" customWidth="1"/>
    <col min="12552" max="12552" width="7.7109375" style="223" customWidth="1"/>
    <col min="12553" max="12553" width="6.140625" style="223" customWidth="1"/>
    <col min="12554" max="12558" width="8.140625" style="223" customWidth="1"/>
    <col min="12559" max="12560" width="9.7109375" style="223" customWidth="1"/>
    <col min="12561" max="12564" width="6.140625" style="223" customWidth="1"/>
    <col min="12565" max="12568" width="10.28515625" style="223" customWidth="1"/>
    <col min="12569" max="12570" width="12" style="223" customWidth="1"/>
    <col min="12571" max="12571" width="12.42578125" style="223" customWidth="1"/>
    <col min="12572" max="12572" width="12.28515625" style="223" customWidth="1"/>
    <col min="12573" max="12573" width="9.28515625" style="223" customWidth="1"/>
    <col min="12574" max="12579" width="11.7109375" style="223" customWidth="1"/>
    <col min="12580" max="12580" width="13.85546875" style="223" customWidth="1"/>
    <col min="12581" max="12581" width="11.7109375" style="223" customWidth="1"/>
    <col min="12582" max="12582" width="15.42578125" style="223" customWidth="1"/>
    <col min="12583" max="12583" width="11.28515625" style="223" customWidth="1"/>
    <col min="12584" max="12585" width="6.140625" style="223" customWidth="1"/>
    <col min="12586" max="12586" width="8.42578125" style="223" bestFit="1" customWidth="1"/>
    <col min="12587" max="12588" width="8.7109375" style="223" customWidth="1"/>
    <col min="12589" max="12589" width="12.7109375" style="223" bestFit="1" customWidth="1"/>
    <col min="12590" max="12590" width="6.5703125" style="223" customWidth="1"/>
    <col min="12591" max="12591" width="12.28515625" style="223" customWidth="1"/>
    <col min="12592" max="12592" width="6.140625" style="223" customWidth="1"/>
    <col min="12593" max="12593" width="13" style="223" customWidth="1"/>
    <col min="12594" max="12594" width="8.28515625" style="223" bestFit="1" customWidth="1"/>
    <col min="12595" max="12596" width="8.42578125" style="223" customWidth="1"/>
    <col min="12597" max="12597" width="12.7109375" style="223" customWidth="1"/>
    <col min="12598" max="12598" width="6.28515625" style="223" bestFit="1" customWidth="1"/>
    <col min="12599" max="12600" width="8.42578125" style="223" customWidth="1"/>
    <col min="12601" max="12601" width="10.5703125" style="223" bestFit="1" customWidth="1"/>
    <col min="12602" max="12602" width="10.140625" style="223" bestFit="1" customWidth="1"/>
    <col min="12603" max="12603" width="9.7109375" style="223" bestFit="1" customWidth="1"/>
    <col min="12604" max="12604" width="6.28515625" style="223" bestFit="1" customWidth="1"/>
    <col min="12605" max="12605" width="10.5703125" style="223" bestFit="1" customWidth="1"/>
    <col min="12606" max="12606" width="6.42578125" style="223" customWidth="1"/>
    <col min="12607" max="12607" width="12.42578125" style="223" customWidth="1"/>
    <col min="12608" max="12608" width="7.42578125" style="223" customWidth="1"/>
    <col min="12609" max="12609" width="10.5703125" style="223" bestFit="1" customWidth="1"/>
    <col min="12610" max="12610" width="7.42578125" style="223" customWidth="1"/>
    <col min="12611" max="12611" width="11.7109375" style="223" customWidth="1"/>
    <col min="12612" max="12612" width="6.28515625" style="223" customWidth="1"/>
    <col min="12613" max="12613" width="10.5703125" style="223" bestFit="1" customWidth="1"/>
    <col min="12614" max="12614" width="7.42578125" style="223" customWidth="1"/>
    <col min="12615" max="12615" width="10.42578125" style="223" customWidth="1"/>
    <col min="12616" max="12616" width="15.7109375" style="223" bestFit="1" customWidth="1"/>
    <col min="12617" max="12617" width="14.28515625" style="223" customWidth="1"/>
    <col min="12618" max="12619" width="7.42578125" style="223" customWidth="1"/>
    <col min="12620" max="12620" width="9" style="223" customWidth="1"/>
    <col min="12621" max="12621" width="11.42578125" style="223" customWidth="1"/>
    <col min="12622" max="12800" width="9.140625" style="223"/>
    <col min="12801" max="12801" width="3.85546875" style="223" customWidth="1"/>
    <col min="12802" max="12802" width="23" style="223" customWidth="1"/>
    <col min="12803" max="12803" width="5.42578125" style="223" customWidth="1"/>
    <col min="12804" max="12804" width="7.28515625" style="223" customWidth="1"/>
    <col min="12805" max="12805" width="9.7109375" style="223" customWidth="1"/>
    <col min="12806" max="12806" width="6.85546875" style="223" customWidth="1"/>
    <col min="12807" max="12807" width="6.140625" style="223" customWidth="1"/>
    <col min="12808" max="12808" width="7.7109375" style="223" customWidth="1"/>
    <col min="12809" max="12809" width="6.140625" style="223" customWidth="1"/>
    <col min="12810" max="12814" width="8.140625" style="223" customWidth="1"/>
    <col min="12815" max="12816" width="9.7109375" style="223" customWidth="1"/>
    <col min="12817" max="12820" width="6.140625" style="223" customWidth="1"/>
    <col min="12821" max="12824" width="10.28515625" style="223" customWidth="1"/>
    <col min="12825" max="12826" width="12" style="223" customWidth="1"/>
    <col min="12827" max="12827" width="12.42578125" style="223" customWidth="1"/>
    <col min="12828" max="12828" width="12.28515625" style="223" customWidth="1"/>
    <col min="12829" max="12829" width="9.28515625" style="223" customWidth="1"/>
    <col min="12830" max="12835" width="11.7109375" style="223" customWidth="1"/>
    <col min="12836" max="12836" width="13.85546875" style="223" customWidth="1"/>
    <col min="12837" max="12837" width="11.7109375" style="223" customWidth="1"/>
    <col min="12838" max="12838" width="15.42578125" style="223" customWidth="1"/>
    <col min="12839" max="12839" width="11.28515625" style="223" customWidth="1"/>
    <col min="12840" max="12841" width="6.140625" style="223" customWidth="1"/>
    <col min="12842" max="12842" width="8.42578125" style="223" bestFit="1" customWidth="1"/>
    <col min="12843" max="12844" width="8.7109375" style="223" customWidth="1"/>
    <col min="12845" max="12845" width="12.7109375" style="223" bestFit="1" customWidth="1"/>
    <col min="12846" max="12846" width="6.5703125" style="223" customWidth="1"/>
    <col min="12847" max="12847" width="12.28515625" style="223" customWidth="1"/>
    <col min="12848" max="12848" width="6.140625" style="223" customWidth="1"/>
    <col min="12849" max="12849" width="13" style="223" customWidth="1"/>
    <col min="12850" max="12850" width="8.28515625" style="223" bestFit="1" customWidth="1"/>
    <col min="12851" max="12852" width="8.42578125" style="223" customWidth="1"/>
    <col min="12853" max="12853" width="12.7109375" style="223" customWidth="1"/>
    <col min="12854" max="12854" width="6.28515625" style="223" bestFit="1" customWidth="1"/>
    <col min="12855" max="12856" width="8.42578125" style="223" customWidth="1"/>
    <col min="12857" max="12857" width="10.5703125" style="223" bestFit="1" customWidth="1"/>
    <col min="12858" max="12858" width="10.140625" style="223" bestFit="1" customWidth="1"/>
    <col min="12859" max="12859" width="9.7109375" style="223" bestFit="1" customWidth="1"/>
    <col min="12860" max="12860" width="6.28515625" style="223" bestFit="1" customWidth="1"/>
    <col min="12861" max="12861" width="10.5703125" style="223" bestFit="1" customWidth="1"/>
    <col min="12862" max="12862" width="6.42578125" style="223" customWidth="1"/>
    <col min="12863" max="12863" width="12.42578125" style="223" customWidth="1"/>
    <col min="12864" max="12864" width="7.42578125" style="223" customWidth="1"/>
    <col min="12865" max="12865" width="10.5703125" style="223" bestFit="1" customWidth="1"/>
    <col min="12866" max="12866" width="7.42578125" style="223" customWidth="1"/>
    <col min="12867" max="12867" width="11.7109375" style="223" customWidth="1"/>
    <col min="12868" max="12868" width="6.28515625" style="223" customWidth="1"/>
    <col min="12869" max="12869" width="10.5703125" style="223" bestFit="1" customWidth="1"/>
    <col min="12870" max="12870" width="7.42578125" style="223" customWidth="1"/>
    <col min="12871" max="12871" width="10.42578125" style="223" customWidth="1"/>
    <col min="12872" max="12872" width="15.7109375" style="223" bestFit="1" customWidth="1"/>
    <col min="12873" max="12873" width="14.28515625" style="223" customWidth="1"/>
    <col min="12874" max="12875" width="7.42578125" style="223" customWidth="1"/>
    <col min="12876" max="12876" width="9" style="223" customWidth="1"/>
    <col min="12877" max="12877" width="11.42578125" style="223" customWidth="1"/>
    <col min="12878" max="13056" width="9.140625" style="223"/>
    <col min="13057" max="13057" width="3.85546875" style="223" customWidth="1"/>
    <col min="13058" max="13058" width="23" style="223" customWidth="1"/>
    <col min="13059" max="13059" width="5.42578125" style="223" customWidth="1"/>
    <col min="13060" max="13060" width="7.28515625" style="223" customWidth="1"/>
    <col min="13061" max="13061" width="9.7109375" style="223" customWidth="1"/>
    <col min="13062" max="13062" width="6.85546875" style="223" customWidth="1"/>
    <col min="13063" max="13063" width="6.140625" style="223" customWidth="1"/>
    <col min="13064" max="13064" width="7.7109375" style="223" customWidth="1"/>
    <col min="13065" max="13065" width="6.140625" style="223" customWidth="1"/>
    <col min="13066" max="13070" width="8.140625" style="223" customWidth="1"/>
    <col min="13071" max="13072" width="9.7109375" style="223" customWidth="1"/>
    <col min="13073" max="13076" width="6.140625" style="223" customWidth="1"/>
    <col min="13077" max="13080" width="10.28515625" style="223" customWidth="1"/>
    <col min="13081" max="13082" width="12" style="223" customWidth="1"/>
    <col min="13083" max="13083" width="12.42578125" style="223" customWidth="1"/>
    <col min="13084" max="13084" width="12.28515625" style="223" customWidth="1"/>
    <col min="13085" max="13085" width="9.28515625" style="223" customWidth="1"/>
    <col min="13086" max="13091" width="11.7109375" style="223" customWidth="1"/>
    <col min="13092" max="13092" width="13.85546875" style="223" customWidth="1"/>
    <col min="13093" max="13093" width="11.7109375" style="223" customWidth="1"/>
    <col min="13094" max="13094" width="15.42578125" style="223" customWidth="1"/>
    <col min="13095" max="13095" width="11.28515625" style="223" customWidth="1"/>
    <col min="13096" max="13097" width="6.140625" style="223" customWidth="1"/>
    <col min="13098" max="13098" width="8.42578125" style="223" bestFit="1" customWidth="1"/>
    <col min="13099" max="13100" width="8.7109375" style="223" customWidth="1"/>
    <col min="13101" max="13101" width="12.7109375" style="223" bestFit="1" customWidth="1"/>
    <col min="13102" max="13102" width="6.5703125" style="223" customWidth="1"/>
    <col min="13103" max="13103" width="12.28515625" style="223" customWidth="1"/>
    <col min="13104" max="13104" width="6.140625" style="223" customWidth="1"/>
    <col min="13105" max="13105" width="13" style="223" customWidth="1"/>
    <col min="13106" max="13106" width="8.28515625" style="223" bestFit="1" customWidth="1"/>
    <col min="13107" max="13108" width="8.42578125" style="223" customWidth="1"/>
    <col min="13109" max="13109" width="12.7109375" style="223" customWidth="1"/>
    <col min="13110" max="13110" width="6.28515625" style="223" bestFit="1" customWidth="1"/>
    <col min="13111" max="13112" width="8.42578125" style="223" customWidth="1"/>
    <col min="13113" max="13113" width="10.5703125" style="223" bestFit="1" customWidth="1"/>
    <col min="13114" max="13114" width="10.140625" style="223" bestFit="1" customWidth="1"/>
    <col min="13115" max="13115" width="9.7109375" style="223" bestFit="1" customWidth="1"/>
    <col min="13116" max="13116" width="6.28515625" style="223" bestFit="1" customWidth="1"/>
    <col min="13117" max="13117" width="10.5703125" style="223" bestFit="1" customWidth="1"/>
    <col min="13118" max="13118" width="6.42578125" style="223" customWidth="1"/>
    <col min="13119" max="13119" width="12.42578125" style="223" customWidth="1"/>
    <col min="13120" max="13120" width="7.42578125" style="223" customWidth="1"/>
    <col min="13121" max="13121" width="10.5703125" style="223" bestFit="1" customWidth="1"/>
    <col min="13122" max="13122" width="7.42578125" style="223" customWidth="1"/>
    <col min="13123" max="13123" width="11.7109375" style="223" customWidth="1"/>
    <col min="13124" max="13124" width="6.28515625" style="223" customWidth="1"/>
    <col min="13125" max="13125" width="10.5703125" style="223" bestFit="1" customWidth="1"/>
    <col min="13126" max="13126" width="7.42578125" style="223" customWidth="1"/>
    <col min="13127" max="13127" width="10.42578125" style="223" customWidth="1"/>
    <col min="13128" max="13128" width="15.7109375" style="223" bestFit="1" customWidth="1"/>
    <col min="13129" max="13129" width="14.28515625" style="223" customWidth="1"/>
    <col min="13130" max="13131" width="7.42578125" style="223" customWidth="1"/>
    <col min="13132" max="13132" width="9" style="223" customWidth="1"/>
    <col min="13133" max="13133" width="11.42578125" style="223" customWidth="1"/>
    <col min="13134" max="13312" width="9.140625" style="223"/>
    <col min="13313" max="13313" width="3.85546875" style="223" customWidth="1"/>
    <col min="13314" max="13314" width="23" style="223" customWidth="1"/>
    <col min="13315" max="13315" width="5.42578125" style="223" customWidth="1"/>
    <col min="13316" max="13316" width="7.28515625" style="223" customWidth="1"/>
    <col min="13317" max="13317" width="9.7109375" style="223" customWidth="1"/>
    <col min="13318" max="13318" width="6.85546875" style="223" customWidth="1"/>
    <col min="13319" max="13319" width="6.140625" style="223" customWidth="1"/>
    <col min="13320" max="13320" width="7.7109375" style="223" customWidth="1"/>
    <col min="13321" max="13321" width="6.140625" style="223" customWidth="1"/>
    <col min="13322" max="13326" width="8.140625" style="223" customWidth="1"/>
    <col min="13327" max="13328" width="9.7109375" style="223" customWidth="1"/>
    <col min="13329" max="13332" width="6.140625" style="223" customWidth="1"/>
    <col min="13333" max="13336" width="10.28515625" style="223" customWidth="1"/>
    <col min="13337" max="13338" width="12" style="223" customWidth="1"/>
    <col min="13339" max="13339" width="12.42578125" style="223" customWidth="1"/>
    <col min="13340" max="13340" width="12.28515625" style="223" customWidth="1"/>
    <col min="13341" max="13341" width="9.28515625" style="223" customWidth="1"/>
    <col min="13342" max="13347" width="11.7109375" style="223" customWidth="1"/>
    <col min="13348" max="13348" width="13.85546875" style="223" customWidth="1"/>
    <col min="13349" max="13349" width="11.7109375" style="223" customWidth="1"/>
    <col min="13350" max="13350" width="15.42578125" style="223" customWidth="1"/>
    <col min="13351" max="13351" width="11.28515625" style="223" customWidth="1"/>
    <col min="13352" max="13353" width="6.140625" style="223" customWidth="1"/>
    <col min="13354" max="13354" width="8.42578125" style="223" bestFit="1" customWidth="1"/>
    <col min="13355" max="13356" width="8.7109375" style="223" customWidth="1"/>
    <col min="13357" max="13357" width="12.7109375" style="223" bestFit="1" customWidth="1"/>
    <col min="13358" max="13358" width="6.5703125" style="223" customWidth="1"/>
    <col min="13359" max="13359" width="12.28515625" style="223" customWidth="1"/>
    <col min="13360" max="13360" width="6.140625" style="223" customWidth="1"/>
    <col min="13361" max="13361" width="13" style="223" customWidth="1"/>
    <col min="13362" max="13362" width="8.28515625" style="223" bestFit="1" customWidth="1"/>
    <col min="13363" max="13364" width="8.42578125" style="223" customWidth="1"/>
    <col min="13365" max="13365" width="12.7109375" style="223" customWidth="1"/>
    <col min="13366" max="13366" width="6.28515625" style="223" bestFit="1" customWidth="1"/>
    <col min="13367" max="13368" width="8.42578125" style="223" customWidth="1"/>
    <col min="13369" max="13369" width="10.5703125" style="223" bestFit="1" customWidth="1"/>
    <col min="13370" max="13370" width="10.140625" style="223" bestFit="1" customWidth="1"/>
    <col min="13371" max="13371" width="9.7109375" style="223" bestFit="1" customWidth="1"/>
    <col min="13372" max="13372" width="6.28515625" style="223" bestFit="1" customWidth="1"/>
    <col min="13373" max="13373" width="10.5703125" style="223" bestFit="1" customWidth="1"/>
    <col min="13374" max="13374" width="6.42578125" style="223" customWidth="1"/>
    <col min="13375" max="13375" width="12.42578125" style="223" customWidth="1"/>
    <col min="13376" max="13376" width="7.42578125" style="223" customWidth="1"/>
    <col min="13377" max="13377" width="10.5703125" style="223" bestFit="1" customWidth="1"/>
    <col min="13378" max="13378" width="7.42578125" style="223" customWidth="1"/>
    <col min="13379" max="13379" width="11.7109375" style="223" customWidth="1"/>
    <col min="13380" max="13380" width="6.28515625" style="223" customWidth="1"/>
    <col min="13381" max="13381" width="10.5703125" style="223" bestFit="1" customWidth="1"/>
    <col min="13382" max="13382" width="7.42578125" style="223" customWidth="1"/>
    <col min="13383" max="13383" width="10.42578125" style="223" customWidth="1"/>
    <col min="13384" max="13384" width="15.7109375" style="223" bestFit="1" customWidth="1"/>
    <col min="13385" max="13385" width="14.28515625" style="223" customWidth="1"/>
    <col min="13386" max="13387" width="7.42578125" style="223" customWidth="1"/>
    <col min="13388" max="13388" width="9" style="223" customWidth="1"/>
    <col min="13389" max="13389" width="11.42578125" style="223" customWidth="1"/>
    <col min="13390" max="13568" width="9.140625" style="223"/>
    <col min="13569" max="13569" width="3.85546875" style="223" customWidth="1"/>
    <col min="13570" max="13570" width="23" style="223" customWidth="1"/>
    <col min="13571" max="13571" width="5.42578125" style="223" customWidth="1"/>
    <col min="13572" max="13572" width="7.28515625" style="223" customWidth="1"/>
    <col min="13573" max="13573" width="9.7109375" style="223" customWidth="1"/>
    <col min="13574" max="13574" width="6.85546875" style="223" customWidth="1"/>
    <col min="13575" max="13575" width="6.140625" style="223" customWidth="1"/>
    <col min="13576" max="13576" width="7.7109375" style="223" customWidth="1"/>
    <col min="13577" max="13577" width="6.140625" style="223" customWidth="1"/>
    <col min="13578" max="13582" width="8.140625" style="223" customWidth="1"/>
    <col min="13583" max="13584" width="9.7109375" style="223" customWidth="1"/>
    <col min="13585" max="13588" width="6.140625" style="223" customWidth="1"/>
    <col min="13589" max="13592" width="10.28515625" style="223" customWidth="1"/>
    <col min="13593" max="13594" width="12" style="223" customWidth="1"/>
    <col min="13595" max="13595" width="12.42578125" style="223" customWidth="1"/>
    <col min="13596" max="13596" width="12.28515625" style="223" customWidth="1"/>
    <col min="13597" max="13597" width="9.28515625" style="223" customWidth="1"/>
    <col min="13598" max="13603" width="11.7109375" style="223" customWidth="1"/>
    <col min="13604" max="13604" width="13.85546875" style="223" customWidth="1"/>
    <col min="13605" max="13605" width="11.7109375" style="223" customWidth="1"/>
    <col min="13606" max="13606" width="15.42578125" style="223" customWidth="1"/>
    <col min="13607" max="13607" width="11.28515625" style="223" customWidth="1"/>
    <col min="13608" max="13609" width="6.140625" style="223" customWidth="1"/>
    <col min="13610" max="13610" width="8.42578125" style="223" bestFit="1" customWidth="1"/>
    <col min="13611" max="13612" width="8.7109375" style="223" customWidth="1"/>
    <col min="13613" max="13613" width="12.7109375" style="223" bestFit="1" customWidth="1"/>
    <col min="13614" max="13614" width="6.5703125" style="223" customWidth="1"/>
    <col min="13615" max="13615" width="12.28515625" style="223" customWidth="1"/>
    <col min="13616" max="13616" width="6.140625" style="223" customWidth="1"/>
    <col min="13617" max="13617" width="13" style="223" customWidth="1"/>
    <col min="13618" max="13618" width="8.28515625" style="223" bestFit="1" customWidth="1"/>
    <col min="13619" max="13620" width="8.42578125" style="223" customWidth="1"/>
    <col min="13621" max="13621" width="12.7109375" style="223" customWidth="1"/>
    <col min="13622" max="13622" width="6.28515625" style="223" bestFit="1" customWidth="1"/>
    <col min="13623" max="13624" width="8.42578125" style="223" customWidth="1"/>
    <col min="13625" max="13625" width="10.5703125" style="223" bestFit="1" customWidth="1"/>
    <col min="13626" max="13626" width="10.140625" style="223" bestFit="1" customWidth="1"/>
    <col min="13627" max="13627" width="9.7109375" style="223" bestFit="1" customWidth="1"/>
    <col min="13628" max="13628" width="6.28515625" style="223" bestFit="1" customWidth="1"/>
    <col min="13629" max="13629" width="10.5703125" style="223" bestFit="1" customWidth="1"/>
    <col min="13630" max="13630" width="6.42578125" style="223" customWidth="1"/>
    <col min="13631" max="13631" width="12.42578125" style="223" customWidth="1"/>
    <col min="13632" max="13632" width="7.42578125" style="223" customWidth="1"/>
    <col min="13633" max="13633" width="10.5703125" style="223" bestFit="1" customWidth="1"/>
    <col min="13634" max="13634" width="7.42578125" style="223" customWidth="1"/>
    <col min="13635" max="13635" width="11.7109375" style="223" customWidth="1"/>
    <col min="13636" max="13636" width="6.28515625" style="223" customWidth="1"/>
    <col min="13637" max="13637" width="10.5703125" style="223" bestFit="1" customWidth="1"/>
    <col min="13638" max="13638" width="7.42578125" style="223" customWidth="1"/>
    <col min="13639" max="13639" width="10.42578125" style="223" customWidth="1"/>
    <col min="13640" max="13640" width="15.7109375" style="223" bestFit="1" customWidth="1"/>
    <col min="13641" max="13641" width="14.28515625" style="223" customWidth="1"/>
    <col min="13642" max="13643" width="7.42578125" style="223" customWidth="1"/>
    <col min="13644" max="13644" width="9" style="223" customWidth="1"/>
    <col min="13645" max="13645" width="11.42578125" style="223" customWidth="1"/>
    <col min="13646" max="13824" width="9.140625" style="223"/>
    <col min="13825" max="13825" width="3.85546875" style="223" customWidth="1"/>
    <col min="13826" max="13826" width="23" style="223" customWidth="1"/>
    <col min="13827" max="13827" width="5.42578125" style="223" customWidth="1"/>
    <col min="13828" max="13828" width="7.28515625" style="223" customWidth="1"/>
    <col min="13829" max="13829" width="9.7109375" style="223" customWidth="1"/>
    <col min="13830" max="13830" width="6.85546875" style="223" customWidth="1"/>
    <col min="13831" max="13831" width="6.140625" style="223" customWidth="1"/>
    <col min="13832" max="13832" width="7.7109375" style="223" customWidth="1"/>
    <col min="13833" max="13833" width="6.140625" style="223" customWidth="1"/>
    <col min="13834" max="13838" width="8.140625" style="223" customWidth="1"/>
    <col min="13839" max="13840" width="9.7109375" style="223" customWidth="1"/>
    <col min="13841" max="13844" width="6.140625" style="223" customWidth="1"/>
    <col min="13845" max="13848" width="10.28515625" style="223" customWidth="1"/>
    <col min="13849" max="13850" width="12" style="223" customWidth="1"/>
    <col min="13851" max="13851" width="12.42578125" style="223" customWidth="1"/>
    <col min="13852" max="13852" width="12.28515625" style="223" customWidth="1"/>
    <col min="13853" max="13853" width="9.28515625" style="223" customWidth="1"/>
    <col min="13854" max="13859" width="11.7109375" style="223" customWidth="1"/>
    <col min="13860" max="13860" width="13.85546875" style="223" customWidth="1"/>
    <col min="13861" max="13861" width="11.7109375" style="223" customWidth="1"/>
    <col min="13862" max="13862" width="15.42578125" style="223" customWidth="1"/>
    <col min="13863" max="13863" width="11.28515625" style="223" customWidth="1"/>
    <col min="13864" max="13865" width="6.140625" style="223" customWidth="1"/>
    <col min="13866" max="13866" width="8.42578125" style="223" bestFit="1" customWidth="1"/>
    <col min="13867" max="13868" width="8.7109375" style="223" customWidth="1"/>
    <col min="13869" max="13869" width="12.7109375" style="223" bestFit="1" customWidth="1"/>
    <col min="13870" max="13870" width="6.5703125" style="223" customWidth="1"/>
    <col min="13871" max="13871" width="12.28515625" style="223" customWidth="1"/>
    <col min="13872" max="13872" width="6.140625" style="223" customWidth="1"/>
    <col min="13873" max="13873" width="13" style="223" customWidth="1"/>
    <col min="13874" max="13874" width="8.28515625" style="223" bestFit="1" customWidth="1"/>
    <col min="13875" max="13876" width="8.42578125" style="223" customWidth="1"/>
    <col min="13877" max="13877" width="12.7109375" style="223" customWidth="1"/>
    <col min="13878" max="13878" width="6.28515625" style="223" bestFit="1" customWidth="1"/>
    <col min="13879" max="13880" width="8.42578125" style="223" customWidth="1"/>
    <col min="13881" max="13881" width="10.5703125" style="223" bestFit="1" customWidth="1"/>
    <col min="13882" max="13882" width="10.140625" style="223" bestFit="1" customWidth="1"/>
    <col min="13883" max="13883" width="9.7109375" style="223" bestFit="1" customWidth="1"/>
    <col min="13884" max="13884" width="6.28515625" style="223" bestFit="1" customWidth="1"/>
    <col min="13885" max="13885" width="10.5703125" style="223" bestFit="1" customWidth="1"/>
    <col min="13886" max="13886" width="6.42578125" style="223" customWidth="1"/>
    <col min="13887" max="13887" width="12.42578125" style="223" customWidth="1"/>
    <col min="13888" max="13888" width="7.42578125" style="223" customWidth="1"/>
    <col min="13889" max="13889" width="10.5703125" style="223" bestFit="1" customWidth="1"/>
    <col min="13890" max="13890" width="7.42578125" style="223" customWidth="1"/>
    <col min="13891" max="13891" width="11.7109375" style="223" customWidth="1"/>
    <col min="13892" max="13892" width="6.28515625" style="223" customWidth="1"/>
    <col min="13893" max="13893" width="10.5703125" style="223" bestFit="1" customWidth="1"/>
    <col min="13894" max="13894" width="7.42578125" style="223" customWidth="1"/>
    <col min="13895" max="13895" width="10.42578125" style="223" customWidth="1"/>
    <col min="13896" max="13896" width="15.7109375" style="223" bestFit="1" customWidth="1"/>
    <col min="13897" max="13897" width="14.28515625" style="223" customWidth="1"/>
    <col min="13898" max="13899" width="7.42578125" style="223" customWidth="1"/>
    <col min="13900" max="13900" width="9" style="223" customWidth="1"/>
    <col min="13901" max="13901" width="11.42578125" style="223" customWidth="1"/>
    <col min="13902" max="14080" width="9.140625" style="223"/>
    <col min="14081" max="14081" width="3.85546875" style="223" customWidth="1"/>
    <col min="14082" max="14082" width="23" style="223" customWidth="1"/>
    <col min="14083" max="14083" width="5.42578125" style="223" customWidth="1"/>
    <col min="14084" max="14084" width="7.28515625" style="223" customWidth="1"/>
    <col min="14085" max="14085" width="9.7109375" style="223" customWidth="1"/>
    <col min="14086" max="14086" width="6.85546875" style="223" customWidth="1"/>
    <col min="14087" max="14087" width="6.140625" style="223" customWidth="1"/>
    <col min="14088" max="14088" width="7.7109375" style="223" customWidth="1"/>
    <col min="14089" max="14089" width="6.140625" style="223" customWidth="1"/>
    <col min="14090" max="14094" width="8.140625" style="223" customWidth="1"/>
    <col min="14095" max="14096" width="9.7109375" style="223" customWidth="1"/>
    <col min="14097" max="14100" width="6.140625" style="223" customWidth="1"/>
    <col min="14101" max="14104" width="10.28515625" style="223" customWidth="1"/>
    <col min="14105" max="14106" width="12" style="223" customWidth="1"/>
    <col min="14107" max="14107" width="12.42578125" style="223" customWidth="1"/>
    <col min="14108" max="14108" width="12.28515625" style="223" customWidth="1"/>
    <col min="14109" max="14109" width="9.28515625" style="223" customWidth="1"/>
    <col min="14110" max="14115" width="11.7109375" style="223" customWidth="1"/>
    <col min="14116" max="14116" width="13.85546875" style="223" customWidth="1"/>
    <col min="14117" max="14117" width="11.7109375" style="223" customWidth="1"/>
    <col min="14118" max="14118" width="15.42578125" style="223" customWidth="1"/>
    <col min="14119" max="14119" width="11.28515625" style="223" customWidth="1"/>
    <col min="14120" max="14121" width="6.140625" style="223" customWidth="1"/>
    <col min="14122" max="14122" width="8.42578125" style="223" bestFit="1" customWidth="1"/>
    <col min="14123" max="14124" width="8.7109375" style="223" customWidth="1"/>
    <col min="14125" max="14125" width="12.7109375" style="223" bestFit="1" customWidth="1"/>
    <col min="14126" max="14126" width="6.5703125" style="223" customWidth="1"/>
    <col min="14127" max="14127" width="12.28515625" style="223" customWidth="1"/>
    <col min="14128" max="14128" width="6.140625" style="223" customWidth="1"/>
    <col min="14129" max="14129" width="13" style="223" customWidth="1"/>
    <col min="14130" max="14130" width="8.28515625" style="223" bestFit="1" customWidth="1"/>
    <col min="14131" max="14132" width="8.42578125" style="223" customWidth="1"/>
    <col min="14133" max="14133" width="12.7109375" style="223" customWidth="1"/>
    <col min="14134" max="14134" width="6.28515625" style="223" bestFit="1" customWidth="1"/>
    <col min="14135" max="14136" width="8.42578125" style="223" customWidth="1"/>
    <col min="14137" max="14137" width="10.5703125" style="223" bestFit="1" customWidth="1"/>
    <col min="14138" max="14138" width="10.140625" style="223" bestFit="1" customWidth="1"/>
    <col min="14139" max="14139" width="9.7109375" style="223" bestFit="1" customWidth="1"/>
    <col min="14140" max="14140" width="6.28515625" style="223" bestFit="1" customWidth="1"/>
    <col min="14141" max="14141" width="10.5703125" style="223" bestFit="1" customWidth="1"/>
    <col min="14142" max="14142" width="6.42578125" style="223" customWidth="1"/>
    <col min="14143" max="14143" width="12.42578125" style="223" customWidth="1"/>
    <col min="14144" max="14144" width="7.42578125" style="223" customWidth="1"/>
    <col min="14145" max="14145" width="10.5703125" style="223" bestFit="1" customWidth="1"/>
    <col min="14146" max="14146" width="7.42578125" style="223" customWidth="1"/>
    <col min="14147" max="14147" width="11.7109375" style="223" customWidth="1"/>
    <col min="14148" max="14148" width="6.28515625" style="223" customWidth="1"/>
    <col min="14149" max="14149" width="10.5703125" style="223" bestFit="1" customWidth="1"/>
    <col min="14150" max="14150" width="7.42578125" style="223" customWidth="1"/>
    <col min="14151" max="14151" width="10.42578125" style="223" customWidth="1"/>
    <col min="14152" max="14152" width="15.7109375" style="223" bestFit="1" customWidth="1"/>
    <col min="14153" max="14153" width="14.28515625" style="223" customWidth="1"/>
    <col min="14154" max="14155" width="7.42578125" style="223" customWidth="1"/>
    <col min="14156" max="14156" width="9" style="223" customWidth="1"/>
    <col min="14157" max="14157" width="11.42578125" style="223" customWidth="1"/>
    <col min="14158" max="14336" width="9.140625" style="223"/>
    <col min="14337" max="14337" width="3.85546875" style="223" customWidth="1"/>
    <col min="14338" max="14338" width="23" style="223" customWidth="1"/>
    <col min="14339" max="14339" width="5.42578125" style="223" customWidth="1"/>
    <col min="14340" max="14340" width="7.28515625" style="223" customWidth="1"/>
    <col min="14341" max="14341" width="9.7109375" style="223" customWidth="1"/>
    <col min="14342" max="14342" width="6.85546875" style="223" customWidth="1"/>
    <col min="14343" max="14343" width="6.140625" style="223" customWidth="1"/>
    <col min="14344" max="14344" width="7.7109375" style="223" customWidth="1"/>
    <col min="14345" max="14345" width="6.140625" style="223" customWidth="1"/>
    <col min="14346" max="14350" width="8.140625" style="223" customWidth="1"/>
    <col min="14351" max="14352" width="9.7109375" style="223" customWidth="1"/>
    <col min="14353" max="14356" width="6.140625" style="223" customWidth="1"/>
    <col min="14357" max="14360" width="10.28515625" style="223" customWidth="1"/>
    <col min="14361" max="14362" width="12" style="223" customWidth="1"/>
    <col min="14363" max="14363" width="12.42578125" style="223" customWidth="1"/>
    <col min="14364" max="14364" width="12.28515625" style="223" customWidth="1"/>
    <col min="14365" max="14365" width="9.28515625" style="223" customWidth="1"/>
    <col min="14366" max="14371" width="11.7109375" style="223" customWidth="1"/>
    <col min="14372" max="14372" width="13.85546875" style="223" customWidth="1"/>
    <col min="14373" max="14373" width="11.7109375" style="223" customWidth="1"/>
    <col min="14374" max="14374" width="15.42578125" style="223" customWidth="1"/>
    <col min="14375" max="14375" width="11.28515625" style="223" customWidth="1"/>
    <col min="14376" max="14377" width="6.140625" style="223" customWidth="1"/>
    <col min="14378" max="14378" width="8.42578125" style="223" bestFit="1" customWidth="1"/>
    <col min="14379" max="14380" width="8.7109375" style="223" customWidth="1"/>
    <col min="14381" max="14381" width="12.7109375" style="223" bestFit="1" customWidth="1"/>
    <col min="14382" max="14382" width="6.5703125" style="223" customWidth="1"/>
    <col min="14383" max="14383" width="12.28515625" style="223" customWidth="1"/>
    <col min="14384" max="14384" width="6.140625" style="223" customWidth="1"/>
    <col min="14385" max="14385" width="13" style="223" customWidth="1"/>
    <col min="14386" max="14386" width="8.28515625" style="223" bestFit="1" customWidth="1"/>
    <col min="14387" max="14388" width="8.42578125" style="223" customWidth="1"/>
    <col min="14389" max="14389" width="12.7109375" style="223" customWidth="1"/>
    <col min="14390" max="14390" width="6.28515625" style="223" bestFit="1" customWidth="1"/>
    <col min="14391" max="14392" width="8.42578125" style="223" customWidth="1"/>
    <col min="14393" max="14393" width="10.5703125" style="223" bestFit="1" customWidth="1"/>
    <col min="14394" max="14394" width="10.140625" style="223" bestFit="1" customWidth="1"/>
    <col min="14395" max="14395" width="9.7109375" style="223" bestFit="1" customWidth="1"/>
    <col min="14396" max="14396" width="6.28515625" style="223" bestFit="1" customWidth="1"/>
    <col min="14397" max="14397" width="10.5703125" style="223" bestFit="1" customWidth="1"/>
    <col min="14398" max="14398" width="6.42578125" style="223" customWidth="1"/>
    <col min="14399" max="14399" width="12.42578125" style="223" customWidth="1"/>
    <col min="14400" max="14400" width="7.42578125" style="223" customWidth="1"/>
    <col min="14401" max="14401" width="10.5703125" style="223" bestFit="1" customWidth="1"/>
    <col min="14402" max="14402" width="7.42578125" style="223" customWidth="1"/>
    <col min="14403" max="14403" width="11.7109375" style="223" customWidth="1"/>
    <col min="14404" max="14404" width="6.28515625" style="223" customWidth="1"/>
    <col min="14405" max="14405" width="10.5703125" style="223" bestFit="1" customWidth="1"/>
    <col min="14406" max="14406" width="7.42578125" style="223" customWidth="1"/>
    <col min="14407" max="14407" width="10.42578125" style="223" customWidth="1"/>
    <col min="14408" max="14408" width="15.7109375" style="223" bestFit="1" customWidth="1"/>
    <col min="14409" max="14409" width="14.28515625" style="223" customWidth="1"/>
    <col min="14410" max="14411" width="7.42578125" style="223" customWidth="1"/>
    <col min="14412" max="14412" width="9" style="223" customWidth="1"/>
    <col min="14413" max="14413" width="11.42578125" style="223" customWidth="1"/>
    <col min="14414" max="14592" width="9.140625" style="223"/>
    <col min="14593" max="14593" width="3.85546875" style="223" customWidth="1"/>
    <col min="14594" max="14594" width="23" style="223" customWidth="1"/>
    <col min="14595" max="14595" width="5.42578125" style="223" customWidth="1"/>
    <col min="14596" max="14596" width="7.28515625" style="223" customWidth="1"/>
    <col min="14597" max="14597" width="9.7109375" style="223" customWidth="1"/>
    <col min="14598" max="14598" width="6.85546875" style="223" customWidth="1"/>
    <col min="14599" max="14599" width="6.140625" style="223" customWidth="1"/>
    <col min="14600" max="14600" width="7.7109375" style="223" customWidth="1"/>
    <col min="14601" max="14601" width="6.140625" style="223" customWidth="1"/>
    <col min="14602" max="14606" width="8.140625" style="223" customWidth="1"/>
    <col min="14607" max="14608" width="9.7109375" style="223" customWidth="1"/>
    <col min="14609" max="14612" width="6.140625" style="223" customWidth="1"/>
    <col min="14613" max="14616" width="10.28515625" style="223" customWidth="1"/>
    <col min="14617" max="14618" width="12" style="223" customWidth="1"/>
    <col min="14619" max="14619" width="12.42578125" style="223" customWidth="1"/>
    <col min="14620" max="14620" width="12.28515625" style="223" customWidth="1"/>
    <col min="14621" max="14621" width="9.28515625" style="223" customWidth="1"/>
    <col min="14622" max="14627" width="11.7109375" style="223" customWidth="1"/>
    <col min="14628" max="14628" width="13.85546875" style="223" customWidth="1"/>
    <col min="14629" max="14629" width="11.7109375" style="223" customWidth="1"/>
    <col min="14630" max="14630" width="15.42578125" style="223" customWidth="1"/>
    <col min="14631" max="14631" width="11.28515625" style="223" customWidth="1"/>
    <col min="14632" max="14633" width="6.140625" style="223" customWidth="1"/>
    <col min="14634" max="14634" width="8.42578125" style="223" bestFit="1" customWidth="1"/>
    <col min="14635" max="14636" width="8.7109375" style="223" customWidth="1"/>
    <col min="14637" max="14637" width="12.7109375" style="223" bestFit="1" customWidth="1"/>
    <col min="14638" max="14638" width="6.5703125" style="223" customWidth="1"/>
    <col min="14639" max="14639" width="12.28515625" style="223" customWidth="1"/>
    <col min="14640" max="14640" width="6.140625" style="223" customWidth="1"/>
    <col min="14641" max="14641" width="13" style="223" customWidth="1"/>
    <col min="14642" max="14642" width="8.28515625" style="223" bestFit="1" customWidth="1"/>
    <col min="14643" max="14644" width="8.42578125" style="223" customWidth="1"/>
    <col min="14645" max="14645" width="12.7109375" style="223" customWidth="1"/>
    <col min="14646" max="14646" width="6.28515625" style="223" bestFit="1" customWidth="1"/>
    <col min="14647" max="14648" width="8.42578125" style="223" customWidth="1"/>
    <col min="14649" max="14649" width="10.5703125" style="223" bestFit="1" customWidth="1"/>
    <col min="14650" max="14650" width="10.140625" style="223" bestFit="1" customWidth="1"/>
    <col min="14651" max="14651" width="9.7109375" style="223" bestFit="1" customWidth="1"/>
    <col min="14652" max="14652" width="6.28515625" style="223" bestFit="1" customWidth="1"/>
    <col min="14653" max="14653" width="10.5703125" style="223" bestFit="1" customWidth="1"/>
    <col min="14654" max="14654" width="6.42578125" style="223" customWidth="1"/>
    <col min="14655" max="14655" width="12.42578125" style="223" customWidth="1"/>
    <col min="14656" max="14656" width="7.42578125" style="223" customWidth="1"/>
    <col min="14657" max="14657" width="10.5703125" style="223" bestFit="1" customWidth="1"/>
    <col min="14658" max="14658" width="7.42578125" style="223" customWidth="1"/>
    <col min="14659" max="14659" width="11.7109375" style="223" customWidth="1"/>
    <col min="14660" max="14660" width="6.28515625" style="223" customWidth="1"/>
    <col min="14661" max="14661" width="10.5703125" style="223" bestFit="1" customWidth="1"/>
    <col min="14662" max="14662" width="7.42578125" style="223" customWidth="1"/>
    <col min="14663" max="14663" width="10.42578125" style="223" customWidth="1"/>
    <col min="14664" max="14664" width="15.7109375" style="223" bestFit="1" customWidth="1"/>
    <col min="14665" max="14665" width="14.28515625" style="223" customWidth="1"/>
    <col min="14666" max="14667" width="7.42578125" style="223" customWidth="1"/>
    <col min="14668" max="14668" width="9" style="223" customWidth="1"/>
    <col min="14669" max="14669" width="11.42578125" style="223" customWidth="1"/>
    <col min="14670" max="14848" width="9.140625" style="223"/>
    <col min="14849" max="14849" width="3.85546875" style="223" customWidth="1"/>
    <col min="14850" max="14850" width="23" style="223" customWidth="1"/>
    <col min="14851" max="14851" width="5.42578125" style="223" customWidth="1"/>
    <col min="14852" max="14852" width="7.28515625" style="223" customWidth="1"/>
    <col min="14853" max="14853" width="9.7109375" style="223" customWidth="1"/>
    <col min="14854" max="14854" width="6.85546875" style="223" customWidth="1"/>
    <col min="14855" max="14855" width="6.140625" style="223" customWidth="1"/>
    <col min="14856" max="14856" width="7.7109375" style="223" customWidth="1"/>
    <col min="14857" max="14857" width="6.140625" style="223" customWidth="1"/>
    <col min="14858" max="14862" width="8.140625" style="223" customWidth="1"/>
    <col min="14863" max="14864" width="9.7109375" style="223" customWidth="1"/>
    <col min="14865" max="14868" width="6.140625" style="223" customWidth="1"/>
    <col min="14869" max="14872" width="10.28515625" style="223" customWidth="1"/>
    <col min="14873" max="14874" width="12" style="223" customWidth="1"/>
    <col min="14875" max="14875" width="12.42578125" style="223" customWidth="1"/>
    <col min="14876" max="14876" width="12.28515625" style="223" customWidth="1"/>
    <col min="14877" max="14877" width="9.28515625" style="223" customWidth="1"/>
    <col min="14878" max="14883" width="11.7109375" style="223" customWidth="1"/>
    <col min="14884" max="14884" width="13.85546875" style="223" customWidth="1"/>
    <col min="14885" max="14885" width="11.7109375" style="223" customWidth="1"/>
    <col min="14886" max="14886" width="15.42578125" style="223" customWidth="1"/>
    <col min="14887" max="14887" width="11.28515625" style="223" customWidth="1"/>
    <col min="14888" max="14889" width="6.140625" style="223" customWidth="1"/>
    <col min="14890" max="14890" width="8.42578125" style="223" bestFit="1" customWidth="1"/>
    <col min="14891" max="14892" width="8.7109375" style="223" customWidth="1"/>
    <col min="14893" max="14893" width="12.7109375" style="223" bestFit="1" customWidth="1"/>
    <col min="14894" max="14894" width="6.5703125" style="223" customWidth="1"/>
    <col min="14895" max="14895" width="12.28515625" style="223" customWidth="1"/>
    <col min="14896" max="14896" width="6.140625" style="223" customWidth="1"/>
    <col min="14897" max="14897" width="13" style="223" customWidth="1"/>
    <col min="14898" max="14898" width="8.28515625" style="223" bestFit="1" customWidth="1"/>
    <col min="14899" max="14900" width="8.42578125" style="223" customWidth="1"/>
    <col min="14901" max="14901" width="12.7109375" style="223" customWidth="1"/>
    <col min="14902" max="14902" width="6.28515625" style="223" bestFit="1" customWidth="1"/>
    <col min="14903" max="14904" width="8.42578125" style="223" customWidth="1"/>
    <col min="14905" max="14905" width="10.5703125" style="223" bestFit="1" customWidth="1"/>
    <col min="14906" max="14906" width="10.140625" style="223" bestFit="1" customWidth="1"/>
    <col min="14907" max="14907" width="9.7109375" style="223" bestFit="1" customWidth="1"/>
    <col min="14908" max="14908" width="6.28515625" style="223" bestFit="1" customWidth="1"/>
    <col min="14909" max="14909" width="10.5703125" style="223" bestFit="1" customWidth="1"/>
    <col min="14910" max="14910" width="6.42578125" style="223" customWidth="1"/>
    <col min="14911" max="14911" width="12.42578125" style="223" customWidth="1"/>
    <col min="14912" max="14912" width="7.42578125" style="223" customWidth="1"/>
    <col min="14913" max="14913" width="10.5703125" style="223" bestFit="1" customWidth="1"/>
    <col min="14914" max="14914" width="7.42578125" style="223" customWidth="1"/>
    <col min="14915" max="14915" width="11.7109375" style="223" customWidth="1"/>
    <col min="14916" max="14916" width="6.28515625" style="223" customWidth="1"/>
    <col min="14917" max="14917" width="10.5703125" style="223" bestFit="1" customWidth="1"/>
    <col min="14918" max="14918" width="7.42578125" style="223" customWidth="1"/>
    <col min="14919" max="14919" width="10.42578125" style="223" customWidth="1"/>
    <col min="14920" max="14920" width="15.7109375" style="223" bestFit="1" customWidth="1"/>
    <col min="14921" max="14921" width="14.28515625" style="223" customWidth="1"/>
    <col min="14922" max="14923" width="7.42578125" style="223" customWidth="1"/>
    <col min="14924" max="14924" width="9" style="223" customWidth="1"/>
    <col min="14925" max="14925" width="11.42578125" style="223" customWidth="1"/>
    <col min="14926" max="15104" width="9.140625" style="223"/>
    <col min="15105" max="15105" width="3.85546875" style="223" customWidth="1"/>
    <col min="15106" max="15106" width="23" style="223" customWidth="1"/>
    <col min="15107" max="15107" width="5.42578125" style="223" customWidth="1"/>
    <col min="15108" max="15108" width="7.28515625" style="223" customWidth="1"/>
    <col min="15109" max="15109" width="9.7109375" style="223" customWidth="1"/>
    <col min="15110" max="15110" width="6.85546875" style="223" customWidth="1"/>
    <col min="15111" max="15111" width="6.140625" style="223" customWidth="1"/>
    <col min="15112" max="15112" width="7.7109375" style="223" customWidth="1"/>
    <col min="15113" max="15113" width="6.140625" style="223" customWidth="1"/>
    <col min="15114" max="15118" width="8.140625" style="223" customWidth="1"/>
    <col min="15119" max="15120" width="9.7109375" style="223" customWidth="1"/>
    <col min="15121" max="15124" width="6.140625" style="223" customWidth="1"/>
    <col min="15125" max="15128" width="10.28515625" style="223" customWidth="1"/>
    <col min="15129" max="15130" width="12" style="223" customWidth="1"/>
    <col min="15131" max="15131" width="12.42578125" style="223" customWidth="1"/>
    <col min="15132" max="15132" width="12.28515625" style="223" customWidth="1"/>
    <col min="15133" max="15133" width="9.28515625" style="223" customWidth="1"/>
    <col min="15134" max="15139" width="11.7109375" style="223" customWidth="1"/>
    <col min="15140" max="15140" width="13.85546875" style="223" customWidth="1"/>
    <col min="15141" max="15141" width="11.7109375" style="223" customWidth="1"/>
    <col min="15142" max="15142" width="15.42578125" style="223" customWidth="1"/>
    <col min="15143" max="15143" width="11.28515625" style="223" customWidth="1"/>
    <col min="15144" max="15145" width="6.140625" style="223" customWidth="1"/>
    <col min="15146" max="15146" width="8.42578125" style="223" bestFit="1" customWidth="1"/>
    <col min="15147" max="15148" width="8.7109375" style="223" customWidth="1"/>
    <col min="15149" max="15149" width="12.7109375" style="223" bestFit="1" customWidth="1"/>
    <col min="15150" max="15150" width="6.5703125" style="223" customWidth="1"/>
    <col min="15151" max="15151" width="12.28515625" style="223" customWidth="1"/>
    <col min="15152" max="15152" width="6.140625" style="223" customWidth="1"/>
    <col min="15153" max="15153" width="13" style="223" customWidth="1"/>
    <col min="15154" max="15154" width="8.28515625" style="223" bestFit="1" customWidth="1"/>
    <col min="15155" max="15156" width="8.42578125" style="223" customWidth="1"/>
    <col min="15157" max="15157" width="12.7109375" style="223" customWidth="1"/>
    <col min="15158" max="15158" width="6.28515625" style="223" bestFit="1" customWidth="1"/>
    <col min="15159" max="15160" width="8.42578125" style="223" customWidth="1"/>
    <col min="15161" max="15161" width="10.5703125" style="223" bestFit="1" customWidth="1"/>
    <col min="15162" max="15162" width="10.140625" style="223" bestFit="1" customWidth="1"/>
    <col min="15163" max="15163" width="9.7109375" style="223" bestFit="1" customWidth="1"/>
    <col min="15164" max="15164" width="6.28515625" style="223" bestFit="1" customWidth="1"/>
    <col min="15165" max="15165" width="10.5703125" style="223" bestFit="1" customWidth="1"/>
    <col min="15166" max="15166" width="6.42578125" style="223" customWidth="1"/>
    <col min="15167" max="15167" width="12.42578125" style="223" customWidth="1"/>
    <col min="15168" max="15168" width="7.42578125" style="223" customWidth="1"/>
    <col min="15169" max="15169" width="10.5703125" style="223" bestFit="1" customWidth="1"/>
    <col min="15170" max="15170" width="7.42578125" style="223" customWidth="1"/>
    <col min="15171" max="15171" width="11.7109375" style="223" customWidth="1"/>
    <col min="15172" max="15172" width="6.28515625" style="223" customWidth="1"/>
    <col min="15173" max="15173" width="10.5703125" style="223" bestFit="1" customWidth="1"/>
    <col min="15174" max="15174" width="7.42578125" style="223" customWidth="1"/>
    <col min="15175" max="15175" width="10.42578125" style="223" customWidth="1"/>
    <col min="15176" max="15176" width="15.7109375" style="223" bestFit="1" customWidth="1"/>
    <col min="15177" max="15177" width="14.28515625" style="223" customWidth="1"/>
    <col min="15178" max="15179" width="7.42578125" style="223" customWidth="1"/>
    <col min="15180" max="15180" width="9" style="223" customWidth="1"/>
    <col min="15181" max="15181" width="11.42578125" style="223" customWidth="1"/>
    <col min="15182" max="15360" width="9.140625" style="223"/>
    <col min="15361" max="15361" width="3.85546875" style="223" customWidth="1"/>
    <col min="15362" max="15362" width="23" style="223" customWidth="1"/>
    <col min="15363" max="15363" width="5.42578125" style="223" customWidth="1"/>
    <col min="15364" max="15364" width="7.28515625" style="223" customWidth="1"/>
    <col min="15365" max="15365" width="9.7109375" style="223" customWidth="1"/>
    <col min="15366" max="15366" width="6.85546875" style="223" customWidth="1"/>
    <col min="15367" max="15367" width="6.140625" style="223" customWidth="1"/>
    <col min="15368" max="15368" width="7.7109375" style="223" customWidth="1"/>
    <col min="15369" max="15369" width="6.140625" style="223" customWidth="1"/>
    <col min="15370" max="15374" width="8.140625" style="223" customWidth="1"/>
    <col min="15375" max="15376" width="9.7109375" style="223" customWidth="1"/>
    <col min="15377" max="15380" width="6.140625" style="223" customWidth="1"/>
    <col min="15381" max="15384" width="10.28515625" style="223" customWidth="1"/>
    <col min="15385" max="15386" width="12" style="223" customWidth="1"/>
    <col min="15387" max="15387" width="12.42578125" style="223" customWidth="1"/>
    <col min="15388" max="15388" width="12.28515625" style="223" customWidth="1"/>
    <col min="15389" max="15389" width="9.28515625" style="223" customWidth="1"/>
    <col min="15390" max="15395" width="11.7109375" style="223" customWidth="1"/>
    <col min="15396" max="15396" width="13.85546875" style="223" customWidth="1"/>
    <col min="15397" max="15397" width="11.7109375" style="223" customWidth="1"/>
    <col min="15398" max="15398" width="15.42578125" style="223" customWidth="1"/>
    <col min="15399" max="15399" width="11.28515625" style="223" customWidth="1"/>
    <col min="15400" max="15401" width="6.140625" style="223" customWidth="1"/>
    <col min="15402" max="15402" width="8.42578125" style="223" bestFit="1" customWidth="1"/>
    <col min="15403" max="15404" width="8.7109375" style="223" customWidth="1"/>
    <col min="15405" max="15405" width="12.7109375" style="223" bestFit="1" customWidth="1"/>
    <col min="15406" max="15406" width="6.5703125" style="223" customWidth="1"/>
    <col min="15407" max="15407" width="12.28515625" style="223" customWidth="1"/>
    <col min="15408" max="15408" width="6.140625" style="223" customWidth="1"/>
    <col min="15409" max="15409" width="13" style="223" customWidth="1"/>
    <col min="15410" max="15410" width="8.28515625" style="223" bestFit="1" customWidth="1"/>
    <col min="15411" max="15412" width="8.42578125" style="223" customWidth="1"/>
    <col min="15413" max="15413" width="12.7109375" style="223" customWidth="1"/>
    <col min="15414" max="15414" width="6.28515625" style="223" bestFit="1" customWidth="1"/>
    <col min="15415" max="15416" width="8.42578125" style="223" customWidth="1"/>
    <col min="15417" max="15417" width="10.5703125" style="223" bestFit="1" customWidth="1"/>
    <col min="15418" max="15418" width="10.140625" style="223" bestFit="1" customWidth="1"/>
    <col min="15419" max="15419" width="9.7109375" style="223" bestFit="1" customWidth="1"/>
    <col min="15420" max="15420" width="6.28515625" style="223" bestFit="1" customWidth="1"/>
    <col min="15421" max="15421" width="10.5703125" style="223" bestFit="1" customWidth="1"/>
    <col min="15422" max="15422" width="6.42578125" style="223" customWidth="1"/>
    <col min="15423" max="15423" width="12.42578125" style="223" customWidth="1"/>
    <col min="15424" max="15424" width="7.42578125" style="223" customWidth="1"/>
    <col min="15425" max="15425" width="10.5703125" style="223" bestFit="1" customWidth="1"/>
    <col min="15426" max="15426" width="7.42578125" style="223" customWidth="1"/>
    <col min="15427" max="15427" width="11.7109375" style="223" customWidth="1"/>
    <col min="15428" max="15428" width="6.28515625" style="223" customWidth="1"/>
    <col min="15429" max="15429" width="10.5703125" style="223" bestFit="1" customWidth="1"/>
    <col min="15430" max="15430" width="7.42578125" style="223" customWidth="1"/>
    <col min="15431" max="15431" width="10.42578125" style="223" customWidth="1"/>
    <col min="15432" max="15432" width="15.7109375" style="223" bestFit="1" customWidth="1"/>
    <col min="15433" max="15433" width="14.28515625" style="223" customWidth="1"/>
    <col min="15434" max="15435" width="7.42578125" style="223" customWidth="1"/>
    <col min="15436" max="15436" width="9" style="223" customWidth="1"/>
    <col min="15437" max="15437" width="11.42578125" style="223" customWidth="1"/>
    <col min="15438" max="15616" width="9.140625" style="223"/>
    <col min="15617" max="15617" width="3.85546875" style="223" customWidth="1"/>
    <col min="15618" max="15618" width="23" style="223" customWidth="1"/>
    <col min="15619" max="15619" width="5.42578125" style="223" customWidth="1"/>
    <col min="15620" max="15620" width="7.28515625" style="223" customWidth="1"/>
    <col min="15621" max="15621" width="9.7109375" style="223" customWidth="1"/>
    <col min="15622" max="15622" width="6.85546875" style="223" customWidth="1"/>
    <col min="15623" max="15623" width="6.140625" style="223" customWidth="1"/>
    <col min="15624" max="15624" width="7.7109375" style="223" customWidth="1"/>
    <col min="15625" max="15625" width="6.140625" style="223" customWidth="1"/>
    <col min="15626" max="15630" width="8.140625" style="223" customWidth="1"/>
    <col min="15631" max="15632" width="9.7109375" style="223" customWidth="1"/>
    <col min="15633" max="15636" width="6.140625" style="223" customWidth="1"/>
    <col min="15637" max="15640" width="10.28515625" style="223" customWidth="1"/>
    <col min="15641" max="15642" width="12" style="223" customWidth="1"/>
    <col min="15643" max="15643" width="12.42578125" style="223" customWidth="1"/>
    <col min="15644" max="15644" width="12.28515625" style="223" customWidth="1"/>
    <col min="15645" max="15645" width="9.28515625" style="223" customWidth="1"/>
    <col min="15646" max="15651" width="11.7109375" style="223" customWidth="1"/>
    <col min="15652" max="15652" width="13.85546875" style="223" customWidth="1"/>
    <col min="15653" max="15653" width="11.7109375" style="223" customWidth="1"/>
    <col min="15654" max="15654" width="15.42578125" style="223" customWidth="1"/>
    <col min="15655" max="15655" width="11.28515625" style="223" customWidth="1"/>
    <col min="15656" max="15657" width="6.140625" style="223" customWidth="1"/>
    <col min="15658" max="15658" width="8.42578125" style="223" bestFit="1" customWidth="1"/>
    <col min="15659" max="15660" width="8.7109375" style="223" customWidth="1"/>
    <col min="15661" max="15661" width="12.7109375" style="223" bestFit="1" customWidth="1"/>
    <col min="15662" max="15662" width="6.5703125" style="223" customWidth="1"/>
    <col min="15663" max="15663" width="12.28515625" style="223" customWidth="1"/>
    <col min="15664" max="15664" width="6.140625" style="223" customWidth="1"/>
    <col min="15665" max="15665" width="13" style="223" customWidth="1"/>
    <col min="15666" max="15666" width="8.28515625" style="223" bestFit="1" customWidth="1"/>
    <col min="15667" max="15668" width="8.42578125" style="223" customWidth="1"/>
    <col min="15669" max="15669" width="12.7109375" style="223" customWidth="1"/>
    <col min="15670" max="15670" width="6.28515625" style="223" bestFit="1" customWidth="1"/>
    <col min="15671" max="15672" width="8.42578125" style="223" customWidth="1"/>
    <col min="15673" max="15673" width="10.5703125" style="223" bestFit="1" customWidth="1"/>
    <col min="15674" max="15674" width="10.140625" style="223" bestFit="1" customWidth="1"/>
    <col min="15675" max="15675" width="9.7109375" style="223" bestFit="1" customWidth="1"/>
    <col min="15676" max="15676" width="6.28515625" style="223" bestFit="1" customWidth="1"/>
    <col min="15677" max="15677" width="10.5703125" style="223" bestFit="1" customWidth="1"/>
    <col min="15678" max="15678" width="6.42578125" style="223" customWidth="1"/>
    <col min="15679" max="15679" width="12.42578125" style="223" customWidth="1"/>
    <col min="15680" max="15680" width="7.42578125" style="223" customWidth="1"/>
    <col min="15681" max="15681" width="10.5703125" style="223" bestFit="1" customWidth="1"/>
    <col min="15682" max="15682" width="7.42578125" style="223" customWidth="1"/>
    <col min="15683" max="15683" width="11.7109375" style="223" customWidth="1"/>
    <col min="15684" max="15684" width="6.28515625" style="223" customWidth="1"/>
    <col min="15685" max="15685" width="10.5703125" style="223" bestFit="1" customWidth="1"/>
    <col min="15686" max="15686" width="7.42578125" style="223" customWidth="1"/>
    <col min="15687" max="15687" width="10.42578125" style="223" customWidth="1"/>
    <col min="15688" max="15688" width="15.7109375" style="223" bestFit="1" customWidth="1"/>
    <col min="15689" max="15689" width="14.28515625" style="223" customWidth="1"/>
    <col min="15690" max="15691" width="7.42578125" style="223" customWidth="1"/>
    <col min="15692" max="15692" width="9" style="223" customWidth="1"/>
    <col min="15693" max="15693" width="11.42578125" style="223" customWidth="1"/>
    <col min="15694" max="15872" width="9.140625" style="223"/>
    <col min="15873" max="15873" width="3.85546875" style="223" customWidth="1"/>
    <col min="15874" max="15874" width="23" style="223" customWidth="1"/>
    <col min="15875" max="15875" width="5.42578125" style="223" customWidth="1"/>
    <col min="15876" max="15876" width="7.28515625" style="223" customWidth="1"/>
    <col min="15877" max="15877" width="9.7109375" style="223" customWidth="1"/>
    <col min="15878" max="15878" width="6.85546875" style="223" customWidth="1"/>
    <col min="15879" max="15879" width="6.140625" style="223" customWidth="1"/>
    <col min="15880" max="15880" width="7.7109375" style="223" customWidth="1"/>
    <col min="15881" max="15881" width="6.140625" style="223" customWidth="1"/>
    <col min="15882" max="15886" width="8.140625" style="223" customWidth="1"/>
    <col min="15887" max="15888" width="9.7109375" style="223" customWidth="1"/>
    <col min="15889" max="15892" width="6.140625" style="223" customWidth="1"/>
    <col min="15893" max="15896" width="10.28515625" style="223" customWidth="1"/>
    <col min="15897" max="15898" width="12" style="223" customWidth="1"/>
    <col min="15899" max="15899" width="12.42578125" style="223" customWidth="1"/>
    <col min="15900" max="15900" width="12.28515625" style="223" customWidth="1"/>
    <col min="15901" max="15901" width="9.28515625" style="223" customWidth="1"/>
    <col min="15902" max="15907" width="11.7109375" style="223" customWidth="1"/>
    <col min="15908" max="15908" width="13.85546875" style="223" customWidth="1"/>
    <col min="15909" max="15909" width="11.7109375" style="223" customWidth="1"/>
    <col min="15910" max="15910" width="15.42578125" style="223" customWidth="1"/>
    <col min="15911" max="15911" width="11.28515625" style="223" customWidth="1"/>
    <col min="15912" max="15913" width="6.140625" style="223" customWidth="1"/>
    <col min="15914" max="15914" width="8.42578125" style="223" bestFit="1" customWidth="1"/>
    <col min="15915" max="15916" width="8.7109375" style="223" customWidth="1"/>
    <col min="15917" max="15917" width="12.7109375" style="223" bestFit="1" customWidth="1"/>
    <col min="15918" max="15918" width="6.5703125" style="223" customWidth="1"/>
    <col min="15919" max="15919" width="12.28515625" style="223" customWidth="1"/>
    <col min="15920" max="15920" width="6.140625" style="223" customWidth="1"/>
    <col min="15921" max="15921" width="13" style="223" customWidth="1"/>
    <col min="15922" max="15922" width="8.28515625" style="223" bestFit="1" customWidth="1"/>
    <col min="15923" max="15924" width="8.42578125" style="223" customWidth="1"/>
    <col min="15925" max="15925" width="12.7109375" style="223" customWidth="1"/>
    <col min="15926" max="15926" width="6.28515625" style="223" bestFit="1" customWidth="1"/>
    <col min="15927" max="15928" width="8.42578125" style="223" customWidth="1"/>
    <col min="15929" max="15929" width="10.5703125" style="223" bestFit="1" customWidth="1"/>
    <col min="15930" max="15930" width="10.140625" style="223" bestFit="1" customWidth="1"/>
    <col min="15931" max="15931" width="9.7109375" style="223" bestFit="1" customWidth="1"/>
    <col min="15932" max="15932" width="6.28515625" style="223" bestFit="1" customWidth="1"/>
    <col min="15933" max="15933" width="10.5703125" style="223" bestFit="1" customWidth="1"/>
    <col min="15934" max="15934" width="6.42578125" style="223" customWidth="1"/>
    <col min="15935" max="15935" width="12.42578125" style="223" customWidth="1"/>
    <col min="15936" max="15936" width="7.42578125" style="223" customWidth="1"/>
    <col min="15937" max="15937" width="10.5703125" style="223" bestFit="1" customWidth="1"/>
    <col min="15938" max="15938" width="7.42578125" style="223" customWidth="1"/>
    <col min="15939" max="15939" width="11.7109375" style="223" customWidth="1"/>
    <col min="15940" max="15940" width="6.28515625" style="223" customWidth="1"/>
    <col min="15941" max="15941" width="10.5703125" style="223" bestFit="1" customWidth="1"/>
    <col min="15942" max="15942" width="7.42578125" style="223" customWidth="1"/>
    <col min="15943" max="15943" width="10.42578125" style="223" customWidth="1"/>
    <col min="15944" max="15944" width="15.7109375" style="223" bestFit="1" customWidth="1"/>
    <col min="15945" max="15945" width="14.28515625" style="223" customWidth="1"/>
    <col min="15946" max="15947" width="7.42578125" style="223" customWidth="1"/>
    <col min="15948" max="15948" width="9" style="223" customWidth="1"/>
    <col min="15949" max="15949" width="11.42578125" style="223" customWidth="1"/>
    <col min="15950" max="16128" width="9.140625" style="223"/>
    <col min="16129" max="16129" width="3.85546875" style="223" customWidth="1"/>
    <col min="16130" max="16130" width="23" style="223" customWidth="1"/>
    <col min="16131" max="16131" width="5.42578125" style="223" customWidth="1"/>
    <col min="16132" max="16132" width="7.28515625" style="223" customWidth="1"/>
    <col min="16133" max="16133" width="9.7109375" style="223" customWidth="1"/>
    <col min="16134" max="16134" width="6.85546875" style="223" customWidth="1"/>
    <col min="16135" max="16135" width="6.140625" style="223" customWidth="1"/>
    <col min="16136" max="16136" width="7.7109375" style="223" customWidth="1"/>
    <col min="16137" max="16137" width="6.140625" style="223" customWidth="1"/>
    <col min="16138" max="16142" width="8.140625" style="223" customWidth="1"/>
    <col min="16143" max="16144" width="9.7109375" style="223" customWidth="1"/>
    <col min="16145" max="16148" width="6.140625" style="223" customWidth="1"/>
    <col min="16149" max="16152" width="10.28515625" style="223" customWidth="1"/>
    <col min="16153" max="16154" width="12" style="223" customWidth="1"/>
    <col min="16155" max="16155" width="12.42578125" style="223" customWidth="1"/>
    <col min="16156" max="16156" width="12.28515625" style="223" customWidth="1"/>
    <col min="16157" max="16157" width="9.28515625" style="223" customWidth="1"/>
    <col min="16158" max="16163" width="11.7109375" style="223" customWidth="1"/>
    <col min="16164" max="16164" width="13.85546875" style="223" customWidth="1"/>
    <col min="16165" max="16165" width="11.7109375" style="223" customWidth="1"/>
    <col min="16166" max="16166" width="15.42578125" style="223" customWidth="1"/>
    <col min="16167" max="16167" width="11.28515625" style="223" customWidth="1"/>
    <col min="16168" max="16169" width="6.140625" style="223" customWidth="1"/>
    <col min="16170" max="16170" width="8.42578125" style="223" bestFit="1" customWidth="1"/>
    <col min="16171" max="16172" width="8.7109375" style="223" customWidth="1"/>
    <col min="16173" max="16173" width="12.7109375" style="223" bestFit="1" customWidth="1"/>
    <col min="16174" max="16174" width="6.5703125" style="223" customWidth="1"/>
    <col min="16175" max="16175" width="12.28515625" style="223" customWidth="1"/>
    <col min="16176" max="16176" width="6.140625" style="223" customWidth="1"/>
    <col min="16177" max="16177" width="13" style="223" customWidth="1"/>
    <col min="16178" max="16178" width="8.28515625" style="223" bestFit="1" customWidth="1"/>
    <col min="16179" max="16180" width="8.42578125" style="223" customWidth="1"/>
    <col min="16181" max="16181" width="12.7109375" style="223" customWidth="1"/>
    <col min="16182" max="16182" width="6.28515625" style="223" bestFit="1" customWidth="1"/>
    <col min="16183" max="16184" width="8.42578125" style="223" customWidth="1"/>
    <col min="16185" max="16185" width="10.5703125" style="223" bestFit="1" customWidth="1"/>
    <col min="16186" max="16186" width="10.140625" style="223" bestFit="1" customWidth="1"/>
    <col min="16187" max="16187" width="9.7109375" style="223" bestFit="1" customWidth="1"/>
    <col min="16188" max="16188" width="6.28515625" style="223" bestFit="1" customWidth="1"/>
    <col min="16189" max="16189" width="10.5703125" style="223" bestFit="1" customWidth="1"/>
    <col min="16190" max="16190" width="6.42578125" style="223" customWidth="1"/>
    <col min="16191" max="16191" width="12.42578125" style="223" customWidth="1"/>
    <col min="16192" max="16192" width="7.42578125" style="223" customWidth="1"/>
    <col min="16193" max="16193" width="10.5703125" style="223" bestFit="1" customWidth="1"/>
    <col min="16194" max="16194" width="7.42578125" style="223" customWidth="1"/>
    <col min="16195" max="16195" width="11.7109375" style="223" customWidth="1"/>
    <col min="16196" max="16196" width="6.28515625" style="223" customWidth="1"/>
    <col min="16197" max="16197" width="10.5703125" style="223" bestFit="1" customWidth="1"/>
    <col min="16198" max="16198" width="7.42578125" style="223" customWidth="1"/>
    <col min="16199" max="16199" width="10.42578125" style="223" customWidth="1"/>
    <col min="16200" max="16200" width="15.7109375" style="223" bestFit="1" customWidth="1"/>
    <col min="16201" max="16201" width="14.28515625" style="223" customWidth="1"/>
    <col min="16202" max="16203" width="7.42578125" style="223" customWidth="1"/>
    <col min="16204" max="16204" width="9" style="223" customWidth="1"/>
    <col min="16205" max="16205" width="11.42578125" style="223" customWidth="1"/>
    <col min="16206" max="16384" width="9.140625" style="223"/>
  </cols>
  <sheetData>
    <row r="1" spans="1:77" s="211" customFormat="1" ht="15.75" x14ac:dyDescent="0.25">
      <c r="B1" s="212" t="s">
        <v>354</v>
      </c>
      <c r="G1" s="244"/>
      <c r="P1" s="530"/>
      <c r="Q1" s="530"/>
      <c r="R1" s="530"/>
      <c r="S1" s="245"/>
      <c r="AM1" s="214"/>
      <c r="AP1" s="215"/>
      <c r="AQ1" s="216"/>
      <c r="AR1" s="216"/>
      <c r="AS1" s="215"/>
      <c r="AT1" s="215"/>
      <c r="AU1" s="215"/>
      <c r="AV1" s="215"/>
      <c r="AW1" s="215"/>
      <c r="AX1" s="215"/>
      <c r="AY1" s="215"/>
      <c r="AZ1" s="215"/>
      <c r="BA1" s="215"/>
      <c r="BB1" s="215"/>
      <c r="BC1" s="215"/>
      <c r="BD1" s="215"/>
      <c r="BE1" s="215"/>
      <c r="BG1" s="215"/>
      <c r="BH1" s="215"/>
      <c r="BI1" s="215"/>
      <c r="BJ1" s="215"/>
      <c r="BK1" s="215"/>
      <c r="BL1" s="9"/>
      <c r="BM1" s="215"/>
      <c r="BN1" s="215"/>
      <c r="BO1" s="215"/>
      <c r="BP1" s="215"/>
      <c r="BQ1" s="215"/>
      <c r="BR1" s="215"/>
      <c r="BS1" s="215"/>
      <c r="BT1" s="215"/>
      <c r="BU1" s="215"/>
      <c r="BV1" s="215"/>
      <c r="BW1" s="215"/>
      <c r="BX1" s="217"/>
    </row>
    <row r="2" spans="1:77" s="211" customFormat="1" ht="15.75" x14ac:dyDescent="0.25">
      <c r="B2" s="212" t="s">
        <v>57</v>
      </c>
      <c r="G2" s="244"/>
      <c r="P2" s="246"/>
      <c r="Q2" s="246"/>
      <c r="R2" s="246"/>
      <c r="S2" s="245"/>
      <c r="AP2" s="215"/>
      <c r="AQ2" s="215"/>
      <c r="AR2" s="215"/>
      <c r="AS2" s="215"/>
      <c r="AT2" s="215"/>
      <c r="AU2" s="215"/>
      <c r="AV2" s="215"/>
      <c r="AW2" s="215"/>
      <c r="AX2" s="215"/>
      <c r="AY2" s="215"/>
      <c r="AZ2" s="215"/>
      <c r="BA2" s="215"/>
      <c r="BB2" s="215"/>
      <c r="BC2" s="215"/>
      <c r="BD2" s="215"/>
      <c r="BE2" s="215"/>
      <c r="BG2" s="215"/>
      <c r="BH2" s="215"/>
      <c r="BI2" s="215"/>
      <c r="BJ2" s="215"/>
      <c r="BK2" s="215"/>
      <c r="BL2" s="9"/>
      <c r="BM2" s="215"/>
      <c r="BN2" s="215"/>
      <c r="BO2" s="215"/>
      <c r="BP2" s="215"/>
      <c r="BQ2" s="215"/>
      <c r="BR2" s="215"/>
      <c r="BS2" s="215"/>
      <c r="BT2" s="215"/>
      <c r="BU2" s="215"/>
      <c r="BV2" s="215"/>
      <c r="BW2" s="215"/>
      <c r="BX2" s="217"/>
    </row>
    <row r="3" spans="1:77" s="211" customFormat="1" ht="15.75" x14ac:dyDescent="0.25">
      <c r="B3" s="244"/>
      <c r="G3" s="244"/>
      <c r="H3" s="247"/>
      <c r="P3" s="530"/>
      <c r="Q3" s="530"/>
      <c r="R3" s="530"/>
      <c r="S3" s="245"/>
      <c r="AP3" s="215"/>
      <c r="AQ3" s="215"/>
      <c r="AR3" s="215"/>
      <c r="AS3" s="215"/>
      <c r="AT3" s="215"/>
      <c r="AU3" s="215"/>
      <c r="AV3" s="215"/>
      <c r="AW3" s="215"/>
      <c r="AX3" s="215"/>
      <c r="AY3" s="215"/>
      <c r="AZ3" s="215"/>
      <c r="BA3" s="215"/>
      <c r="BB3" s="215"/>
      <c r="BC3" s="215"/>
      <c r="BD3" s="215"/>
      <c r="BE3" s="215"/>
      <c r="BG3" s="215"/>
      <c r="BH3" s="215"/>
      <c r="BI3" s="215"/>
      <c r="BJ3" s="215"/>
      <c r="BK3" s="215"/>
      <c r="BL3" s="9"/>
      <c r="BM3" s="215"/>
      <c r="BN3" s="215"/>
      <c r="BO3" s="215"/>
      <c r="BP3" s="215"/>
      <c r="BQ3" s="215"/>
      <c r="BR3" s="215"/>
      <c r="BS3" s="215"/>
      <c r="BT3" s="215"/>
      <c r="BU3" s="215"/>
      <c r="BV3" s="215"/>
      <c r="BW3" s="215"/>
      <c r="BX3" s="217"/>
    </row>
    <row r="4" spans="1:77" s="214" customFormat="1" ht="15.75" x14ac:dyDescent="0.25">
      <c r="B4" s="218" t="s">
        <v>528</v>
      </c>
      <c r="G4" s="218"/>
      <c r="L4" s="218"/>
      <c r="O4" s="211"/>
      <c r="P4" s="530"/>
      <c r="Q4" s="530"/>
      <c r="R4" s="530"/>
      <c r="S4" s="530"/>
      <c r="T4" s="530"/>
      <c r="U4" s="530"/>
      <c r="V4" s="530"/>
      <c r="AP4" s="220"/>
      <c r="AQ4" s="220"/>
      <c r="AR4" s="220"/>
      <c r="AS4" s="220"/>
      <c r="AT4" s="220"/>
      <c r="AU4" s="220"/>
      <c r="AV4" s="220"/>
      <c r="AW4" s="220"/>
      <c r="AX4" s="220"/>
      <c r="AY4" s="220"/>
      <c r="AZ4" s="220"/>
      <c r="BA4" s="220"/>
      <c r="BB4" s="220"/>
      <c r="BC4" s="220"/>
      <c r="BD4" s="220"/>
      <c r="BE4" s="220"/>
      <c r="BG4" s="220"/>
      <c r="BH4" s="220"/>
      <c r="BI4" s="220"/>
      <c r="BJ4" s="220"/>
      <c r="BK4" s="220"/>
      <c r="BL4" s="4"/>
      <c r="BM4" s="220"/>
      <c r="BN4" s="220"/>
      <c r="BO4" s="220"/>
      <c r="BP4" s="220"/>
      <c r="BQ4" s="220"/>
      <c r="BR4" s="220"/>
      <c r="BS4" s="220"/>
      <c r="BT4" s="220"/>
      <c r="BU4" s="220"/>
      <c r="BV4" s="220"/>
      <c r="BW4" s="220"/>
      <c r="BX4" s="221"/>
    </row>
    <row r="5" spans="1:77" s="214" customFormat="1" ht="15.75" x14ac:dyDescent="0.25">
      <c r="B5" s="218" t="s">
        <v>529</v>
      </c>
      <c r="G5" s="218"/>
      <c r="L5" s="218"/>
      <c r="O5" s="211"/>
      <c r="P5" s="530"/>
      <c r="Q5" s="530"/>
      <c r="R5" s="530"/>
      <c r="S5" s="530"/>
      <c r="T5" s="530"/>
      <c r="U5" s="530"/>
      <c r="V5" s="530"/>
      <c r="AP5" s="220"/>
      <c r="AQ5" s="220"/>
      <c r="AR5" s="220"/>
      <c r="AS5" s="220"/>
      <c r="AT5" s="220"/>
      <c r="AU5" s="220"/>
      <c r="AV5" s="220"/>
      <c r="AW5" s="220"/>
      <c r="AX5" s="220"/>
      <c r="AY5" s="220"/>
      <c r="AZ5" s="220"/>
      <c r="BA5" s="220"/>
      <c r="BB5" s="220"/>
      <c r="BC5" s="220"/>
      <c r="BD5" s="220"/>
      <c r="BE5" s="220"/>
      <c r="BG5" s="220"/>
      <c r="BH5" s="220"/>
      <c r="BI5" s="220"/>
      <c r="BJ5" s="220"/>
      <c r="BK5" s="220"/>
      <c r="BL5" s="4"/>
      <c r="BM5" s="220"/>
      <c r="BN5" s="220"/>
      <c r="BO5" s="220"/>
      <c r="BP5" s="220"/>
      <c r="BQ5" s="220"/>
      <c r="BR5" s="220"/>
      <c r="BS5" s="220"/>
      <c r="BT5" s="220"/>
      <c r="BU5" s="220"/>
      <c r="BV5" s="220"/>
      <c r="BW5" s="220"/>
      <c r="BX5" s="221"/>
    </row>
    <row r="6" spans="1:77" s="214" customFormat="1" ht="12.75" customHeight="1" x14ac:dyDescent="0.2">
      <c r="B6" s="218" t="s">
        <v>530</v>
      </c>
      <c r="D6" s="214">
        <v>300</v>
      </c>
      <c r="F6" s="214" t="s">
        <v>357</v>
      </c>
      <c r="G6" s="218"/>
      <c r="I6" s="214">
        <f>Нормы!B10</f>
        <v>11.8</v>
      </c>
      <c r="L6" s="218"/>
      <c r="O6" s="211"/>
      <c r="Q6" s="219"/>
      <c r="AP6" s="220"/>
      <c r="AQ6" s="220"/>
      <c r="AR6" s="220"/>
      <c r="AS6" s="220"/>
      <c r="AT6" s="220"/>
      <c r="AU6" s="220"/>
      <c r="AV6" s="220"/>
      <c r="AW6" s="220"/>
      <c r="AX6" s="220"/>
      <c r="AY6" s="220"/>
      <c r="AZ6" s="220"/>
      <c r="BA6" s="220"/>
      <c r="BB6" s="220"/>
      <c r="BC6" s="220"/>
      <c r="BD6" s="220"/>
      <c r="BE6" s="220"/>
      <c r="BG6" s="220"/>
      <c r="BH6" s="220"/>
      <c r="BI6" s="220"/>
      <c r="BJ6" s="220"/>
      <c r="BK6" s="220"/>
      <c r="BL6" s="4"/>
      <c r="BM6" s="220"/>
      <c r="BN6" s="220"/>
      <c r="BO6" s="220"/>
      <c r="BP6" s="220"/>
      <c r="BQ6" s="220"/>
      <c r="BR6" s="220"/>
      <c r="BS6" s="220"/>
      <c r="BT6" s="220"/>
      <c r="BU6" s="220"/>
      <c r="BV6" s="220"/>
      <c r="BW6" s="220"/>
      <c r="BX6" s="221"/>
    </row>
    <row r="7" spans="1:77" s="214" customFormat="1" ht="12.75" customHeight="1" x14ac:dyDescent="0.2">
      <c r="B7" s="218" t="s">
        <v>531</v>
      </c>
      <c r="D7" s="214">
        <v>150</v>
      </c>
      <c r="G7" s="218"/>
      <c r="L7" s="218"/>
      <c r="O7" s="211"/>
      <c r="Q7" s="219"/>
      <c r="AP7" s="220"/>
      <c r="AQ7" s="220"/>
      <c r="AR7" s="220"/>
      <c r="AS7" s="220"/>
      <c r="AT7" s="220"/>
      <c r="AU7" s="220"/>
      <c r="AV7" s="220"/>
      <c r="AW7" s="220"/>
      <c r="AX7" s="220"/>
      <c r="AY7" s="220"/>
      <c r="AZ7" s="220"/>
      <c r="BA7" s="220"/>
      <c r="BB7" s="220"/>
      <c r="BC7" s="220"/>
      <c r="BD7" s="220"/>
      <c r="BE7" s="220"/>
      <c r="BG7" s="220"/>
      <c r="BH7" s="220"/>
      <c r="BI7" s="220"/>
      <c r="BJ7" s="220"/>
      <c r="BK7" s="220"/>
      <c r="BL7" s="4"/>
      <c r="BM7" s="220"/>
      <c r="BN7" s="220"/>
      <c r="BO7" s="220"/>
      <c r="BP7" s="220"/>
      <c r="BQ7" s="220"/>
      <c r="BR7" s="220"/>
      <c r="BS7" s="220"/>
      <c r="BT7" s="220"/>
      <c r="BU7" s="220"/>
      <c r="BV7" s="220"/>
      <c r="BW7" s="220"/>
      <c r="BX7" s="221"/>
    </row>
    <row r="8" spans="1:77" s="214" customFormat="1" ht="12.75" customHeight="1" x14ac:dyDescent="0.2">
      <c r="B8" s="218" t="s">
        <v>532</v>
      </c>
      <c r="D8" s="214">
        <v>150</v>
      </c>
      <c r="G8" s="218"/>
      <c r="L8" s="218"/>
      <c r="O8" s="211"/>
      <c r="Q8" s="219"/>
      <c r="AP8" s="220"/>
      <c r="AQ8" s="220"/>
      <c r="AR8" s="220"/>
      <c r="AS8" s="220"/>
      <c r="AT8" s="220"/>
      <c r="AU8" s="220"/>
      <c r="AV8" s="220"/>
      <c r="AW8" s="220"/>
      <c r="AX8" s="220"/>
      <c r="AY8" s="220"/>
      <c r="AZ8" s="220"/>
      <c r="BA8" s="220"/>
      <c r="BB8" s="220"/>
      <c r="BC8" s="220"/>
      <c r="BD8" s="220"/>
      <c r="BE8" s="220"/>
      <c r="BG8" s="220"/>
      <c r="BH8" s="220"/>
      <c r="BI8" s="220"/>
      <c r="BJ8" s="220"/>
      <c r="BK8" s="220"/>
      <c r="BL8" s="4"/>
      <c r="BM8" s="220"/>
      <c r="BN8" s="220"/>
      <c r="BO8" s="220"/>
      <c r="BP8" s="220"/>
      <c r="BQ8" s="220"/>
      <c r="BR8" s="220"/>
      <c r="BS8" s="220"/>
      <c r="BT8" s="220"/>
      <c r="BU8" s="220"/>
      <c r="BV8" s="220"/>
      <c r="BW8" s="220"/>
      <c r="BX8" s="221"/>
    </row>
    <row r="9" spans="1:77" s="214" customFormat="1" ht="12.75" customHeight="1" x14ac:dyDescent="0.2">
      <c r="B9" s="222" t="s">
        <v>652</v>
      </c>
      <c r="E9" s="214">
        <f>D7*I6</f>
        <v>1770</v>
      </c>
      <c r="G9" s="218"/>
      <c r="L9" s="218"/>
      <c r="O9" s="211"/>
      <c r="Q9" s="219"/>
      <c r="AP9" s="220"/>
      <c r="AQ9" s="220"/>
      <c r="AR9" s="220"/>
      <c r="AS9" s="220"/>
      <c r="AT9" s="220"/>
      <c r="AU9" s="220"/>
      <c r="AV9" s="220"/>
      <c r="AW9" s="220"/>
      <c r="AX9" s="220"/>
      <c r="AY9" s="220"/>
      <c r="AZ9" s="220"/>
      <c r="BA9" s="220"/>
      <c r="BB9" s="220"/>
      <c r="BC9" s="220"/>
      <c r="BD9" s="220"/>
      <c r="BE9" s="220"/>
      <c r="BG9" s="220"/>
      <c r="BH9" s="220"/>
      <c r="BI9" s="220"/>
      <c r="BJ9" s="220"/>
      <c r="BK9" s="220"/>
      <c r="BL9" s="4"/>
      <c r="BM9" s="220"/>
      <c r="BN9" s="220"/>
      <c r="BO9" s="220"/>
      <c r="BP9" s="220"/>
      <c r="BQ9" s="220"/>
      <c r="BR9" s="220"/>
      <c r="BS9" s="220"/>
      <c r="BT9" s="220"/>
      <c r="BU9" s="220"/>
      <c r="BV9" s="220"/>
      <c r="BW9" s="220"/>
      <c r="BX9" s="221"/>
    </row>
    <row r="10" spans="1:77" x14ac:dyDescent="0.2">
      <c r="B10" s="222" t="s">
        <v>653</v>
      </c>
      <c r="E10" s="223">
        <f>E9*0.8</f>
        <v>1416</v>
      </c>
      <c r="F10" s="211"/>
      <c r="G10" s="207"/>
      <c r="K10" s="211"/>
      <c r="L10" s="211"/>
      <c r="N10" s="211"/>
      <c r="Q10" s="207"/>
      <c r="AQ10" s="224"/>
      <c r="AR10" s="224"/>
    </row>
    <row r="11" spans="1:77" x14ac:dyDescent="0.2">
      <c r="B11" s="222" t="s">
        <v>654</v>
      </c>
      <c r="E11" s="223">
        <f>E9*0.2</f>
        <v>354</v>
      </c>
      <c r="F11" s="211"/>
      <c r="G11" s="207"/>
      <c r="K11" s="211"/>
      <c r="L11" s="211"/>
      <c r="N11" s="211"/>
      <c r="Q11" s="207"/>
      <c r="AQ11" s="224"/>
      <c r="AR11" s="224"/>
    </row>
    <row r="12" spans="1:77" x14ac:dyDescent="0.2">
      <c r="B12" s="445" t="s">
        <v>656</v>
      </c>
      <c r="E12" s="223">
        <f>E11*10%</f>
        <v>35.4</v>
      </c>
      <c r="F12" s="211"/>
      <c r="G12" s="207"/>
      <c r="K12" s="211"/>
      <c r="L12" s="211"/>
      <c r="N12" s="211"/>
      <c r="Q12" s="207"/>
      <c r="AQ12" s="224"/>
      <c r="AR12" s="224"/>
    </row>
    <row r="13" spans="1:77" ht="12" thickBot="1" x14ac:dyDescent="0.25">
      <c r="A13" s="222"/>
      <c r="B13" s="223" t="s">
        <v>655</v>
      </c>
      <c r="E13" s="211">
        <f>E9-E11+E12</f>
        <v>1451.4</v>
      </c>
      <c r="K13" s="211"/>
      <c r="L13" s="211"/>
      <c r="N13" s="211"/>
      <c r="Q13" s="207"/>
      <c r="AQ13" s="224"/>
      <c r="AR13" s="224"/>
    </row>
    <row r="14" spans="1:77" s="213" customFormat="1" ht="30.75" customHeight="1" x14ac:dyDescent="0.2">
      <c r="A14" s="531" t="s">
        <v>55</v>
      </c>
      <c r="B14" s="532" t="s">
        <v>51</v>
      </c>
      <c r="C14" s="532"/>
      <c r="D14" s="532"/>
      <c r="E14" s="532"/>
      <c r="F14" s="531" t="s">
        <v>15</v>
      </c>
      <c r="G14" s="531" t="s">
        <v>34</v>
      </c>
      <c r="H14" s="512" t="s">
        <v>30</v>
      </c>
      <c r="I14" s="514"/>
      <c r="J14" s="487" t="s">
        <v>33</v>
      </c>
      <c r="K14" s="487" t="s">
        <v>39</v>
      </c>
      <c r="L14" s="487" t="s">
        <v>38</v>
      </c>
      <c r="M14" s="503" t="s">
        <v>35</v>
      </c>
      <c r="N14" s="503"/>
      <c r="O14" s="503" t="s">
        <v>315</v>
      </c>
      <c r="P14" s="503"/>
      <c r="Q14" s="503" t="s">
        <v>314</v>
      </c>
      <c r="R14" s="503"/>
      <c r="S14" s="503"/>
      <c r="T14" s="503"/>
      <c r="U14" s="503" t="s">
        <v>316</v>
      </c>
      <c r="V14" s="503"/>
      <c r="W14" s="503" t="s">
        <v>317</v>
      </c>
      <c r="X14" s="503"/>
      <c r="Y14" s="503" t="s">
        <v>318</v>
      </c>
      <c r="Z14" s="503"/>
      <c r="AA14" s="503" t="s">
        <v>319</v>
      </c>
      <c r="AB14" s="503"/>
      <c r="AC14" s="512" t="s">
        <v>425</v>
      </c>
      <c r="AD14" s="513"/>
      <c r="AE14" s="514"/>
      <c r="AF14" s="503" t="s">
        <v>163</v>
      </c>
      <c r="AG14" s="503"/>
      <c r="AH14" s="503" t="s">
        <v>320</v>
      </c>
      <c r="AI14" s="503"/>
      <c r="AJ14" s="503" t="s">
        <v>321</v>
      </c>
      <c r="AK14" s="503"/>
      <c r="AL14" s="503" t="s">
        <v>322</v>
      </c>
      <c r="AM14" s="522"/>
      <c r="AN14" s="523" t="s">
        <v>13</v>
      </c>
      <c r="AO14" s="524"/>
      <c r="AP14" s="524"/>
      <c r="AQ14" s="524"/>
      <c r="AR14" s="524"/>
      <c r="AS14" s="525"/>
      <c r="AT14" s="528" t="s">
        <v>186</v>
      </c>
      <c r="AU14" s="503"/>
      <c r="AV14" s="503"/>
      <c r="AW14" s="503"/>
      <c r="AX14" s="503" t="s">
        <v>329</v>
      </c>
      <c r="AY14" s="503"/>
      <c r="AZ14" s="503"/>
      <c r="BA14" s="503"/>
      <c r="BB14" s="503" t="s">
        <v>534</v>
      </c>
      <c r="BC14" s="503"/>
      <c r="BD14" s="503"/>
      <c r="BE14" s="503"/>
      <c r="BF14" s="503" t="s">
        <v>535</v>
      </c>
      <c r="BG14" s="503"/>
      <c r="BH14" s="503"/>
      <c r="BI14" s="503"/>
      <c r="BJ14" s="503" t="s">
        <v>44</v>
      </c>
      <c r="BK14" s="503"/>
      <c r="BL14" s="503"/>
      <c r="BM14" s="503"/>
      <c r="BN14" s="503" t="s">
        <v>312</v>
      </c>
      <c r="BO14" s="503"/>
      <c r="BP14" s="503"/>
      <c r="BQ14" s="503"/>
      <c r="BR14" s="503"/>
      <c r="BS14" s="503"/>
      <c r="BT14" s="503"/>
      <c r="BU14" s="503" t="s">
        <v>48</v>
      </c>
      <c r="BV14" s="503"/>
      <c r="BW14" s="503" t="s">
        <v>326</v>
      </c>
      <c r="BX14" s="508" t="s">
        <v>58</v>
      </c>
      <c r="BY14" s="508"/>
    </row>
    <row r="15" spans="1:77" s="213" customFormat="1" ht="27" customHeight="1" x14ac:dyDescent="0.2">
      <c r="A15" s="531"/>
      <c r="B15" s="532"/>
      <c r="C15" s="532"/>
      <c r="D15" s="532"/>
      <c r="E15" s="532"/>
      <c r="F15" s="531"/>
      <c r="G15" s="531"/>
      <c r="H15" s="515"/>
      <c r="I15" s="517"/>
      <c r="J15" s="487"/>
      <c r="K15" s="487"/>
      <c r="L15" s="487"/>
      <c r="M15" s="503"/>
      <c r="N15" s="503"/>
      <c r="O15" s="503"/>
      <c r="P15" s="503"/>
      <c r="Q15" s="503"/>
      <c r="R15" s="503"/>
      <c r="S15" s="503"/>
      <c r="T15" s="503"/>
      <c r="U15" s="503"/>
      <c r="V15" s="503"/>
      <c r="W15" s="503"/>
      <c r="X15" s="503"/>
      <c r="Y15" s="503"/>
      <c r="Z15" s="503"/>
      <c r="AA15" s="503"/>
      <c r="AB15" s="503"/>
      <c r="AC15" s="515"/>
      <c r="AD15" s="516"/>
      <c r="AE15" s="517"/>
      <c r="AF15" s="503"/>
      <c r="AG15" s="503"/>
      <c r="AH15" s="503"/>
      <c r="AI15" s="503"/>
      <c r="AJ15" s="503"/>
      <c r="AK15" s="503"/>
      <c r="AL15" s="503"/>
      <c r="AM15" s="522"/>
      <c r="AN15" s="526"/>
      <c r="AO15" s="503"/>
      <c r="AP15" s="503"/>
      <c r="AQ15" s="503"/>
      <c r="AR15" s="503"/>
      <c r="AS15" s="527"/>
      <c r="AT15" s="528"/>
      <c r="AU15" s="503"/>
      <c r="AV15" s="503"/>
      <c r="AW15" s="503"/>
      <c r="AX15" s="503"/>
      <c r="AY15" s="503"/>
      <c r="AZ15" s="503"/>
      <c r="BA15" s="503"/>
      <c r="BB15" s="503"/>
      <c r="BC15" s="503"/>
      <c r="BD15" s="503"/>
      <c r="BE15" s="503"/>
      <c r="BF15" s="503"/>
      <c r="BG15" s="503"/>
      <c r="BH15" s="503"/>
      <c r="BI15" s="503"/>
      <c r="BJ15" s="503"/>
      <c r="BK15" s="503"/>
      <c r="BL15" s="503"/>
      <c r="BM15" s="503"/>
      <c r="BN15" s="503"/>
      <c r="BO15" s="503"/>
      <c r="BP15" s="503"/>
      <c r="BQ15" s="503"/>
      <c r="BR15" s="503"/>
      <c r="BS15" s="503"/>
      <c r="BT15" s="503"/>
      <c r="BU15" s="503"/>
      <c r="BV15" s="503"/>
      <c r="BW15" s="503"/>
      <c r="BX15" s="508"/>
      <c r="BY15" s="508"/>
    </row>
    <row r="16" spans="1:77" s="213" customFormat="1" ht="19.5" customHeight="1" x14ac:dyDescent="0.2">
      <c r="A16" s="531"/>
      <c r="B16" s="532" t="s">
        <v>12</v>
      </c>
      <c r="C16" s="532" t="s">
        <v>40</v>
      </c>
      <c r="D16" s="532"/>
      <c r="E16" s="532"/>
      <c r="F16" s="531"/>
      <c r="G16" s="531"/>
      <c r="H16" s="531" t="s">
        <v>31</v>
      </c>
      <c r="I16" s="531" t="s">
        <v>32</v>
      </c>
      <c r="J16" s="487"/>
      <c r="K16" s="487"/>
      <c r="L16" s="487"/>
      <c r="M16" s="487" t="s">
        <v>36</v>
      </c>
      <c r="N16" s="487" t="s">
        <v>37</v>
      </c>
      <c r="O16" s="510">
        <f>'Исходные данные'!B10</f>
        <v>7.9878542510121457</v>
      </c>
      <c r="P16" s="510"/>
      <c r="Q16" s="503" t="s">
        <v>36</v>
      </c>
      <c r="R16" s="503"/>
      <c r="S16" s="503" t="s">
        <v>37</v>
      </c>
      <c r="T16" s="503"/>
      <c r="U16" s="487" t="s">
        <v>16</v>
      </c>
      <c r="V16" s="487" t="s">
        <v>17</v>
      </c>
      <c r="W16" s="518">
        <v>0</v>
      </c>
      <c r="X16" s="518"/>
      <c r="Y16" s="248">
        <v>0.1</v>
      </c>
      <c r="Z16" s="248">
        <v>0.05</v>
      </c>
      <c r="AA16" s="518">
        <v>0</v>
      </c>
      <c r="AB16" s="518"/>
      <c r="AC16" s="519" t="s">
        <v>18</v>
      </c>
      <c r="AD16" s="519" t="s">
        <v>16</v>
      </c>
      <c r="AE16" s="519" t="s">
        <v>17</v>
      </c>
      <c r="AF16" s="502">
        <f>(((((AD41/O41)*167)/29.25*(52/12)))/((AD41/O41)*167))</f>
        <v>0.14814814814814814</v>
      </c>
      <c r="AG16" s="502"/>
      <c r="AH16" s="487" t="s">
        <v>16</v>
      </c>
      <c r="AI16" s="487" t="s">
        <v>17</v>
      </c>
      <c r="AJ16" s="502">
        <v>0.307</v>
      </c>
      <c r="AK16" s="502"/>
      <c r="AL16" s="487" t="s">
        <v>16</v>
      </c>
      <c r="AM16" s="488" t="s">
        <v>17</v>
      </c>
      <c r="AN16" s="506" t="s">
        <v>328</v>
      </c>
      <c r="AO16" s="487" t="s">
        <v>42</v>
      </c>
      <c r="AP16" s="505" t="s">
        <v>49</v>
      </c>
      <c r="AQ16" s="505" t="s">
        <v>43</v>
      </c>
      <c r="AR16" s="505" t="s">
        <v>323</v>
      </c>
      <c r="AS16" s="529" t="s">
        <v>324</v>
      </c>
      <c r="AT16" s="504" t="s">
        <v>213</v>
      </c>
      <c r="AU16" s="505" t="s">
        <v>187</v>
      </c>
      <c r="AV16" s="505" t="s">
        <v>325</v>
      </c>
      <c r="AW16" s="505" t="s">
        <v>324</v>
      </c>
      <c r="AX16" s="487" t="s">
        <v>213</v>
      </c>
      <c r="AY16" s="505" t="s">
        <v>187</v>
      </c>
      <c r="AZ16" s="505" t="s">
        <v>325</v>
      </c>
      <c r="BA16" s="505" t="s">
        <v>324</v>
      </c>
      <c r="BB16" s="487" t="s">
        <v>536</v>
      </c>
      <c r="BC16" s="505" t="s">
        <v>537</v>
      </c>
      <c r="BD16" s="505" t="s">
        <v>538</v>
      </c>
      <c r="BE16" s="505" t="s">
        <v>324</v>
      </c>
      <c r="BF16" s="487" t="s">
        <v>539</v>
      </c>
      <c r="BG16" s="505" t="s">
        <v>540</v>
      </c>
      <c r="BH16" s="505" t="s">
        <v>323</v>
      </c>
      <c r="BI16" s="505" t="s">
        <v>324</v>
      </c>
      <c r="BJ16" s="508" t="s">
        <v>45</v>
      </c>
      <c r="BK16" s="508"/>
      <c r="BL16" s="508" t="s">
        <v>46</v>
      </c>
      <c r="BM16" s="508"/>
      <c r="BN16" s="508" t="s">
        <v>307</v>
      </c>
      <c r="BO16" s="508"/>
      <c r="BP16" s="508" t="s">
        <v>308</v>
      </c>
      <c r="BQ16" s="508"/>
      <c r="BR16" s="508" t="s">
        <v>309</v>
      </c>
      <c r="BS16" s="508"/>
      <c r="BT16" s="487" t="s">
        <v>310</v>
      </c>
      <c r="BU16" s="505" t="s">
        <v>311</v>
      </c>
      <c r="BV16" s="505" t="s">
        <v>327</v>
      </c>
      <c r="BW16" s="503"/>
      <c r="BX16" s="505" t="s">
        <v>50</v>
      </c>
      <c r="BY16" s="505" t="s">
        <v>14</v>
      </c>
    </row>
    <row r="17" spans="1:77" s="213" customFormat="1" ht="29.25" customHeight="1" x14ac:dyDescent="0.2">
      <c r="A17" s="531"/>
      <c r="B17" s="532"/>
      <c r="C17" s="531" t="s">
        <v>41</v>
      </c>
      <c r="D17" s="531" t="s">
        <v>53</v>
      </c>
      <c r="E17" s="531" t="s">
        <v>52</v>
      </c>
      <c r="F17" s="531"/>
      <c r="G17" s="531"/>
      <c r="H17" s="531"/>
      <c r="I17" s="531"/>
      <c r="J17" s="487"/>
      <c r="K17" s="487"/>
      <c r="L17" s="487"/>
      <c r="M17" s="487"/>
      <c r="N17" s="487"/>
      <c r="O17" s="487" t="s">
        <v>36</v>
      </c>
      <c r="P17" s="487" t="s">
        <v>37</v>
      </c>
      <c r="Q17" s="511" t="s">
        <v>19</v>
      </c>
      <c r="R17" s="487" t="s">
        <v>20</v>
      </c>
      <c r="S17" s="511" t="s">
        <v>19</v>
      </c>
      <c r="T17" s="487" t="s">
        <v>20</v>
      </c>
      <c r="U17" s="487"/>
      <c r="V17" s="487"/>
      <c r="W17" s="507" t="s">
        <v>16</v>
      </c>
      <c r="X17" s="507" t="s">
        <v>17</v>
      </c>
      <c r="Y17" s="507" t="s">
        <v>172</v>
      </c>
      <c r="Z17" s="507" t="s">
        <v>173</v>
      </c>
      <c r="AA17" s="507" t="s">
        <v>16</v>
      </c>
      <c r="AB17" s="507" t="s">
        <v>17</v>
      </c>
      <c r="AC17" s="520"/>
      <c r="AD17" s="520"/>
      <c r="AE17" s="520"/>
      <c r="AF17" s="487" t="s">
        <v>16</v>
      </c>
      <c r="AG17" s="487" t="s">
        <v>17</v>
      </c>
      <c r="AH17" s="487"/>
      <c r="AI17" s="487"/>
      <c r="AJ17" s="487" t="s">
        <v>16</v>
      </c>
      <c r="AK17" s="487" t="s">
        <v>17</v>
      </c>
      <c r="AL17" s="487"/>
      <c r="AM17" s="488"/>
      <c r="AN17" s="506"/>
      <c r="AO17" s="487"/>
      <c r="AP17" s="505"/>
      <c r="AQ17" s="505"/>
      <c r="AR17" s="505"/>
      <c r="AS17" s="529"/>
      <c r="AT17" s="504"/>
      <c r="AU17" s="505"/>
      <c r="AV17" s="505"/>
      <c r="AW17" s="505"/>
      <c r="AX17" s="487"/>
      <c r="AY17" s="505"/>
      <c r="AZ17" s="505"/>
      <c r="BA17" s="505"/>
      <c r="BB17" s="487"/>
      <c r="BC17" s="505"/>
      <c r="BD17" s="505"/>
      <c r="BE17" s="505"/>
      <c r="BF17" s="487"/>
      <c r="BG17" s="505"/>
      <c r="BH17" s="505"/>
      <c r="BI17" s="505"/>
      <c r="BJ17" s="505" t="s">
        <v>47</v>
      </c>
      <c r="BK17" s="505" t="s">
        <v>313</v>
      </c>
      <c r="BL17" s="509" t="s">
        <v>47</v>
      </c>
      <c r="BM17" s="505" t="s">
        <v>313</v>
      </c>
      <c r="BN17" s="505" t="s">
        <v>541</v>
      </c>
      <c r="BO17" s="505" t="s">
        <v>313</v>
      </c>
      <c r="BP17" s="505" t="s">
        <v>541</v>
      </c>
      <c r="BQ17" s="505" t="s">
        <v>313</v>
      </c>
      <c r="BR17" s="505" t="s">
        <v>541</v>
      </c>
      <c r="BS17" s="505" t="s">
        <v>313</v>
      </c>
      <c r="BT17" s="487"/>
      <c r="BU17" s="505"/>
      <c r="BV17" s="505"/>
      <c r="BW17" s="503"/>
      <c r="BX17" s="505"/>
      <c r="BY17" s="505"/>
    </row>
    <row r="18" spans="1:77" s="213" customFormat="1" ht="65.25" customHeight="1" x14ac:dyDescent="0.2">
      <c r="A18" s="531"/>
      <c r="B18" s="532"/>
      <c r="C18" s="531"/>
      <c r="D18" s="531"/>
      <c r="E18" s="531"/>
      <c r="F18" s="531"/>
      <c r="G18" s="531"/>
      <c r="H18" s="531"/>
      <c r="I18" s="531"/>
      <c r="J18" s="487"/>
      <c r="K18" s="487"/>
      <c r="L18" s="487"/>
      <c r="M18" s="487"/>
      <c r="N18" s="487"/>
      <c r="O18" s="487"/>
      <c r="P18" s="487"/>
      <c r="Q18" s="511"/>
      <c r="R18" s="487"/>
      <c r="S18" s="511"/>
      <c r="T18" s="487"/>
      <c r="U18" s="487"/>
      <c r="V18" s="487"/>
      <c r="W18" s="507"/>
      <c r="X18" s="507"/>
      <c r="Y18" s="507"/>
      <c r="Z18" s="507"/>
      <c r="AA18" s="507"/>
      <c r="AB18" s="507"/>
      <c r="AC18" s="521"/>
      <c r="AD18" s="521"/>
      <c r="AE18" s="521"/>
      <c r="AF18" s="487"/>
      <c r="AG18" s="487"/>
      <c r="AH18" s="487"/>
      <c r="AI18" s="487"/>
      <c r="AJ18" s="487"/>
      <c r="AK18" s="487"/>
      <c r="AL18" s="487"/>
      <c r="AM18" s="488"/>
      <c r="AN18" s="506"/>
      <c r="AO18" s="487"/>
      <c r="AP18" s="505"/>
      <c r="AQ18" s="505"/>
      <c r="AR18" s="505"/>
      <c r="AS18" s="529"/>
      <c r="AT18" s="504"/>
      <c r="AU18" s="505"/>
      <c r="AV18" s="505"/>
      <c r="AW18" s="505"/>
      <c r="AX18" s="487"/>
      <c r="AY18" s="505"/>
      <c r="AZ18" s="505"/>
      <c r="BA18" s="505"/>
      <c r="BB18" s="487"/>
      <c r="BC18" s="505"/>
      <c r="BD18" s="505"/>
      <c r="BE18" s="505"/>
      <c r="BF18" s="487"/>
      <c r="BG18" s="505"/>
      <c r="BH18" s="505"/>
      <c r="BI18" s="505"/>
      <c r="BJ18" s="505"/>
      <c r="BK18" s="505"/>
      <c r="BL18" s="509"/>
      <c r="BM18" s="505"/>
      <c r="BN18" s="505"/>
      <c r="BO18" s="505"/>
      <c r="BP18" s="505"/>
      <c r="BQ18" s="505"/>
      <c r="BR18" s="505"/>
      <c r="BS18" s="505"/>
      <c r="BT18" s="487"/>
      <c r="BU18" s="505"/>
      <c r="BV18" s="505"/>
      <c r="BW18" s="503"/>
      <c r="BX18" s="505"/>
      <c r="BY18" s="505"/>
    </row>
    <row r="19" spans="1:77" x14ac:dyDescent="0.2">
      <c r="A19" s="249">
        <f>COLUMN(A19)</f>
        <v>1</v>
      </c>
      <c r="B19" s="496">
        <f>COLUMN(B19)</f>
        <v>2</v>
      </c>
      <c r="C19" s="496"/>
      <c r="D19" s="496"/>
      <c r="E19" s="496"/>
      <c r="F19" s="249">
        <v>3</v>
      </c>
      <c r="G19" s="249">
        <f>F19+1</f>
        <v>4</v>
      </c>
      <c r="H19" s="249">
        <f t="shared" ref="H19:BS19" si="0">G19+1</f>
        <v>5</v>
      </c>
      <c r="I19" s="249">
        <f t="shared" si="0"/>
        <v>6</v>
      </c>
      <c r="J19" s="226">
        <f t="shared" si="0"/>
        <v>7</v>
      </c>
      <c r="K19" s="226">
        <f t="shared" si="0"/>
        <v>8</v>
      </c>
      <c r="L19" s="226">
        <f t="shared" si="0"/>
        <v>9</v>
      </c>
      <c r="M19" s="226">
        <f t="shared" si="0"/>
        <v>10</v>
      </c>
      <c r="N19" s="226">
        <f t="shared" si="0"/>
        <v>11</v>
      </c>
      <c r="O19" s="226">
        <f t="shared" si="0"/>
        <v>12</v>
      </c>
      <c r="P19" s="226">
        <f t="shared" si="0"/>
        <v>13</v>
      </c>
      <c r="Q19" s="226">
        <f t="shared" si="0"/>
        <v>14</v>
      </c>
      <c r="R19" s="226">
        <f t="shared" si="0"/>
        <v>15</v>
      </c>
      <c r="S19" s="226">
        <f t="shared" si="0"/>
        <v>16</v>
      </c>
      <c r="T19" s="226">
        <f t="shared" si="0"/>
        <v>17</v>
      </c>
      <c r="U19" s="226"/>
      <c r="V19" s="226"/>
      <c r="W19" s="449"/>
      <c r="X19" s="449"/>
      <c r="Y19" s="449">
        <f>T19+1</f>
        <v>18</v>
      </c>
      <c r="Z19" s="449">
        <f t="shared" si="0"/>
        <v>19</v>
      </c>
      <c r="AA19" s="449"/>
      <c r="AB19" s="449"/>
      <c r="AC19" s="449">
        <f>Z19+1</f>
        <v>20</v>
      </c>
      <c r="AD19" s="226">
        <f t="shared" si="0"/>
        <v>21</v>
      </c>
      <c r="AE19" s="226">
        <f t="shared" si="0"/>
        <v>22</v>
      </c>
      <c r="AF19" s="226">
        <f t="shared" si="0"/>
        <v>23</v>
      </c>
      <c r="AG19" s="226">
        <f t="shared" si="0"/>
        <v>24</v>
      </c>
      <c r="AH19" s="226">
        <f t="shared" si="0"/>
        <v>25</v>
      </c>
      <c r="AI19" s="226">
        <f t="shared" si="0"/>
        <v>26</v>
      </c>
      <c r="AJ19" s="226">
        <f t="shared" si="0"/>
        <v>27</v>
      </c>
      <c r="AK19" s="226">
        <f t="shared" si="0"/>
        <v>28</v>
      </c>
      <c r="AL19" s="226">
        <f t="shared" si="0"/>
        <v>29</v>
      </c>
      <c r="AM19" s="250">
        <f t="shared" si="0"/>
        <v>30</v>
      </c>
      <c r="AN19" s="251">
        <f t="shared" si="0"/>
        <v>31</v>
      </c>
      <c r="AO19" s="226">
        <f t="shared" si="0"/>
        <v>32</v>
      </c>
      <c r="AP19" s="226">
        <f t="shared" si="0"/>
        <v>33</v>
      </c>
      <c r="AQ19" s="226">
        <f t="shared" si="0"/>
        <v>34</v>
      </c>
      <c r="AR19" s="226">
        <f t="shared" si="0"/>
        <v>35</v>
      </c>
      <c r="AS19" s="252">
        <f t="shared" si="0"/>
        <v>36</v>
      </c>
      <c r="AT19" s="253">
        <f t="shared" si="0"/>
        <v>37</v>
      </c>
      <c r="AU19" s="226">
        <f t="shared" si="0"/>
        <v>38</v>
      </c>
      <c r="AV19" s="226">
        <f t="shared" si="0"/>
        <v>39</v>
      </c>
      <c r="AW19" s="226">
        <f t="shared" si="0"/>
        <v>40</v>
      </c>
      <c r="AX19" s="226">
        <f t="shared" si="0"/>
        <v>41</v>
      </c>
      <c r="AY19" s="226">
        <f t="shared" si="0"/>
        <v>42</v>
      </c>
      <c r="AZ19" s="226">
        <f t="shared" si="0"/>
        <v>43</v>
      </c>
      <c r="BA19" s="226">
        <f t="shared" si="0"/>
        <v>44</v>
      </c>
      <c r="BB19" s="226">
        <f t="shared" si="0"/>
        <v>45</v>
      </c>
      <c r="BC19" s="226">
        <f t="shared" si="0"/>
        <v>46</v>
      </c>
      <c r="BD19" s="226">
        <f t="shared" si="0"/>
        <v>47</v>
      </c>
      <c r="BE19" s="226">
        <f t="shared" si="0"/>
        <v>48</v>
      </c>
      <c r="BF19" s="226">
        <f t="shared" si="0"/>
        <v>49</v>
      </c>
      <c r="BG19" s="226">
        <f t="shared" si="0"/>
        <v>50</v>
      </c>
      <c r="BH19" s="226">
        <f t="shared" si="0"/>
        <v>51</v>
      </c>
      <c r="BI19" s="226">
        <f t="shared" si="0"/>
        <v>52</v>
      </c>
      <c r="BJ19" s="226">
        <f t="shared" si="0"/>
        <v>53</v>
      </c>
      <c r="BK19" s="226">
        <f t="shared" si="0"/>
        <v>54</v>
      </c>
      <c r="BL19" s="189">
        <f t="shared" si="0"/>
        <v>55</v>
      </c>
      <c r="BM19" s="226">
        <f t="shared" si="0"/>
        <v>56</v>
      </c>
      <c r="BN19" s="226">
        <f t="shared" si="0"/>
        <v>57</v>
      </c>
      <c r="BO19" s="226">
        <f t="shared" si="0"/>
        <v>58</v>
      </c>
      <c r="BP19" s="226">
        <f t="shared" si="0"/>
        <v>59</v>
      </c>
      <c r="BQ19" s="226">
        <f t="shared" si="0"/>
        <v>60</v>
      </c>
      <c r="BR19" s="226">
        <f t="shared" si="0"/>
        <v>61</v>
      </c>
      <c r="BS19" s="226">
        <f t="shared" si="0"/>
        <v>62</v>
      </c>
      <c r="BT19" s="226">
        <f t="shared" ref="BT19:BV19" si="1">BS19+1</f>
        <v>63</v>
      </c>
      <c r="BU19" s="226">
        <f t="shared" si="1"/>
        <v>64</v>
      </c>
      <c r="BV19" s="226">
        <f t="shared" si="1"/>
        <v>65</v>
      </c>
      <c r="BW19" s="226">
        <f>BV19+1</f>
        <v>66</v>
      </c>
      <c r="BX19" s="226">
        <f>BW19+1</f>
        <v>67</v>
      </c>
      <c r="BY19" s="226">
        <f>BX19+1</f>
        <v>68</v>
      </c>
    </row>
    <row r="20" spans="1:77" s="241" customFormat="1" x14ac:dyDescent="0.2">
      <c r="A20" s="240"/>
      <c r="B20" s="497" t="s">
        <v>56</v>
      </c>
      <c r="C20" s="497"/>
      <c r="D20" s="497"/>
      <c r="E20" s="497"/>
      <c r="F20" s="240"/>
      <c r="G20" s="242"/>
      <c r="H20" s="242"/>
      <c r="I20" s="242"/>
      <c r="J20" s="242"/>
      <c r="K20" s="242"/>
      <c r="L20" s="242"/>
      <c r="M20" s="242"/>
      <c r="N20" s="242"/>
      <c r="O20" s="242"/>
      <c r="P20" s="242"/>
      <c r="Q20" s="296"/>
      <c r="R20" s="242"/>
      <c r="S20" s="242"/>
      <c r="T20" s="242"/>
      <c r="U20" s="242"/>
      <c r="V20" s="242"/>
      <c r="W20" s="297"/>
      <c r="X20" s="297"/>
      <c r="Y20" s="297"/>
      <c r="Z20" s="297"/>
      <c r="AA20" s="297"/>
      <c r="AB20" s="297"/>
      <c r="AC20" s="242"/>
      <c r="AD20" s="242"/>
      <c r="AE20" s="242"/>
      <c r="AF20" s="242"/>
      <c r="AG20" s="242"/>
      <c r="AH20" s="242"/>
      <c r="AI20" s="242"/>
      <c r="AJ20" s="242"/>
      <c r="AK20" s="242"/>
      <c r="AL20" s="242"/>
      <c r="AM20" s="298"/>
      <c r="AN20" s="299"/>
      <c r="AO20" s="242"/>
      <c r="AP20" s="300"/>
      <c r="AQ20" s="300"/>
      <c r="AR20" s="300"/>
      <c r="AS20" s="301"/>
      <c r="AT20" s="302"/>
      <c r="AU20" s="300"/>
      <c r="AV20" s="300"/>
      <c r="AW20" s="300"/>
      <c r="AX20" s="300"/>
      <c r="AY20" s="300"/>
      <c r="AZ20" s="300"/>
      <c r="BA20" s="300"/>
      <c r="BB20" s="300"/>
      <c r="BC20" s="300"/>
      <c r="BD20" s="300"/>
      <c r="BE20" s="300"/>
      <c r="BF20" s="242"/>
      <c r="BG20" s="300"/>
      <c r="BH20" s="300"/>
      <c r="BI20" s="300"/>
      <c r="BJ20" s="300"/>
      <c r="BK20" s="300"/>
      <c r="BL20" s="300"/>
      <c r="BM20" s="300"/>
      <c r="BN20" s="300"/>
      <c r="BO20" s="300"/>
      <c r="BP20" s="300"/>
      <c r="BQ20" s="300"/>
      <c r="BR20" s="300"/>
      <c r="BS20" s="300"/>
      <c r="BT20" s="300"/>
      <c r="BU20" s="300"/>
      <c r="BV20" s="300"/>
      <c r="BW20" s="300"/>
      <c r="BX20" s="300"/>
      <c r="BY20" s="242"/>
    </row>
    <row r="21" spans="1:77" ht="10.5" customHeight="1" x14ac:dyDescent="0.2">
      <c r="A21" s="206">
        <v>1</v>
      </c>
      <c r="B21" s="201" t="s">
        <v>108</v>
      </c>
      <c r="C21" s="349">
        <f>M21</f>
        <v>1.2605042016806725</v>
      </c>
      <c r="D21" s="350" t="s">
        <v>183</v>
      </c>
      <c r="E21" s="202" t="s">
        <v>542</v>
      </c>
      <c r="F21" s="206" t="s">
        <v>106</v>
      </c>
      <c r="G21" s="231">
        <f>D7</f>
        <v>150</v>
      </c>
      <c r="H21" s="233">
        <v>43588</v>
      </c>
      <c r="I21" s="233">
        <v>43595</v>
      </c>
      <c r="J21" s="254">
        <f>I21-H21</f>
        <v>7</v>
      </c>
      <c r="K21" s="344">
        <v>17</v>
      </c>
      <c r="L21" s="256">
        <f>G21/K21</f>
        <v>8.8235294117647065</v>
      </c>
      <c r="M21" s="257">
        <f>L21/J21</f>
        <v>1.2605042016806725</v>
      </c>
      <c r="N21" s="229"/>
      <c r="O21" s="256">
        <f>IF(M21=0,0,L21*$O$16)</f>
        <v>70.481066920695412</v>
      </c>
      <c r="P21" s="256">
        <f>IF(N21=0,0,L21*$O$16)</f>
        <v>0</v>
      </c>
      <c r="Q21" s="229">
        <v>5</v>
      </c>
      <c r="R21" s="230">
        <f>IF(AND(O21&gt;0,Q21&gt;0),SUMIF('Исходные данные'!$C$14:$H$14,Q21,'Исходные данные'!$C$26:$H$26),IF(O21=0,0,IF(Q21=0,"РОТ")))</f>
        <v>219.30404460212878</v>
      </c>
      <c r="S21" s="229"/>
      <c r="T21" s="254"/>
      <c r="U21" s="258">
        <v>0</v>
      </c>
      <c r="V21" s="258">
        <v>0</v>
      </c>
      <c r="W21" s="258">
        <f t="shared" ref="W21:W26" si="2">O21*R21*$W$16</f>
        <v>0</v>
      </c>
      <c r="X21" s="257">
        <f t="shared" ref="X21:X26" si="3">P21*T21*$W$16</f>
        <v>0</v>
      </c>
      <c r="Y21" s="258">
        <f>(O21*R21+U21+W21)*$Y$16</f>
        <v>1545.6783043581811</v>
      </c>
      <c r="Z21" s="257">
        <f>(P21*T21+V21+X21)*$Z$16</f>
        <v>0</v>
      </c>
      <c r="AA21" s="258">
        <f t="shared" ref="AA21:AA26" si="4">(O21*R21+U21)*$AA$16</f>
        <v>0</v>
      </c>
      <c r="AB21" s="257">
        <f t="shared" ref="AB21:AB26" si="5">(P21*T21+V21)*$AA$16</f>
        <v>0</v>
      </c>
      <c r="AC21" s="259">
        <v>2.5</v>
      </c>
      <c r="AD21" s="260">
        <f>(O21*R21+U21+W21+Y21+AA21)*AC21</f>
        <v>42506.153369849984</v>
      </c>
      <c r="AE21" s="260">
        <f>(P21*T21+V21+X21+Z21+AB21)*AC21</f>
        <v>0</v>
      </c>
      <c r="AF21" s="261">
        <f>AD21*$AF$16</f>
        <v>6297.2079066444421</v>
      </c>
      <c r="AG21" s="262"/>
      <c r="AH21" s="261">
        <f>AD21+AF21</f>
        <v>48803.361276494426</v>
      </c>
      <c r="AI21" s="261"/>
      <c r="AJ21" s="261">
        <f t="shared" ref="AJ21:AK24" si="6">AH21*$AJ$16</f>
        <v>14982.631911883789</v>
      </c>
      <c r="AK21" s="262">
        <f t="shared" si="6"/>
        <v>0</v>
      </c>
      <c r="AL21" s="261">
        <f>AH21+AJ21</f>
        <v>63785.993188378212</v>
      </c>
      <c r="AM21" s="263"/>
      <c r="AN21" s="264">
        <v>13.8</v>
      </c>
      <c r="AO21" s="256">
        <f>'Исходные данные'!$C$55</f>
        <v>0.84</v>
      </c>
      <c r="AP21" s="254">
        <f>(G21*AN21)*AO21/100</f>
        <v>17.387999999999998</v>
      </c>
      <c r="AQ21" s="265" t="s">
        <v>152</v>
      </c>
      <c r="AR21" s="256">
        <f>'Исходные данные'!$E$80</f>
        <v>9477.4514285714286</v>
      </c>
      <c r="AS21" s="266">
        <f>AP21*AR21</f>
        <v>164793.92543999999</v>
      </c>
      <c r="AT21" s="267"/>
      <c r="AU21" s="227"/>
      <c r="AV21" s="227"/>
      <c r="AW21" s="227"/>
      <c r="AX21" s="227"/>
      <c r="AY21" s="227"/>
      <c r="AZ21" s="227"/>
      <c r="BA21" s="227"/>
      <c r="BB21" s="227"/>
      <c r="BC21" s="227"/>
      <c r="BD21" s="227"/>
      <c r="BE21" s="227"/>
      <c r="BF21" s="229"/>
      <c r="BG21" s="227"/>
      <c r="BH21" s="227"/>
      <c r="BI21" s="227"/>
      <c r="BJ21" s="227">
        <f>аморт!$G$11</f>
        <v>181.91312849162011</v>
      </c>
      <c r="BK21" s="227">
        <f>BJ21*L21*$O$16</f>
        <v>12821.431382970939</v>
      </c>
      <c r="BL21" s="277">
        <f>аморт!$G$64</f>
        <v>107.93684523809524</v>
      </c>
      <c r="BM21" s="227">
        <f>BL21*L21</f>
        <v>952.38392857142867</v>
      </c>
      <c r="BN21" s="268">
        <f>'Исходные данные'!$B$84</f>
        <v>99.992314269119987</v>
      </c>
      <c r="BO21" s="227">
        <f>BN21*BY21</f>
        <v>13234.27688856</v>
      </c>
      <c r="BP21" s="268">
        <f>'Исходные данные'!$B$89</f>
        <v>8.0425991068799991</v>
      </c>
      <c r="BQ21" s="227">
        <f>BP21*BY21</f>
        <v>1064.4616464988235</v>
      </c>
      <c r="BR21" s="268">
        <f>'Исходные данные'!$B$94</f>
        <v>11.043568922879997</v>
      </c>
      <c r="BS21" s="227">
        <f>BR21*BY21</f>
        <v>1461.6488280282351</v>
      </c>
      <c r="BT21" s="227">
        <f>аморт!$C$64*10%/аморт!$F$64*L21*$O$16</f>
        <v>5325.2528087044539</v>
      </c>
      <c r="BU21" s="227">
        <f t="shared" ref="BU21:BU26" si="7">AL21+AM21+AS21+AW21+BA21+BE21+BI21+BK21+BM21+BO21+BQ21+BS21+BT21</f>
        <v>263439.3741117121</v>
      </c>
      <c r="BV21" s="227">
        <f t="shared" ref="BV21:BV39" si="8">BU21/$D$6</f>
        <v>878.13124703904032</v>
      </c>
      <c r="BW21" s="268">
        <f>(O21+P21)/G21</f>
        <v>0.46987377947130277</v>
      </c>
      <c r="BX21" s="268">
        <f>'Исходные данные'!$B$110</f>
        <v>15</v>
      </c>
      <c r="BY21" s="269">
        <f>BX21*L21</f>
        <v>132.35294117647061</v>
      </c>
    </row>
    <row r="22" spans="1:77" x14ac:dyDescent="0.2">
      <c r="A22" s="249">
        <v>2</v>
      </c>
      <c r="B22" s="201" t="s">
        <v>543</v>
      </c>
      <c r="C22" s="351"/>
      <c r="D22" s="498" t="s">
        <v>544</v>
      </c>
      <c r="E22" s="498"/>
      <c r="F22" s="206" t="s">
        <v>109</v>
      </c>
      <c r="G22" s="227">
        <f>AU26</f>
        <v>22.5</v>
      </c>
      <c r="H22" s="233">
        <v>43595</v>
      </c>
      <c r="I22" s="233">
        <v>43599</v>
      </c>
      <c r="J22" s="254">
        <f t="shared" ref="J22:J26" si="9">I22-H22</f>
        <v>4</v>
      </c>
      <c r="K22" s="314">
        <v>3.33</v>
      </c>
      <c r="L22" s="256">
        <f>G22/K22</f>
        <v>6.756756756756757</v>
      </c>
      <c r="M22" s="229"/>
      <c r="N22" s="257">
        <f>L22/J22</f>
        <v>1.6891891891891893</v>
      </c>
      <c r="O22" s="256">
        <f t="shared" ref="O22:O23" si="10">IF(M22=0,0,L22*$O$16)</f>
        <v>0</v>
      </c>
      <c r="P22" s="256">
        <f t="shared" ref="P22:P26" si="11">IF(N22=0,0,L22*$O$16)</f>
        <v>53.971988182514501</v>
      </c>
      <c r="Q22" s="229"/>
      <c r="R22" s="230">
        <f>IF(AND(O22&gt;0,Q22&gt;0),SUMIF('Исходные данные'!$C$14:$H$14,Q22,'Исходные данные'!$C$34:$H$34),IF(O22=0,0,IF(Q22=0,"РОТ")))</f>
        <v>0</v>
      </c>
      <c r="S22" s="229">
        <v>2</v>
      </c>
      <c r="T22" s="230">
        <f>IF(AND(P22&gt;0,S22&gt;0),SUMIF('Исходные данные'!$C$14:$H$14,S22,'Исходные данные'!$C$34:$H$34),IF(P22=0,0,IF(S22=0,"РОТ")))</f>
        <v>105.700598073999</v>
      </c>
      <c r="U22" s="258">
        <v>0</v>
      </c>
      <c r="V22" s="258">
        <v>0</v>
      </c>
      <c r="W22" s="258">
        <f t="shared" si="2"/>
        <v>0</v>
      </c>
      <c r="X22" s="257">
        <f t="shared" si="3"/>
        <v>0</v>
      </c>
      <c r="Y22" s="258">
        <f t="shared" ref="Y22:Y26" si="12">(O22*R22+U22+W22)*$Y$16</f>
        <v>0</v>
      </c>
      <c r="Z22" s="257">
        <f t="shared" ref="Z22:Z26" si="13">(P22*T22+V22+X22)*$Z$16</f>
        <v>285.24357150672944</v>
      </c>
      <c r="AA22" s="258">
        <f t="shared" si="4"/>
        <v>0</v>
      </c>
      <c r="AB22" s="257">
        <f t="shared" si="5"/>
        <v>0</v>
      </c>
      <c r="AC22" s="259">
        <v>2.5</v>
      </c>
      <c r="AD22" s="260">
        <f t="shared" ref="AD22:AD26" si="14">(O22*R22+U22+W22+Y22+AA22)*AC22</f>
        <v>0</v>
      </c>
      <c r="AE22" s="260">
        <f t="shared" ref="AE22:AE26" si="15">(P22*T22+V22+X22+Z22+AB22)*AC22</f>
        <v>14975.287504103297</v>
      </c>
      <c r="AF22" s="261">
        <f>AD22*$AF$16</f>
        <v>0</v>
      </c>
      <c r="AG22" s="262">
        <f>AE22*$AF$16</f>
        <v>2218.5611117190069</v>
      </c>
      <c r="AH22" s="261">
        <f>AD22+AF22</f>
        <v>0</v>
      </c>
      <c r="AI22" s="262">
        <f>AE22+AG22</f>
        <v>17193.848615822302</v>
      </c>
      <c r="AJ22" s="261">
        <f t="shared" si="6"/>
        <v>0</v>
      </c>
      <c r="AK22" s="262">
        <f t="shared" si="6"/>
        <v>5278.5115250574463</v>
      </c>
      <c r="AL22" s="261">
        <f>AH22+AJ22</f>
        <v>0</v>
      </c>
      <c r="AM22" s="270">
        <f>AK22+AI22</f>
        <v>22472.360140879748</v>
      </c>
      <c r="AN22" s="264"/>
      <c r="AO22" s="229"/>
      <c r="AP22" s="254"/>
      <c r="AQ22" s="229"/>
      <c r="AR22" s="229"/>
      <c r="AS22" s="266"/>
      <c r="AT22" s="267"/>
      <c r="AU22" s="227"/>
      <c r="AV22" s="227"/>
      <c r="AW22" s="227"/>
      <c r="AX22" s="227"/>
      <c r="AY22" s="227"/>
      <c r="AZ22" s="227"/>
      <c r="BA22" s="227"/>
      <c r="BB22" s="227"/>
      <c r="BC22" s="227"/>
      <c r="BD22" s="227"/>
      <c r="BE22" s="227"/>
      <c r="BF22" s="229"/>
      <c r="BG22" s="227"/>
      <c r="BH22" s="227"/>
      <c r="BI22" s="227"/>
      <c r="BJ22" s="227"/>
      <c r="BK22" s="227"/>
      <c r="BL22" s="277"/>
      <c r="BM22" s="227"/>
      <c r="BN22" s="227"/>
      <c r="BO22" s="227"/>
      <c r="BP22" s="227"/>
      <c r="BQ22" s="227"/>
      <c r="BR22" s="227"/>
      <c r="BS22" s="227"/>
      <c r="BT22" s="227"/>
      <c r="BU22" s="227">
        <f t="shared" si="7"/>
        <v>22472.360140879748</v>
      </c>
      <c r="BV22" s="227">
        <f t="shared" si="8"/>
        <v>74.907867136265821</v>
      </c>
      <c r="BW22" s="268">
        <f t="shared" ref="BW22:BW26" si="16">(O22+P22)/G22</f>
        <v>2.398755030333978</v>
      </c>
      <c r="BX22" s="268"/>
      <c r="BY22" s="269"/>
    </row>
    <row r="23" spans="1:77" x14ac:dyDescent="0.2">
      <c r="A23" s="249">
        <v>3</v>
      </c>
      <c r="B23" s="201" t="s">
        <v>23</v>
      </c>
      <c r="C23" s="349">
        <f>M23</f>
        <v>6.756756756756757</v>
      </c>
      <c r="D23" s="352" t="s">
        <v>105</v>
      </c>
      <c r="E23" s="353" t="s">
        <v>115</v>
      </c>
      <c r="F23" s="206" t="s">
        <v>109</v>
      </c>
      <c r="G23" s="227">
        <f>G22</f>
        <v>22.5</v>
      </c>
      <c r="H23" s="233">
        <v>43598</v>
      </c>
      <c r="I23" s="233">
        <v>43599</v>
      </c>
      <c r="J23" s="254">
        <f t="shared" si="9"/>
        <v>1</v>
      </c>
      <c r="K23" s="344">
        <v>3.33</v>
      </c>
      <c r="L23" s="256">
        <f t="shared" ref="L23:L26" si="17">G23/K23</f>
        <v>6.756756756756757</v>
      </c>
      <c r="M23" s="257">
        <f>L23/J23</f>
        <v>6.756756756756757</v>
      </c>
      <c r="N23" s="257">
        <f>L23/J23</f>
        <v>6.756756756756757</v>
      </c>
      <c r="O23" s="256">
        <f t="shared" si="10"/>
        <v>53.971988182514501</v>
      </c>
      <c r="P23" s="256">
        <f t="shared" si="11"/>
        <v>53.971988182514501</v>
      </c>
      <c r="Q23" s="229">
        <v>2</v>
      </c>
      <c r="R23" s="230">
        <f>IF(AND(O23&gt;0,Q23&gt;0),SUMIF('Исходные данные'!$C$14:$H$14,Q23,'Исходные данные'!$C$18:$H$18),IF(O23=0,0,IF(Q23=0,"РОТ")))</f>
        <v>126.44557526609226</v>
      </c>
      <c r="S23" s="229">
        <v>2</v>
      </c>
      <c r="T23" s="230">
        <f>IF(AND(P23&gt;0,S23&gt;0),SUMIF('Исходные данные'!$C$14:$H$14,S23,'Исходные данные'!$C$34:$H$34),IF(P23=0,0,IF(S23=0,"РОТ")))</f>
        <v>105.700598073999</v>
      </c>
      <c r="U23" s="258">
        <v>0</v>
      </c>
      <c r="V23" s="258">
        <v>0</v>
      </c>
      <c r="W23" s="258">
        <f t="shared" si="2"/>
        <v>0</v>
      </c>
      <c r="X23" s="257">
        <f t="shared" si="3"/>
        <v>0</v>
      </c>
      <c r="Y23" s="258">
        <f t="shared" si="12"/>
        <v>682.45190939927807</v>
      </c>
      <c r="Z23" s="257">
        <f t="shared" si="13"/>
        <v>285.24357150672944</v>
      </c>
      <c r="AA23" s="258">
        <f t="shared" si="4"/>
        <v>0</v>
      </c>
      <c r="AB23" s="257">
        <f t="shared" si="5"/>
        <v>0</v>
      </c>
      <c r="AC23" s="259">
        <v>2.5</v>
      </c>
      <c r="AD23" s="260">
        <f t="shared" si="14"/>
        <v>18767.427508480145</v>
      </c>
      <c r="AE23" s="260">
        <f t="shared" si="15"/>
        <v>14975.287504103297</v>
      </c>
      <c r="AF23" s="261">
        <f>AD23*$AF$16</f>
        <v>2780.3596308859474</v>
      </c>
      <c r="AG23" s="262">
        <f>AE23*$AF$16</f>
        <v>2218.5611117190069</v>
      </c>
      <c r="AH23" s="261">
        <f>AD23+AF23</f>
        <v>21547.787139366093</v>
      </c>
      <c r="AI23" s="262">
        <f>AE23+AG23</f>
        <v>17193.848615822302</v>
      </c>
      <c r="AJ23" s="261">
        <f t="shared" si="6"/>
        <v>6615.1706517853909</v>
      </c>
      <c r="AK23" s="262">
        <f t="shared" si="6"/>
        <v>5278.5115250574463</v>
      </c>
      <c r="AL23" s="261">
        <f>AH23+AJ23</f>
        <v>28162.957791151486</v>
      </c>
      <c r="AM23" s="270">
        <f>AK23+AI23</f>
        <v>22472.360140879748</v>
      </c>
      <c r="AN23" s="264">
        <v>3.13</v>
      </c>
      <c r="AO23" s="256">
        <f>'Исходные данные'!$C$55</f>
        <v>0.84</v>
      </c>
      <c r="AP23" s="254">
        <f>(G23*AN23)*AO23/100</f>
        <v>0.59156999999999993</v>
      </c>
      <c r="AQ23" s="265" t="s">
        <v>152</v>
      </c>
      <c r="AR23" s="256">
        <f>'Исходные данные'!$G$80</f>
        <v>9559.3714285714286</v>
      </c>
      <c r="AS23" s="266">
        <f>AP23*AR23</f>
        <v>5655.0373559999989</v>
      </c>
      <c r="AT23" s="267"/>
      <c r="AU23" s="227"/>
      <c r="AV23" s="227"/>
      <c r="AW23" s="227"/>
      <c r="AX23" s="227"/>
      <c r="AY23" s="227"/>
      <c r="AZ23" s="227"/>
      <c r="BA23" s="227"/>
      <c r="BB23" s="227"/>
      <c r="BC23" s="227"/>
      <c r="BD23" s="227"/>
      <c r="BE23" s="227"/>
      <c r="BF23" s="229"/>
      <c r="BG23" s="227"/>
      <c r="BH23" s="227"/>
      <c r="BI23" s="227"/>
      <c r="BJ23" s="227">
        <f>аморт!$G$10</f>
        <v>69.696969696969703</v>
      </c>
      <c r="BK23" s="227">
        <f>BJ23*L23*$O$16</f>
        <v>3761.6840248419198</v>
      </c>
      <c r="BL23" s="278">
        <f>аморт!$G$25</f>
        <v>12.519247457627118</v>
      </c>
      <c r="BM23" s="227">
        <f>BL23*L23</f>
        <v>84.589509848831881</v>
      </c>
      <c r="BN23" s="268">
        <f>'Исходные данные'!$E$84</f>
        <v>98.911965135359992</v>
      </c>
      <c r="BO23" s="227">
        <f>BN23*BY23</f>
        <v>3408.4528526374052</v>
      </c>
      <c r="BP23" s="268">
        <f>'Исходные данные'!$E$89</f>
        <v>16.685392176959997</v>
      </c>
      <c r="BQ23" s="227">
        <f>BP23*BY23</f>
        <v>574.96959528713501</v>
      </c>
      <c r="BR23" s="268">
        <f>'Исходные данные'!$E$94</f>
        <v>5.7618620467199984</v>
      </c>
      <c r="BS23" s="227">
        <f>BR23*BY23</f>
        <v>198.5506516099459</v>
      </c>
      <c r="BT23" s="227">
        <f>аморт!$C$25*10%/аморт!$F$25*L23*$O$16</f>
        <v>675.68867583702547</v>
      </c>
      <c r="BU23" s="227">
        <f t="shared" si="7"/>
        <v>64994.290598093496</v>
      </c>
      <c r="BV23" s="227">
        <f t="shared" si="8"/>
        <v>216.64763532697833</v>
      </c>
      <c r="BW23" s="268">
        <f t="shared" si="16"/>
        <v>4.7975100606679559</v>
      </c>
      <c r="BX23" s="268">
        <f>'Исходные данные'!$B$104</f>
        <v>5.0999999999999996</v>
      </c>
      <c r="BY23" s="269">
        <f>BX23*L23</f>
        <v>34.45945945945946</v>
      </c>
    </row>
    <row r="24" spans="1:77" x14ac:dyDescent="0.2">
      <c r="A24" s="249">
        <v>4</v>
      </c>
      <c r="B24" s="201" t="s">
        <v>545</v>
      </c>
      <c r="C24" s="351"/>
      <c r="D24" s="498" t="s">
        <v>544</v>
      </c>
      <c r="E24" s="498"/>
      <c r="F24" s="206" t="s">
        <v>109</v>
      </c>
      <c r="G24" s="227">
        <f>G23</f>
        <v>22.5</v>
      </c>
      <c r="H24" s="233">
        <v>43598</v>
      </c>
      <c r="I24" s="233">
        <v>43601</v>
      </c>
      <c r="J24" s="254">
        <f t="shared" si="9"/>
        <v>3</v>
      </c>
      <c r="K24" s="314">
        <v>3.33</v>
      </c>
      <c r="L24" s="256">
        <f t="shared" si="17"/>
        <v>6.756756756756757</v>
      </c>
      <c r="M24" s="229"/>
      <c r="N24" s="257">
        <f t="shared" ref="N24:N26" si="18">L24/J24</f>
        <v>2.2522522522522523</v>
      </c>
      <c r="O24" s="256">
        <f>IF(M24=0,0,L24*$O$16)</f>
        <v>0</v>
      </c>
      <c r="P24" s="256">
        <f t="shared" si="11"/>
        <v>53.971988182514501</v>
      </c>
      <c r="Q24" s="229"/>
      <c r="R24" s="230">
        <f>IF(AND(O24&gt;0,Q24&gt;0),SUMIF('Исходные данные'!$C$14:$H$14,Q24,'Исходные данные'!$C$26:$H$26),IF(O24=0,0,IF(Q24=0,"РОТ")))</f>
        <v>0</v>
      </c>
      <c r="S24" s="229">
        <v>2</v>
      </c>
      <c r="T24" s="230">
        <f>IF(AND(P24&gt;0,S24&gt;0),SUMIF('Исходные данные'!$C$14:$H$14,S24,'Исходные данные'!$C$34:$H$34),IF(P24=0,0,IF(S24=0,"РОТ")))</f>
        <v>105.700598073999</v>
      </c>
      <c r="U24" s="258">
        <v>0</v>
      </c>
      <c r="V24" s="258">
        <v>0</v>
      </c>
      <c r="W24" s="258">
        <f t="shared" si="2"/>
        <v>0</v>
      </c>
      <c r="X24" s="257">
        <f t="shared" si="3"/>
        <v>0</v>
      </c>
      <c r="Y24" s="258">
        <f t="shared" si="12"/>
        <v>0</v>
      </c>
      <c r="Z24" s="257">
        <f t="shared" si="13"/>
        <v>285.24357150672944</v>
      </c>
      <c r="AA24" s="258">
        <f t="shared" si="4"/>
        <v>0</v>
      </c>
      <c r="AB24" s="257">
        <f t="shared" si="5"/>
        <v>0</v>
      </c>
      <c r="AC24" s="259">
        <v>2.5</v>
      </c>
      <c r="AD24" s="260">
        <f t="shared" si="14"/>
        <v>0</v>
      </c>
      <c r="AE24" s="260">
        <f t="shared" si="15"/>
        <v>14975.287504103297</v>
      </c>
      <c r="AF24" s="261">
        <f>AD24*$AF$16</f>
        <v>0</v>
      </c>
      <c r="AG24" s="262">
        <f>AE24*$AF$16</f>
        <v>2218.5611117190069</v>
      </c>
      <c r="AH24" s="261">
        <f>AD24+AF24</f>
        <v>0</v>
      </c>
      <c r="AI24" s="262">
        <f>AE24+AG24</f>
        <v>17193.848615822302</v>
      </c>
      <c r="AJ24" s="261">
        <f t="shared" si="6"/>
        <v>0</v>
      </c>
      <c r="AK24" s="262">
        <f t="shared" si="6"/>
        <v>5278.5115250574463</v>
      </c>
      <c r="AL24" s="261">
        <f>AH24+AJ24</f>
        <v>0</v>
      </c>
      <c r="AM24" s="270">
        <f>AK24+AI24</f>
        <v>22472.360140879748</v>
      </c>
      <c r="AN24" s="264"/>
      <c r="AO24" s="229"/>
      <c r="AP24" s="254"/>
      <c r="AQ24" s="229"/>
      <c r="AR24" s="229"/>
      <c r="AS24" s="266"/>
      <c r="AT24" s="267"/>
      <c r="AU24" s="227"/>
      <c r="AV24" s="227"/>
      <c r="AW24" s="227"/>
      <c r="AX24" s="227"/>
      <c r="AY24" s="227"/>
      <c r="AZ24" s="227"/>
      <c r="BA24" s="227"/>
      <c r="BB24" s="227"/>
      <c r="BC24" s="227"/>
      <c r="BD24" s="227"/>
      <c r="BE24" s="227"/>
      <c r="BF24" s="229"/>
      <c r="BG24" s="227"/>
      <c r="BH24" s="227"/>
      <c r="BI24" s="227"/>
      <c r="BJ24" s="227"/>
      <c r="BK24" s="227"/>
      <c r="BL24" s="277"/>
      <c r="BM24" s="227"/>
      <c r="BN24" s="227"/>
      <c r="BO24" s="227"/>
      <c r="BP24" s="227"/>
      <c r="BQ24" s="227"/>
      <c r="BR24" s="227"/>
      <c r="BS24" s="227"/>
      <c r="BT24" s="227"/>
      <c r="BU24" s="227">
        <f t="shared" si="7"/>
        <v>22472.360140879748</v>
      </c>
      <c r="BV24" s="227">
        <f t="shared" si="8"/>
        <v>74.907867136265821</v>
      </c>
      <c r="BW24" s="268">
        <f t="shared" si="16"/>
        <v>2.398755030333978</v>
      </c>
      <c r="BX24" s="268"/>
      <c r="BY24" s="269"/>
    </row>
    <row r="25" spans="1:77" x14ac:dyDescent="0.2">
      <c r="A25" s="249">
        <v>5</v>
      </c>
      <c r="B25" s="201" t="s">
        <v>546</v>
      </c>
      <c r="C25" s="351"/>
      <c r="D25" s="498" t="s">
        <v>544</v>
      </c>
      <c r="E25" s="498"/>
      <c r="F25" s="206" t="s">
        <v>109</v>
      </c>
      <c r="G25" s="227">
        <f>G24</f>
        <v>22.5</v>
      </c>
      <c r="H25" s="233">
        <v>43601</v>
      </c>
      <c r="I25" s="233">
        <v>43607</v>
      </c>
      <c r="J25" s="254">
        <f t="shared" si="9"/>
        <v>6</v>
      </c>
      <c r="K25" s="343">
        <v>0.5</v>
      </c>
      <c r="L25" s="256">
        <f t="shared" si="17"/>
        <v>45</v>
      </c>
      <c r="M25" s="229"/>
      <c r="N25" s="257">
        <f t="shared" si="18"/>
        <v>7.5</v>
      </c>
      <c r="O25" s="256">
        <f>IF(M25=0,0,L25*$O$16)</f>
        <v>0</v>
      </c>
      <c r="P25" s="256">
        <f>IF(N25=0,0,L25*$O$16)</f>
        <v>359.45344129554655</v>
      </c>
      <c r="Q25" s="229"/>
      <c r="R25" s="230"/>
      <c r="S25" s="229">
        <v>4</v>
      </c>
      <c r="T25" s="230">
        <f>IF(AND(P25&gt;0,S25&gt;0),SUMIF('Исходные данные'!$C$14:$H$14,S25,'Исходные данные'!$C$34:$H$34),IF(P25=0,0,IF(S25=0,"РОТ")))</f>
        <v>123.48200709579322</v>
      </c>
      <c r="U25" s="258">
        <v>0</v>
      </c>
      <c r="V25" s="258">
        <v>0</v>
      </c>
      <c r="W25" s="258">
        <f t="shared" si="2"/>
        <v>0</v>
      </c>
      <c r="X25" s="257">
        <f t="shared" si="3"/>
        <v>0</v>
      </c>
      <c r="Y25" s="258">
        <f t="shared" si="12"/>
        <v>0</v>
      </c>
      <c r="Z25" s="257">
        <f t="shared" si="13"/>
        <v>2219.301619433199</v>
      </c>
      <c r="AA25" s="258">
        <f t="shared" si="4"/>
        <v>0</v>
      </c>
      <c r="AB25" s="257">
        <f t="shared" si="5"/>
        <v>0</v>
      </c>
      <c r="AC25" s="259">
        <v>2.5</v>
      </c>
      <c r="AD25" s="260">
        <f t="shared" si="14"/>
        <v>0</v>
      </c>
      <c r="AE25" s="260">
        <f t="shared" si="15"/>
        <v>116513.33502024294</v>
      </c>
      <c r="AF25" s="262"/>
      <c r="AG25" s="262">
        <f>AE25*$AF$16</f>
        <v>17261.234817813769</v>
      </c>
      <c r="AH25" s="261"/>
      <c r="AI25" s="262">
        <f>AE25+AG25</f>
        <v>133774.56983805672</v>
      </c>
      <c r="AJ25" s="261"/>
      <c r="AK25" s="262">
        <f>AI25*$AJ$16</f>
        <v>41068.792940283412</v>
      </c>
      <c r="AL25" s="261"/>
      <c r="AM25" s="270">
        <f>AK25+AI25</f>
        <v>174843.36277834012</v>
      </c>
      <c r="AN25" s="264"/>
      <c r="AO25" s="229"/>
      <c r="AP25" s="254"/>
      <c r="AQ25" s="229"/>
      <c r="AR25" s="229"/>
      <c r="AS25" s="266"/>
      <c r="AT25" s="267"/>
      <c r="AU25" s="227"/>
      <c r="AV25" s="227"/>
      <c r="AW25" s="227"/>
      <c r="AX25" s="227"/>
      <c r="AY25" s="227"/>
      <c r="AZ25" s="227"/>
      <c r="BA25" s="227"/>
      <c r="BB25" s="274">
        <f>Нормы!B6</f>
        <v>0.75</v>
      </c>
      <c r="BC25" s="227">
        <f>BB25*D7</f>
        <v>112.5</v>
      </c>
      <c r="BD25" s="227">
        <f>Нормы!C6</f>
        <v>3500</v>
      </c>
      <c r="BE25" s="227">
        <f>BD25*BC25</f>
        <v>393750</v>
      </c>
      <c r="BF25" s="229"/>
      <c r="BG25" s="227"/>
      <c r="BH25" s="227"/>
      <c r="BI25" s="227"/>
      <c r="BJ25" s="227"/>
      <c r="BK25" s="227"/>
      <c r="BL25" s="277"/>
      <c r="BM25" s="227"/>
      <c r="BN25" s="227"/>
      <c r="BO25" s="227"/>
      <c r="BP25" s="227"/>
      <c r="BQ25" s="227"/>
      <c r="BR25" s="227"/>
      <c r="BS25" s="227"/>
      <c r="BT25" s="227"/>
      <c r="BU25" s="227">
        <f t="shared" si="7"/>
        <v>568593.36277834012</v>
      </c>
      <c r="BV25" s="227">
        <f t="shared" si="8"/>
        <v>1895.3112092611336</v>
      </c>
      <c r="BW25" s="268">
        <f t="shared" si="16"/>
        <v>15.975708502024291</v>
      </c>
      <c r="BX25" s="268"/>
      <c r="BY25" s="269"/>
    </row>
    <row r="26" spans="1:77" ht="22.5" x14ac:dyDescent="0.2">
      <c r="A26" s="249">
        <v>6</v>
      </c>
      <c r="B26" s="201" t="s">
        <v>27</v>
      </c>
      <c r="C26" s="349">
        <f>M26</f>
        <v>1.3020833333333333</v>
      </c>
      <c r="D26" s="350" t="s">
        <v>183</v>
      </c>
      <c r="E26" s="202" t="s">
        <v>547</v>
      </c>
      <c r="F26" s="206" t="s">
        <v>106</v>
      </c>
      <c r="G26" s="231">
        <f>D7</f>
        <v>150</v>
      </c>
      <c r="H26" s="233">
        <v>43601</v>
      </c>
      <c r="I26" s="233">
        <v>43609</v>
      </c>
      <c r="J26" s="254">
        <f t="shared" si="9"/>
        <v>8</v>
      </c>
      <c r="K26" s="314">
        <v>14.4</v>
      </c>
      <c r="L26" s="256">
        <f t="shared" si="17"/>
        <v>10.416666666666666</v>
      </c>
      <c r="M26" s="257">
        <f>L26/J26</f>
        <v>1.3020833333333333</v>
      </c>
      <c r="N26" s="257">
        <f t="shared" si="18"/>
        <v>1.3020833333333333</v>
      </c>
      <c r="O26" s="256">
        <f>IF(M26=0,0,L26*$O$16)</f>
        <v>83.20681511470984</v>
      </c>
      <c r="P26" s="256">
        <f t="shared" si="11"/>
        <v>83.20681511470984</v>
      </c>
      <c r="Q26" s="229">
        <v>6</v>
      </c>
      <c r="R26" s="230">
        <f>IF(AND(O26&gt;0,Q26&gt;0),SUMIF('Исходные данные'!$C$14:$H$14,Q26,'Исходные данные'!$C$26:$H$26),IF(O26=0,0,IF(Q26=0,"РОТ")))</f>
        <v>254.86686264571719</v>
      </c>
      <c r="S26" s="229">
        <v>5</v>
      </c>
      <c r="T26" s="230">
        <f>IF(AND(P26&gt;0,S26&gt;0),SUMIF('Исходные данные'!$C$14:$H$14,S26,'Исходные данные'!$C$34:$H$34),IF(P26=0,0,IF(S26=0,"РОТ")))</f>
        <v>136.32413583375569</v>
      </c>
      <c r="U26" s="258">
        <v>0</v>
      </c>
      <c r="V26" s="258">
        <v>0</v>
      </c>
      <c r="W26" s="258">
        <f t="shared" si="2"/>
        <v>0</v>
      </c>
      <c r="X26" s="257">
        <f t="shared" si="3"/>
        <v>0</v>
      </c>
      <c r="Y26" s="258">
        <f t="shared" si="12"/>
        <v>2120.6659919028339</v>
      </c>
      <c r="Z26" s="257">
        <f t="shared" si="13"/>
        <v>567.15485829959505</v>
      </c>
      <c r="AA26" s="258">
        <f t="shared" si="4"/>
        <v>0</v>
      </c>
      <c r="AB26" s="257">
        <f t="shared" si="5"/>
        <v>0</v>
      </c>
      <c r="AC26" s="259">
        <v>2.5</v>
      </c>
      <c r="AD26" s="260">
        <f t="shared" si="14"/>
        <v>58318.314777327934</v>
      </c>
      <c r="AE26" s="260">
        <f t="shared" si="15"/>
        <v>29775.630060728734</v>
      </c>
      <c r="AF26" s="261">
        <f>AD26*$AF$16</f>
        <v>8639.7503373819163</v>
      </c>
      <c r="AG26" s="262">
        <f>AE26*$AF$16</f>
        <v>4411.2044534412935</v>
      </c>
      <c r="AH26" s="261">
        <f>AD26+AF26</f>
        <v>66958.065114709854</v>
      </c>
      <c r="AI26" s="262">
        <f>AE26+AG26</f>
        <v>34186.834514170027</v>
      </c>
      <c r="AJ26" s="261">
        <f>AH26*$AJ$16</f>
        <v>20556.125990215925</v>
      </c>
      <c r="AK26" s="262">
        <f>AI26*$AJ$16</f>
        <v>10495.358195850198</v>
      </c>
      <c r="AL26" s="261">
        <f>AH26+AJ26</f>
        <v>87514.191104925776</v>
      </c>
      <c r="AM26" s="270">
        <f>AK26+AI26</f>
        <v>44682.192710020223</v>
      </c>
      <c r="AN26" s="264">
        <v>4</v>
      </c>
      <c r="AO26" s="256">
        <f>'Исходные данные'!$C$55</f>
        <v>0.84</v>
      </c>
      <c r="AP26" s="254">
        <f>(G26*AN26)*AO26/100</f>
        <v>5.04</v>
      </c>
      <c r="AQ26" s="265" t="s">
        <v>152</v>
      </c>
      <c r="AR26" s="256">
        <f>'Исходные данные'!$E$80</f>
        <v>9477.4514285714286</v>
      </c>
      <c r="AS26" s="266">
        <f>AP26*AR26</f>
        <v>47766.355199999998</v>
      </c>
      <c r="AT26" s="271">
        <f>Нормы!B3</f>
        <v>1.5</v>
      </c>
      <c r="AU26" s="227">
        <f>AT26*D7/10</f>
        <v>22.5</v>
      </c>
      <c r="AV26" s="227">
        <f>Нормы!C3/1000</f>
        <v>40</v>
      </c>
      <c r="AW26" s="227">
        <f>AV26*AU26*1000</f>
        <v>900000</v>
      </c>
      <c r="AX26" s="227">
        <f>Нормы!B5</f>
        <v>2.5</v>
      </c>
      <c r="AY26" s="227">
        <f>AX26*D7/10</f>
        <v>37.5</v>
      </c>
      <c r="AZ26" s="227">
        <f>Нормы!C5/1000</f>
        <v>33.700000000000003</v>
      </c>
      <c r="BA26" s="227">
        <f>AZ26*AY26*1000</f>
        <v>1263750</v>
      </c>
      <c r="BB26" s="227"/>
      <c r="BC26" s="227"/>
      <c r="BD26" s="227"/>
      <c r="BE26" s="227"/>
      <c r="BF26" s="229"/>
      <c r="BG26" s="227"/>
      <c r="BH26" s="227"/>
      <c r="BI26" s="227"/>
      <c r="BJ26" s="227">
        <f>аморт!$G$11</f>
        <v>181.91312849162011</v>
      </c>
      <c r="BK26" s="227">
        <f>BJ26*L26*$O$16</f>
        <v>15136.41204934069</v>
      </c>
      <c r="BL26" s="277">
        <f>аморт!G98</f>
        <v>221.25</v>
      </c>
      <c r="BM26" s="227">
        <f>BL26*L26</f>
        <v>2304.6875</v>
      </c>
      <c r="BN26" s="268">
        <f>'Исходные данные'!$B$84</f>
        <v>99.992314269119987</v>
      </c>
      <c r="BO26" s="227">
        <f>BN26*BY26</f>
        <v>5312.0916955469984</v>
      </c>
      <c r="BP26" s="268">
        <f>'Исходные данные'!$B$89</f>
        <v>8.0425991068799991</v>
      </c>
      <c r="BQ26" s="227">
        <f>BP26*BY26</f>
        <v>427.2630775529999</v>
      </c>
      <c r="BR26" s="268">
        <f>'Исходные данные'!$B$94</f>
        <v>11.043568922879997</v>
      </c>
      <c r="BS26" s="227">
        <f>BR26*BY26</f>
        <v>586.68959902799975</v>
      </c>
      <c r="BT26" s="227">
        <f>аморт!$C$98*10%/аморт!$F$98*L26*$O$16</f>
        <v>18409.507844129555</v>
      </c>
      <c r="BU26" s="227">
        <f t="shared" si="7"/>
        <v>2385889.3907805439</v>
      </c>
      <c r="BV26" s="227">
        <f t="shared" si="8"/>
        <v>7952.9646359351464</v>
      </c>
      <c r="BW26" s="268">
        <f t="shared" si="16"/>
        <v>1.1094242015294646</v>
      </c>
      <c r="BX26" s="268">
        <f>'Исходные данные'!$B$104</f>
        <v>5.0999999999999996</v>
      </c>
      <c r="BY26" s="269">
        <f>BX26*L26</f>
        <v>53.124999999999993</v>
      </c>
    </row>
    <row r="27" spans="1:77" s="238" customFormat="1" x14ac:dyDescent="0.2">
      <c r="A27" s="236"/>
      <c r="B27" s="354" t="s">
        <v>21</v>
      </c>
      <c r="C27" s="354"/>
      <c r="D27" s="354"/>
      <c r="E27" s="354"/>
      <c r="F27" s="236"/>
      <c r="G27" s="237"/>
      <c r="H27" s="239"/>
      <c r="I27" s="239"/>
      <c r="J27" s="279">
        <f>SUM(J21:J26)</f>
        <v>29</v>
      </c>
      <c r="K27" s="279"/>
      <c r="L27" s="279">
        <f>SUM(L21:L26)</f>
        <v>84.510466348701655</v>
      </c>
      <c r="M27" s="279">
        <f>M21+M22+M23+M24+M25+M26</f>
        <v>9.3193442917707632</v>
      </c>
      <c r="N27" s="279">
        <f>N21+N22+N23+N24+N25+N26</f>
        <v>19.500281531531531</v>
      </c>
      <c r="O27" s="279">
        <f>SUM(O21:O26)</f>
        <v>207.65987021791977</v>
      </c>
      <c r="P27" s="279">
        <f>SUM(P21:P26)</f>
        <v>604.57622095779982</v>
      </c>
      <c r="Q27" s="279"/>
      <c r="R27" s="280"/>
      <c r="S27" s="279"/>
      <c r="T27" s="280"/>
      <c r="U27" s="281">
        <v>0</v>
      </c>
      <c r="V27" s="281">
        <v>0</v>
      </c>
      <c r="W27" s="279">
        <f t="shared" ref="W27:AB27" si="19">SUM(W21:W26)</f>
        <v>0</v>
      </c>
      <c r="X27" s="279">
        <f t="shared" si="19"/>
        <v>0</v>
      </c>
      <c r="Y27" s="279">
        <f t="shared" si="19"/>
        <v>4348.7962056602937</v>
      </c>
      <c r="Z27" s="279">
        <f t="shared" si="19"/>
        <v>3642.1871922529822</v>
      </c>
      <c r="AA27" s="279">
        <f t="shared" si="19"/>
        <v>0</v>
      </c>
      <c r="AB27" s="279">
        <f t="shared" si="19"/>
        <v>0</v>
      </c>
      <c r="AC27" s="282"/>
      <c r="AD27" s="283">
        <f t="shared" ref="AD27:AM27" si="20">SUM(AD21:AD26)</f>
        <v>119591.89565565807</v>
      </c>
      <c r="AE27" s="283">
        <f t="shared" si="20"/>
        <v>191214.82759328154</v>
      </c>
      <c r="AF27" s="282">
        <f t="shared" si="20"/>
        <v>17717.317874912304</v>
      </c>
      <c r="AG27" s="282">
        <f t="shared" si="20"/>
        <v>28328.122606412082</v>
      </c>
      <c r="AH27" s="282">
        <f t="shared" si="20"/>
        <v>137309.21353057039</v>
      </c>
      <c r="AI27" s="282">
        <f t="shared" si="20"/>
        <v>219542.95019969367</v>
      </c>
      <c r="AJ27" s="282">
        <f t="shared" si="20"/>
        <v>42153.928553885111</v>
      </c>
      <c r="AK27" s="282">
        <f t="shared" si="20"/>
        <v>67399.685711305952</v>
      </c>
      <c r="AL27" s="282">
        <f t="shared" si="20"/>
        <v>179463.14208445547</v>
      </c>
      <c r="AM27" s="284">
        <f t="shared" si="20"/>
        <v>286942.63591099955</v>
      </c>
      <c r="AN27" s="285"/>
      <c r="AO27" s="279"/>
      <c r="AP27" s="279">
        <f>SUM(AP21:AP26)</f>
        <v>23.019569999999998</v>
      </c>
      <c r="AQ27" s="279"/>
      <c r="AR27" s="279"/>
      <c r="AS27" s="286">
        <f>SUM(AS21:AS26)</f>
        <v>218215.31799599997</v>
      </c>
      <c r="AT27" s="284">
        <f>SUM(AT21:AT26)</f>
        <v>1.5</v>
      </c>
      <c r="AU27" s="284">
        <f t="shared" ref="AU27:BW27" si="21">SUM(AU21:AU26)</f>
        <v>22.5</v>
      </c>
      <c r="AV27" s="284">
        <f t="shared" si="21"/>
        <v>40</v>
      </c>
      <c r="AW27" s="284">
        <f t="shared" si="21"/>
        <v>900000</v>
      </c>
      <c r="AX27" s="284">
        <f t="shared" si="21"/>
        <v>2.5</v>
      </c>
      <c r="AY27" s="284">
        <f t="shared" si="21"/>
        <v>37.5</v>
      </c>
      <c r="AZ27" s="284">
        <f t="shared" si="21"/>
        <v>33.700000000000003</v>
      </c>
      <c r="BA27" s="284">
        <f t="shared" si="21"/>
        <v>1263750</v>
      </c>
      <c r="BB27" s="284">
        <f t="shared" si="21"/>
        <v>0.75</v>
      </c>
      <c r="BC27" s="284">
        <f t="shared" si="21"/>
        <v>112.5</v>
      </c>
      <c r="BD27" s="284">
        <f t="shared" si="21"/>
        <v>3500</v>
      </c>
      <c r="BE27" s="284">
        <f t="shared" si="21"/>
        <v>393750</v>
      </c>
      <c r="BF27" s="284">
        <f t="shared" si="21"/>
        <v>0</v>
      </c>
      <c r="BG27" s="284">
        <f t="shared" si="21"/>
        <v>0</v>
      </c>
      <c r="BH27" s="284">
        <f t="shared" si="21"/>
        <v>0</v>
      </c>
      <c r="BI27" s="284">
        <f t="shared" si="21"/>
        <v>0</v>
      </c>
      <c r="BJ27" s="284">
        <f t="shared" si="21"/>
        <v>433.52322668020992</v>
      </c>
      <c r="BK27" s="284">
        <f t="shared" si="21"/>
        <v>31719.527457153548</v>
      </c>
      <c r="BL27" s="284">
        <f t="shared" si="21"/>
        <v>341.70609269572236</v>
      </c>
      <c r="BM27" s="284">
        <f t="shared" si="21"/>
        <v>3341.6609384202607</v>
      </c>
      <c r="BN27" s="284"/>
      <c r="BO27" s="284">
        <f>SUM(BO21:BO26)</f>
        <v>21954.821436744405</v>
      </c>
      <c r="BP27" s="284"/>
      <c r="BQ27" s="284">
        <f>SUM(BQ21:BQ26)</f>
        <v>2066.6943193389584</v>
      </c>
      <c r="BR27" s="284"/>
      <c r="BS27" s="284">
        <f>SUM(BS21:BS26)</f>
        <v>2246.8890786661805</v>
      </c>
      <c r="BT27" s="284">
        <f>SUM(BT21:BT26)</f>
        <v>24410.449328671035</v>
      </c>
      <c r="BU27" s="284">
        <f t="shared" si="21"/>
        <v>3327861.1385504492</v>
      </c>
      <c r="BV27" s="284">
        <f t="shared" si="21"/>
        <v>11092.870461834831</v>
      </c>
      <c r="BW27" s="284">
        <f t="shared" si="21"/>
        <v>27.150026604360971</v>
      </c>
      <c r="BX27" s="284"/>
      <c r="BY27" s="279">
        <f>SUM(BY21:BY26)</f>
        <v>219.93740063593006</v>
      </c>
    </row>
    <row r="28" spans="1:77" s="241" customFormat="1" x14ac:dyDescent="0.2">
      <c r="A28" s="240"/>
      <c r="B28" s="499" t="s">
        <v>548</v>
      </c>
      <c r="C28" s="500"/>
      <c r="D28" s="500"/>
      <c r="E28" s="501"/>
      <c r="F28" s="240"/>
      <c r="G28" s="242"/>
      <c r="H28" s="303"/>
      <c r="I28" s="303"/>
      <c r="J28" s="297"/>
      <c r="K28" s="297"/>
      <c r="L28" s="297"/>
      <c r="M28" s="297"/>
      <c r="N28" s="297"/>
      <c r="O28" s="297"/>
      <c r="P28" s="297"/>
      <c r="Q28" s="297"/>
      <c r="R28" s="243"/>
      <c r="S28" s="297"/>
      <c r="T28" s="243"/>
      <c r="U28" s="304">
        <v>0</v>
      </c>
      <c r="V28" s="304">
        <v>0</v>
      </c>
      <c r="W28" s="297"/>
      <c r="X28" s="297"/>
      <c r="Y28" s="304">
        <f t="shared" ref="Y28:Y33" si="22">(O28*R28+U28+W28)*$Y$16</f>
        <v>0</v>
      </c>
      <c r="Z28" s="305">
        <f t="shared" ref="Z28:Z33" si="23">(P28*T28+V28+X28)*$Z$16</f>
        <v>0</v>
      </c>
      <c r="AA28" s="297"/>
      <c r="AB28" s="297"/>
      <c r="AC28" s="306"/>
      <c r="AD28" s="307"/>
      <c r="AE28" s="307"/>
      <c r="AF28" s="306"/>
      <c r="AG28" s="306"/>
      <c r="AH28" s="306"/>
      <c r="AI28" s="306"/>
      <c r="AJ28" s="306"/>
      <c r="AK28" s="306"/>
      <c r="AL28" s="306"/>
      <c r="AM28" s="308"/>
      <c r="AN28" s="309"/>
      <c r="AO28" s="297"/>
      <c r="AP28" s="297"/>
      <c r="AQ28" s="297"/>
      <c r="AR28" s="297"/>
      <c r="AS28" s="301"/>
      <c r="AT28" s="310"/>
      <c r="AU28" s="300"/>
      <c r="AV28" s="300"/>
      <c r="AW28" s="300"/>
      <c r="AX28" s="300"/>
      <c r="AY28" s="300"/>
      <c r="AZ28" s="300"/>
      <c r="BA28" s="300"/>
      <c r="BB28" s="300"/>
      <c r="BC28" s="300"/>
      <c r="BD28" s="300"/>
      <c r="BE28" s="300"/>
      <c r="BF28" s="242"/>
      <c r="BG28" s="300"/>
      <c r="BH28" s="300"/>
      <c r="BI28" s="300"/>
      <c r="BJ28" s="300"/>
      <c r="BK28" s="300"/>
      <c r="BL28" s="300"/>
      <c r="BM28" s="300"/>
      <c r="BN28" s="300"/>
      <c r="BO28" s="300"/>
      <c r="BP28" s="300"/>
      <c r="BQ28" s="300"/>
      <c r="BR28" s="300"/>
      <c r="BS28" s="300"/>
      <c r="BT28" s="300"/>
      <c r="BU28" s="311">
        <f t="shared" ref="BU28:BU33" si="24">AL28+AM28+AS28+AW28+BA28+BE28+BI28+BK28+BM28+BO28+BQ28+BS28+BT28</f>
        <v>0</v>
      </c>
      <c r="BV28" s="311">
        <f t="shared" si="8"/>
        <v>0</v>
      </c>
      <c r="BW28" s="312">
        <f t="shared" ref="BW28" si="25">(O28+P28)/$D$6</f>
        <v>0</v>
      </c>
      <c r="BX28" s="300"/>
      <c r="BY28" s="242"/>
    </row>
    <row r="29" spans="1:77" x14ac:dyDescent="0.2">
      <c r="A29" s="206">
        <v>1</v>
      </c>
      <c r="B29" s="201" t="s">
        <v>549</v>
      </c>
      <c r="C29" s="349">
        <f>M29</f>
        <v>1.9480519480519478</v>
      </c>
      <c r="D29" s="490" t="s">
        <v>521</v>
      </c>
      <c r="E29" s="491"/>
      <c r="F29" s="206" t="s">
        <v>106</v>
      </c>
      <c r="G29" s="231">
        <f>D7</f>
        <v>150</v>
      </c>
      <c r="H29" s="228">
        <v>43699</v>
      </c>
      <c r="I29" s="228">
        <v>43710</v>
      </c>
      <c r="J29" s="254">
        <f t="shared" ref="J29:J33" si="26">I29-H29</f>
        <v>11</v>
      </c>
      <c r="K29" s="255">
        <v>7</v>
      </c>
      <c r="L29" s="256">
        <f t="shared" ref="L29:L33" si="27">G29/K29</f>
        <v>21.428571428571427</v>
      </c>
      <c r="M29" s="257">
        <f>L29/J29</f>
        <v>1.9480519480519478</v>
      </c>
      <c r="N29" s="229"/>
      <c r="O29" s="256">
        <f>IF(M29=0,0,L29*$O$16)</f>
        <v>171.16830537883169</v>
      </c>
      <c r="P29" s="256">
        <f>IF(N29=0,0,L29*$O$16)</f>
        <v>0</v>
      </c>
      <c r="Q29" s="229">
        <v>5</v>
      </c>
      <c r="R29" s="230">
        <f>IF(AND(O29&gt;0,Q29&gt;0),SUMIF('Исходные данные'!$C$14:$H$14,Q29,'Исходные данные'!$C$22:$H$22),IF(O29=0,0,IF(Q29=0,"РОТ")))</f>
        <v>197.57121135326915</v>
      </c>
      <c r="S29" s="229"/>
      <c r="T29" s="230"/>
      <c r="U29" s="258">
        <v>0</v>
      </c>
      <c r="V29" s="258">
        <v>0</v>
      </c>
      <c r="W29" s="258">
        <f>O29*R29*$W$16</f>
        <v>0</v>
      </c>
      <c r="X29" s="257">
        <f>P29*T29*$W$16</f>
        <v>0</v>
      </c>
      <c r="Y29" s="258">
        <f t="shared" si="22"/>
        <v>3381.7929438982073</v>
      </c>
      <c r="Z29" s="257">
        <f t="shared" si="23"/>
        <v>0</v>
      </c>
      <c r="AA29" s="258">
        <f>(O29*R29+U29)*$AA$16</f>
        <v>0</v>
      </c>
      <c r="AB29" s="257">
        <f>(P29*T29+V29)*$AA$16</f>
        <v>0</v>
      </c>
      <c r="AC29" s="259">
        <v>2.5</v>
      </c>
      <c r="AD29" s="260">
        <f t="shared" ref="AD29:AD33" si="28">(O29*R29+U29+W29+Y29+AA29)*AC29</f>
        <v>92999.305957200704</v>
      </c>
      <c r="AE29" s="260">
        <f t="shared" ref="AE29:AE33" si="29">(P29*T29+V29+X29+Z29+AB29)*AC29</f>
        <v>0</v>
      </c>
      <c r="AF29" s="261">
        <f>AD29*$AF$16</f>
        <v>13777.674956622326</v>
      </c>
      <c r="AG29" s="262"/>
      <c r="AH29" s="261">
        <f>AD29+AF29</f>
        <v>106776.98091382303</v>
      </c>
      <c r="AI29" s="261"/>
      <c r="AJ29" s="261">
        <f>AH29*$AJ$16</f>
        <v>32780.533140543674</v>
      </c>
      <c r="AK29" s="261"/>
      <c r="AL29" s="261">
        <f>AH29+AJ29</f>
        <v>139557.51405436671</v>
      </c>
      <c r="AM29" s="263"/>
      <c r="AN29" s="264">
        <v>14.6</v>
      </c>
      <c r="AO29" s="256">
        <f>'Исходные данные'!$C$55</f>
        <v>0.84</v>
      </c>
      <c r="AP29" s="254">
        <f>(G29*AN29)*AO29/100</f>
        <v>18.396000000000001</v>
      </c>
      <c r="AQ29" s="265" t="s">
        <v>152</v>
      </c>
      <c r="AR29" s="256">
        <f>'Исходные данные'!$E$80</f>
        <v>9477.4514285714286</v>
      </c>
      <c r="AS29" s="266">
        <f>AP29*AR29</f>
        <v>174347.19648000001</v>
      </c>
      <c r="AT29" s="272"/>
      <c r="AU29" s="227"/>
      <c r="AV29" s="227"/>
      <c r="AW29" s="227"/>
      <c r="AX29" s="227"/>
      <c r="AY29" s="227"/>
      <c r="AZ29" s="227"/>
      <c r="BA29" s="227"/>
      <c r="BB29" s="227"/>
      <c r="BC29" s="227"/>
      <c r="BD29" s="227"/>
      <c r="BE29" s="227"/>
      <c r="BF29" s="229"/>
      <c r="BG29" s="227"/>
      <c r="BH29" s="227"/>
      <c r="BI29" s="227"/>
      <c r="BJ29" s="227">
        <f>аморт!G18</f>
        <v>1200</v>
      </c>
      <c r="BK29" s="227">
        <f t="shared" ref="BK29:BK30" si="30">BJ29*L29*$O$16</f>
        <v>205401.96645459803</v>
      </c>
      <c r="BL29" s="277"/>
      <c r="BM29" s="227"/>
      <c r="BN29" s="268">
        <f>'Исходные данные'!$B$84</f>
        <v>99.992314269119987</v>
      </c>
      <c r="BO29" s="227">
        <f>BN29*G29</f>
        <v>14998.847140367998</v>
      </c>
      <c r="BP29" s="227">
        <f>'Исходные данные'!$B$89</f>
        <v>8.0425991068799991</v>
      </c>
      <c r="BQ29" s="227">
        <f>BP29*BY29</f>
        <v>465.32180546948564</v>
      </c>
      <c r="BR29" s="268">
        <f>'Исходные данные'!$B$94</f>
        <v>11.043568922879997</v>
      </c>
      <c r="BS29" s="227">
        <f>BR29*BY29</f>
        <v>638.94934482377118</v>
      </c>
      <c r="BT29" s="227">
        <f>аморт!$C$25*10%/аморт!$F$25*L29*$O$16</f>
        <v>2142.8983719402809</v>
      </c>
      <c r="BU29" s="227">
        <f t="shared" si="24"/>
        <v>537552.69365156617</v>
      </c>
      <c r="BV29" s="227">
        <f t="shared" si="8"/>
        <v>1791.8423121718872</v>
      </c>
      <c r="BW29" s="268">
        <f t="shared" ref="BW29:BW33" si="31">(O29+P29)/G29</f>
        <v>1.1411220358588778</v>
      </c>
      <c r="BX29" s="268">
        <f>'Исходные данные'!$B$111</f>
        <v>2.7</v>
      </c>
      <c r="BY29" s="269">
        <f>BX29*L29</f>
        <v>57.857142857142854</v>
      </c>
    </row>
    <row r="30" spans="1:77" x14ac:dyDescent="0.2">
      <c r="A30" s="249">
        <f>A29+1</f>
        <v>2</v>
      </c>
      <c r="B30" s="201" t="s">
        <v>550</v>
      </c>
      <c r="C30" s="349">
        <f>M30</f>
        <v>0.80454545454545456</v>
      </c>
      <c r="D30" s="352" t="s">
        <v>105</v>
      </c>
      <c r="E30" s="353" t="s">
        <v>115</v>
      </c>
      <c r="F30" s="273" t="s">
        <v>119</v>
      </c>
      <c r="G30" s="231">
        <f>E10/10</f>
        <v>141.6</v>
      </c>
      <c r="H30" s="228">
        <v>43699</v>
      </c>
      <c r="I30" s="228">
        <v>43710</v>
      </c>
      <c r="J30" s="254">
        <f t="shared" si="26"/>
        <v>11</v>
      </c>
      <c r="K30" s="344">
        <v>16</v>
      </c>
      <c r="L30" s="256">
        <f t="shared" si="27"/>
        <v>8.85</v>
      </c>
      <c r="M30" s="257">
        <f>L30/J30</f>
        <v>0.80454545454545456</v>
      </c>
      <c r="N30" s="257">
        <f t="shared" ref="N30:N31" si="32">L30/J30</f>
        <v>0.80454545454545456</v>
      </c>
      <c r="O30" s="256">
        <f>IF(M30=0,0,L30*$O$16)</f>
        <v>70.692510121457488</v>
      </c>
      <c r="P30" s="256">
        <f>IF(N30=0,0,L30*$O$16)</f>
        <v>70.692510121457488</v>
      </c>
      <c r="Q30" s="229">
        <v>2</v>
      </c>
      <c r="R30" s="230">
        <f>IF(AND(O30&gt;0,Q30&gt;0),SUMIF('Исходные данные'!$C$14:$H$14,Q30,'Исходные данные'!$C$18:$H$18),IF(O30=0,0,IF(Q30=0,"РОТ")))</f>
        <v>126.44557526609226</v>
      </c>
      <c r="S30" s="229"/>
      <c r="T30" s="230"/>
      <c r="U30" s="258">
        <v>0</v>
      </c>
      <c r="V30" s="258">
        <v>0</v>
      </c>
      <c r="W30" s="258">
        <f>O30*R30*$W$16</f>
        <v>0</v>
      </c>
      <c r="X30" s="257">
        <f>P30*T30*$W$16</f>
        <v>0</v>
      </c>
      <c r="Y30" s="258">
        <f t="shared" si="22"/>
        <v>893.87551093117418</v>
      </c>
      <c r="Z30" s="257">
        <f t="shared" si="23"/>
        <v>0</v>
      </c>
      <c r="AA30" s="258">
        <f>(O30*R30+U30)*$AA$16</f>
        <v>0</v>
      </c>
      <c r="AB30" s="257">
        <f>(P30*T30+V30)*$AA$16</f>
        <v>0</v>
      </c>
      <c r="AC30" s="259">
        <v>2.5</v>
      </c>
      <c r="AD30" s="260">
        <f t="shared" si="28"/>
        <v>24581.576550607286</v>
      </c>
      <c r="AE30" s="260">
        <f t="shared" si="29"/>
        <v>0</v>
      </c>
      <c r="AF30" s="261">
        <f>AD30*$AF$16</f>
        <v>3641.7150445344123</v>
      </c>
      <c r="AG30" s="262"/>
      <c r="AH30" s="261">
        <f>AD30+AF30</f>
        <v>28223.291595141698</v>
      </c>
      <c r="AI30" s="261"/>
      <c r="AJ30" s="261">
        <f>AH30*$AJ$16</f>
        <v>8664.5505197085004</v>
      </c>
      <c r="AK30" s="261"/>
      <c r="AL30" s="261">
        <f>AH30+AJ30</f>
        <v>36887.842114850195</v>
      </c>
      <c r="AM30" s="263"/>
      <c r="AN30" s="264">
        <v>3.13</v>
      </c>
      <c r="AO30" s="256">
        <f>'Исходные данные'!$C$55</f>
        <v>0.84</v>
      </c>
      <c r="AP30" s="254">
        <f>(G30*AN30)*AO30/100</f>
        <v>3.7229471999999997</v>
      </c>
      <c r="AQ30" s="265" t="s">
        <v>152</v>
      </c>
      <c r="AR30" s="256">
        <f>'Исходные данные'!$G$80</f>
        <v>9559.3714285714286</v>
      </c>
      <c r="AS30" s="266">
        <f>AP30*AR30</f>
        <v>35589.035093759994</v>
      </c>
      <c r="AT30" s="272"/>
      <c r="AU30" s="227"/>
      <c r="AV30" s="227"/>
      <c r="AW30" s="227"/>
      <c r="AX30" s="227"/>
      <c r="AY30" s="227"/>
      <c r="AZ30" s="227"/>
      <c r="BA30" s="227"/>
      <c r="BB30" s="227"/>
      <c r="BC30" s="227"/>
      <c r="BD30" s="227"/>
      <c r="BE30" s="227"/>
      <c r="BF30" s="229"/>
      <c r="BG30" s="227"/>
      <c r="BH30" s="227"/>
      <c r="BI30" s="227"/>
      <c r="BJ30" s="227">
        <f>аморт!$G$10</f>
        <v>69.696969696969703</v>
      </c>
      <c r="BK30" s="227">
        <f t="shared" si="30"/>
        <v>4927.0537357379462</v>
      </c>
      <c r="BL30" s="278">
        <f>аморт!$G$25</f>
        <v>12.519247457627118</v>
      </c>
      <c r="BM30" s="227">
        <f>BL30*L30</f>
        <v>110.79534</v>
      </c>
      <c r="BN30" s="268">
        <f>'Исходные данные'!$E$84</f>
        <v>98.911965135359992</v>
      </c>
      <c r="BO30" s="227">
        <f>BN30*BY30</f>
        <v>4464.3915463844733</v>
      </c>
      <c r="BP30" s="268">
        <f>'Исходные данные'!$E$89</f>
        <v>16.685392176959997</v>
      </c>
      <c r="BQ30" s="227">
        <f>BP30*BY30</f>
        <v>753.09517590708947</v>
      </c>
      <c r="BR30" s="268">
        <f>'Исходные данные'!$E$94</f>
        <v>5.7618620467199984</v>
      </c>
      <c r="BS30" s="227">
        <f>BR30*BY30</f>
        <v>260.06164347870714</v>
      </c>
      <c r="BT30" s="227">
        <f>аморт!$C$25*10%/аморт!$F$25*L30*$O$16</f>
        <v>885.01702761133595</v>
      </c>
      <c r="BU30" s="227">
        <f t="shared" si="24"/>
        <v>83877.291677729736</v>
      </c>
      <c r="BV30" s="227">
        <f t="shared" si="8"/>
        <v>279.59097225909915</v>
      </c>
      <c r="BW30" s="268">
        <f t="shared" si="31"/>
        <v>0.99848178137651822</v>
      </c>
      <c r="BX30" s="268">
        <f>'Исходные данные'!$B$104</f>
        <v>5.0999999999999996</v>
      </c>
      <c r="BY30" s="269">
        <f>BX30*L30</f>
        <v>45.134999999999998</v>
      </c>
    </row>
    <row r="31" spans="1:77" x14ac:dyDescent="0.2">
      <c r="A31" s="249">
        <f>A30+1</f>
        <v>3</v>
      </c>
      <c r="B31" s="201" t="s">
        <v>551</v>
      </c>
      <c r="C31" s="351"/>
      <c r="D31" s="492" t="s">
        <v>544</v>
      </c>
      <c r="E31" s="492"/>
      <c r="F31" s="206"/>
      <c r="G31" s="231">
        <f>G30</f>
        <v>141.6</v>
      </c>
      <c r="H31" s="228">
        <v>43710</v>
      </c>
      <c r="I31" s="228">
        <v>43718</v>
      </c>
      <c r="J31" s="254">
        <f t="shared" si="26"/>
        <v>8</v>
      </c>
      <c r="K31" s="255">
        <v>10</v>
      </c>
      <c r="L31" s="256">
        <f t="shared" si="27"/>
        <v>14.16</v>
      </c>
      <c r="M31" s="229"/>
      <c r="N31" s="257">
        <f t="shared" si="32"/>
        <v>1.77</v>
      </c>
      <c r="O31" s="256">
        <f>IF(M31=0,0,L31*$O$16)</f>
        <v>0</v>
      </c>
      <c r="P31" s="256">
        <f>IF(N31=0,0,L31*$O$16)</f>
        <v>113.10801619433198</v>
      </c>
      <c r="Q31" s="229"/>
      <c r="R31" s="230"/>
      <c r="S31" s="229">
        <v>2</v>
      </c>
      <c r="T31" s="230">
        <f>IF(AND(P31&gt;0,S31&gt;0),SUMIF('Исходные данные'!$C$14:$H$14,S31,'Исходные данные'!$C$34:$H$34),IF(P31=0,0,IF(S31=0,"РОТ")))</f>
        <v>105.700598073999</v>
      </c>
      <c r="U31" s="258">
        <v>0</v>
      </c>
      <c r="V31" s="258">
        <v>0</v>
      </c>
      <c r="W31" s="258">
        <f>O31*R31*$W$16</f>
        <v>0</v>
      </c>
      <c r="X31" s="257">
        <f>P31*T31*$W$16</f>
        <v>0</v>
      </c>
      <c r="Y31" s="258">
        <f t="shared" si="22"/>
        <v>0</v>
      </c>
      <c r="Z31" s="257">
        <f t="shared" si="23"/>
        <v>597.77924793522277</v>
      </c>
      <c r="AA31" s="258">
        <f>(O31*R31+U31)*$AA$16</f>
        <v>0</v>
      </c>
      <c r="AB31" s="257">
        <f>(P31*T31+V31)*$AA$16</f>
        <v>0</v>
      </c>
      <c r="AC31" s="259">
        <v>2.5</v>
      </c>
      <c r="AD31" s="260">
        <f t="shared" si="28"/>
        <v>0</v>
      </c>
      <c r="AE31" s="260">
        <f t="shared" si="29"/>
        <v>31383.410516599197</v>
      </c>
      <c r="AF31" s="262"/>
      <c r="AG31" s="262">
        <f>AE31*$AF$16</f>
        <v>4649.3941506072879</v>
      </c>
      <c r="AH31" s="261"/>
      <c r="AI31" s="262">
        <f>AE31+AG31</f>
        <v>36032.804667206481</v>
      </c>
      <c r="AJ31" s="261"/>
      <c r="AK31" s="262">
        <f>AI31*$AJ$16</f>
        <v>11062.071032832389</v>
      </c>
      <c r="AL31" s="261"/>
      <c r="AM31" s="270">
        <f>AK31+AI31</f>
        <v>47094.875700038872</v>
      </c>
      <c r="AN31" s="264"/>
      <c r="AO31" s="229"/>
      <c r="AP31" s="254"/>
      <c r="AQ31" s="229"/>
      <c r="AR31" s="229"/>
      <c r="AS31" s="266"/>
      <c r="AT31" s="272"/>
      <c r="AU31" s="227"/>
      <c r="AV31" s="227"/>
      <c r="AW31" s="227"/>
      <c r="AX31" s="227"/>
      <c r="AY31" s="227"/>
      <c r="AZ31" s="227"/>
      <c r="BA31" s="227"/>
      <c r="BB31" s="227"/>
      <c r="BC31" s="227"/>
      <c r="BD31" s="227"/>
      <c r="BE31" s="227"/>
      <c r="BF31" s="229"/>
      <c r="BG31" s="227"/>
      <c r="BH31" s="227"/>
      <c r="BI31" s="227"/>
      <c r="BJ31" s="227"/>
      <c r="BK31" s="227"/>
      <c r="BL31" s="277"/>
      <c r="BM31" s="227"/>
      <c r="BN31" s="227"/>
      <c r="BO31" s="227"/>
      <c r="BP31" s="227"/>
      <c r="BQ31" s="227"/>
      <c r="BR31" s="227"/>
      <c r="BS31" s="227"/>
      <c r="BT31" s="227"/>
      <c r="BU31" s="227">
        <f t="shared" si="24"/>
        <v>47094.875700038872</v>
      </c>
      <c r="BV31" s="227">
        <f t="shared" si="8"/>
        <v>156.98291900012958</v>
      </c>
      <c r="BW31" s="268">
        <f t="shared" si="31"/>
        <v>0.79878542510121464</v>
      </c>
      <c r="BX31" s="268"/>
      <c r="BY31" s="269"/>
    </row>
    <row r="32" spans="1:77" x14ac:dyDescent="0.2">
      <c r="A32" s="249">
        <f>A31+1</f>
        <v>4</v>
      </c>
      <c r="B32" s="201" t="s">
        <v>552</v>
      </c>
      <c r="C32" s="349">
        <f>M32</f>
        <v>0.50571428571428567</v>
      </c>
      <c r="D32" s="493" t="s">
        <v>553</v>
      </c>
      <c r="E32" s="494"/>
      <c r="F32" s="273" t="s">
        <v>119</v>
      </c>
      <c r="G32" s="231">
        <f>G31</f>
        <v>141.6</v>
      </c>
      <c r="H32" s="228">
        <v>43710</v>
      </c>
      <c r="I32" s="228">
        <v>43718</v>
      </c>
      <c r="J32" s="254">
        <f t="shared" si="26"/>
        <v>8</v>
      </c>
      <c r="K32" s="255">
        <v>35</v>
      </c>
      <c r="L32" s="256">
        <f t="shared" si="27"/>
        <v>4.0457142857142854</v>
      </c>
      <c r="M32" s="257">
        <f>L32/J32</f>
        <v>0.50571428571428567</v>
      </c>
      <c r="N32" s="229"/>
      <c r="O32" s="256">
        <f>IF(M32=0,0,L32*$O$16)</f>
        <v>32.31657605552342</v>
      </c>
      <c r="P32" s="256">
        <f>IF(N32=0,0,L32*$O$16)</f>
        <v>0</v>
      </c>
      <c r="Q32" s="229">
        <v>2</v>
      </c>
      <c r="R32" s="230">
        <f>IF(AND(O32&gt;0,Q32&gt;0),SUMIF('Исходные данные'!$C$14:$H$14,Q32,'Исходные данные'!$C$18:$H$18),IF(O32=0,0,IF(Q32=0,"РОТ")))</f>
        <v>126.44557526609226</v>
      </c>
      <c r="S32" s="229"/>
      <c r="T32" s="230"/>
      <c r="U32" s="258">
        <v>0</v>
      </c>
      <c r="V32" s="258">
        <v>0</v>
      </c>
      <c r="W32" s="258">
        <f>O32*R32*$W$16</f>
        <v>0</v>
      </c>
      <c r="X32" s="257">
        <f>P32*T32*$W$16</f>
        <v>0</v>
      </c>
      <c r="Y32" s="258">
        <f t="shared" si="22"/>
        <v>408.6288049971082</v>
      </c>
      <c r="Z32" s="257">
        <f t="shared" si="23"/>
        <v>0</v>
      </c>
      <c r="AA32" s="258">
        <f>(O32*R32+U32)*$AA$16</f>
        <v>0</v>
      </c>
      <c r="AB32" s="257">
        <f>(P32*T32+V32)*$AA$16</f>
        <v>0</v>
      </c>
      <c r="AC32" s="259">
        <v>2.5</v>
      </c>
      <c r="AD32" s="260">
        <f t="shared" si="28"/>
        <v>11237.292137420474</v>
      </c>
      <c r="AE32" s="260">
        <f t="shared" si="29"/>
        <v>0</v>
      </c>
      <c r="AF32" s="261">
        <f>AD32*$AF$16</f>
        <v>1664.7840203585888</v>
      </c>
      <c r="AG32" s="262"/>
      <c r="AH32" s="261">
        <f>AD32+AF32</f>
        <v>12902.076157779064</v>
      </c>
      <c r="AI32" s="261"/>
      <c r="AJ32" s="261">
        <f>AH32*$AJ$16</f>
        <v>3960.9373804381726</v>
      </c>
      <c r="AK32" s="261"/>
      <c r="AL32" s="261">
        <f>AH32+AJ32</f>
        <v>16863.013538217238</v>
      </c>
      <c r="AM32" s="263"/>
      <c r="AN32" s="264"/>
      <c r="AO32" s="229"/>
      <c r="AP32" s="254"/>
      <c r="AQ32" s="229"/>
      <c r="AR32" s="229"/>
      <c r="AS32" s="266"/>
      <c r="AT32" s="272"/>
      <c r="AU32" s="227"/>
      <c r="AV32" s="227"/>
      <c r="AW32" s="227"/>
      <c r="AX32" s="227"/>
      <c r="AY32" s="227"/>
      <c r="AZ32" s="227"/>
      <c r="BA32" s="227"/>
      <c r="BB32" s="227"/>
      <c r="BC32" s="227"/>
      <c r="BD32" s="227"/>
      <c r="BE32" s="227"/>
      <c r="BF32" s="268">
        <v>4</v>
      </c>
      <c r="BG32" s="227">
        <f>BF32*L32*7</f>
        <v>113.27999999999999</v>
      </c>
      <c r="BH32" s="271">
        <f>'Исходные данные'!C138</f>
        <v>5.07</v>
      </c>
      <c r="BI32" s="227">
        <f>BH32*BG32</f>
        <v>574.32959999999991</v>
      </c>
      <c r="BJ32" s="227"/>
      <c r="BK32" s="227"/>
      <c r="BL32" s="277">
        <f>аморт!G21</f>
        <v>45.399508928571429</v>
      </c>
      <c r="BM32" s="227">
        <f>BL32*L32</f>
        <v>183.67344183673467</v>
      </c>
      <c r="BN32" s="227"/>
      <c r="BO32" s="227"/>
      <c r="BP32" s="227"/>
      <c r="BQ32" s="227"/>
      <c r="BR32" s="227"/>
      <c r="BS32" s="227"/>
      <c r="BT32" s="227">
        <f>аморт!$C$21*10%/аморт!$F$21*L32*$O$16</f>
        <v>1173.7253465388746</v>
      </c>
      <c r="BU32" s="227">
        <f t="shared" si="24"/>
        <v>18794.741926592847</v>
      </c>
      <c r="BV32" s="227">
        <f t="shared" si="8"/>
        <v>62.649139755309491</v>
      </c>
      <c r="BW32" s="268">
        <f t="shared" si="31"/>
        <v>0.22822440717177558</v>
      </c>
      <c r="BX32" s="268"/>
      <c r="BY32" s="269"/>
    </row>
    <row r="33" spans="1:77" x14ac:dyDescent="0.2">
      <c r="A33" s="249">
        <f>A32+1</f>
        <v>5</v>
      </c>
      <c r="B33" s="201" t="s">
        <v>554</v>
      </c>
      <c r="C33" s="351"/>
      <c r="D33" s="493" t="s">
        <v>118</v>
      </c>
      <c r="E33" s="494"/>
      <c r="F33" s="273" t="s">
        <v>119</v>
      </c>
      <c r="G33" s="231">
        <f>G32</f>
        <v>141.6</v>
      </c>
      <c r="H33" s="228">
        <v>43710</v>
      </c>
      <c r="I33" s="228">
        <v>43718</v>
      </c>
      <c r="J33" s="254">
        <f t="shared" si="26"/>
        <v>8</v>
      </c>
      <c r="K33" s="255">
        <v>2.5</v>
      </c>
      <c r="L33" s="256">
        <f t="shared" si="27"/>
        <v>56.64</v>
      </c>
      <c r="M33" s="229"/>
      <c r="N33" s="257">
        <f t="shared" ref="N33" si="33">L33/J33</f>
        <v>7.08</v>
      </c>
      <c r="O33" s="256">
        <f>IF(M33=0,0,L33*$O$16)</f>
        <v>0</v>
      </c>
      <c r="P33" s="256">
        <f>IF(N33=0,0,L33*$O$16)</f>
        <v>452.43206477732792</v>
      </c>
      <c r="Q33" s="229"/>
      <c r="R33" s="230"/>
      <c r="S33" s="229">
        <v>2</v>
      </c>
      <c r="T33" s="230">
        <f>IF(AND(P33&gt;0,S33&gt;0),SUMIF('Исходные данные'!$C$14:$H$14,S33,'Исходные данные'!$C$34:$H$34),IF(P33=0,0,IF(S33=0,"РОТ")))</f>
        <v>105.700598073999</v>
      </c>
      <c r="U33" s="258">
        <v>0</v>
      </c>
      <c r="V33" s="258">
        <v>0</v>
      </c>
      <c r="W33" s="258">
        <f>O33*R33*$W$16</f>
        <v>0</v>
      </c>
      <c r="X33" s="257">
        <f>P33*T33*$W$16</f>
        <v>0</v>
      </c>
      <c r="Y33" s="258">
        <f t="shared" si="22"/>
        <v>0</v>
      </c>
      <c r="Z33" s="257">
        <f t="shared" si="23"/>
        <v>2391.1169917408911</v>
      </c>
      <c r="AA33" s="258">
        <f>(O33*R33+U33)*$AA$16</f>
        <v>0</v>
      </c>
      <c r="AB33" s="257">
        <f>(P33*T33+V33)*$AA$16</f>
        <v>0</v>
      </c>
      <c r="AC33" s="259">
        <v>2.5</v>
      </c>
      <c r="AD33" s="260">
        <f t="shared" si="28"/>
        <v>0</v>
      </c>
      <c r="AE33" s="260">
        <f t="shared" si="29"/>
        <v>125533.64206639679</v>
      </c>
      <c r="AF33" s="262"/>
      <c r="AG33" s="262">
        <f>AE33*$AF$16</f>
        <v>18597.576602429152</v>
      </c>
      <c r="AH33" s="261"/>
      <c r="AI33" s="262">
        <f>AE33+AG33</f>
        <v>144131.21866882592</v>
      </c>
      <c r="AJ33" s="261"/>
      <c r="AK33" s="262">
        <f>AI33*$AJ$16</f>
        <v>44248.284131329558</v>
      </c>
      <c r="AL33" s="261"/>
      <c r="AM33" s="270">
        <f>AK33+AI33</f>
        <v>188379.50280015549</v>
      </c>
      <c r="AN33" s="264"/>
      <c r="AO33" s="229"/>
      <c r="AP33" s="254"/>
      <c r="AQ33" s="229"/>
      <c r="AR33" s="229"/>
      <c r="AS33" s="266"/>
      <c r="AT33" s="272"/>
      <c r="AU33" s="227"/>
      <c r="AV33" s="227"/>
      <c r="AW33" s="227"/>
      <c r="AX33" s="227"/>
      <c r="AY33" s="227"/>
      <c r="AZ33" s="227"/>
      <c r="BA33" s="227"/>
      <c r="BB33" s="227"/>
      <c r="BC33" s="227"/>
      <c r="BD33" s="227"/>
      <c r="BE33" s="227"/>
      <c r="BF33" s="229"/>
      <c r="BG33" s="227"/>
      <c r="BH33" s="227"/>
      <c r="BI33" s="227"/>
      <c r="BJ33" s="227"/>
      <c r="BK33" s="227"/>
      <c r="BL33" s="277"/>
      <c r="BM33" s="227"/>
      <c r="BN33" s="227"/>
      <c r="BO33" s="227"/>
      <c r="BP33" s="227"/>
      <c r="BQ33" s="227"/>
      <c r="BR33" s="227"/>
      <c r="BS33" s="227"/>
      <c r="BT33" s="227"/>
      <c r="BU33" s="227">
        <f t="shared" si="24"/>
        <v>188379.50280015549</v>
      </c>
      <c r="BV33" s="227">
        <f t="shared" si="8"/>
        <v>627.93167600051834</v>
      </c>
      <c r="BW33" s="268">
        <f t="shared" si="31"/>
        <v>3.1951417004048586</v>
      </c>
      <c r="BX33" s="268"/>
      <c r="BY33" s="269"/>
    </row>
    <row r="34" spans="1:77" s="238" customFormat="1" x14ac:dyDescent="0.2">
      <c r="A34" s="236"/>
      <c r="B34" s="354" t="s">
        <v>21</v>
      </c>
      <c r="C34" s="354"/>
      <c r="D34" s="354"/>
      <c r="E34" s="354"/>
      <c r="F34" s="236"/>
      <c r="G34" s="237"/>
      <c r="H34" s="239"/>
      <c r="I34" s="239"/>
      <c r="J34" s="279">
        <f>SUM(J29:J33)</f>
        <v>46</v>
      </c>
      <c r="K34" s="279"/>
      <c r="L34" s="279">
        <f t="shared" ref="L34:BW34" si="34">SUM(L29:L33)</f>
        <v>105.1242857142857</v>
      </c>
      <c r="M34" s="279">
        <f>M29+M30+M31+M32+M33</f>
        <v>3.258311688311688</v>
      </c>
      <c r="N34" s="279">
        <f>N29+N30+N31+N32+N33</f>
        <v>9.6545454545454543</v>
      </c>
      <c r="O34" s="279">
        <f>SUM(O29:O33)</f>
        <v>274.17739155581256</v>
      </c>
      <c r="P34" s="279">
        <f>SUM(P29:P33)</f>
        <v>636.23259109311743</v>
      </c>
      <c r="Q34" s="279"/>
      <c r="R34" s="280"/>
      <c r="S34" s="279"/>
      <c r="T34" s="280"/>
      <c r="U34" s="281">
        <v>0</v>
      </c>
      <c r="V34" s="281">
        <v>0</v>
      </c>
      <c r="W34" s="279">
        <f t="shared" si="34"/>
        <v>0</v>
      </c>
      <c r="X34" s="279">
        <f t="shared" si="34"/>
        <v>0</v>
      </c>
      <c r="Y34" s="279">
        <f t="shared" si="34"/>
        <v>4684.2972598264896</v>
      </c>
      <c r="Z34" s="279">
        <f t="shared" si="34"/>
        <v>2988.896239676114</v>
      </c>
      <c r="AA34" s="279">
        <f t="shared" si="34"/>
        <v>0</v>
      </c>
      <c r="AB34" s="279">
        <f t="shared" si="34"/>
        <v>0</v>
      </c>
      <c r="AC34" s="282"/>
      <c r="AD34" s="283">
        <f t="shared" si="34"/>
        <v>128818.17464522846</v>
      </c>
      <c r="AE34" s="283">
        <f t="shared" si="34"/>
        <v>156917.052582996</v>
      </c>
      <c r="AF34" s="282">
        <f t="shared" si="34"/>
        <v>19084.174021515326</v>
      </c>
      <c r="AG34" s="282">
        <f t="shared" si="34"/>
        <v>23246.970753036439</v>
      </c>
      <c r="AH34" s="282">
        <f t="shared" si="34"/>
        <v>147902.34866674378</v>
      </c>
      <c r="AI34" s="282">
        <f t="shared" si="34"/>
        <v>180164.02333603241</v>
      </c>
      <c r="AJ34" s="282">
        <f t="shared" si="34"/>
        <v>45406.02104069035</v>
      </c>
      <c r="AK34" s="282">
        <f t="shared" si="34"/>
        <v>55310.355164161949</v>
      </c>
      <c r="AL34" s="282">
        <f t="shared" si="34"/>
        <v>193308.36970743415</v>
      </c>
      <c r="AM34" s="284">
        <f t="shared" si="34"/>
        <v>235474.37850019435</v>
      </c>
      <c r="AN34" s="285"/>
      <c r="AO34" s="279"/>
      <c r="AP34" s="279">
        <f t="shared" si="34"/>
        <v>22.118947200000001</v>
      </c>
      <c r="AQ34" s="279"/>
      <c r="AR34" s="279"/>
      <c r="AS34" s="286">
        <f t="shared" si="34"/>
        <v>209936.23157376001</v>
      </c>
      <c r="AT34" s="284">
        <f t="shared" si="34"/>
        <v>0</v>
      </c>
      <c r="AU34" s="284">
        <f t="shared" si="34"/>
        <v>0</v>
      </c>
      <c r="AV34" s="284">
        <f t="shared" si="34"/>
        <v>0</v>
      </c>
      <c r="AW34" s="284">
        <f t="shared" si="34"/>
        <v>0</v>
      </c>
      <c r="AX34" s="284">
        <f t="shared" si="34"/>
        <v>0</v>
      </c>
      <c r="AY34" s="284">
        <f t="shared" si="34"/>
        <v>0</v>
      </c>
      <c r="AZ34" s="284">
        <f t="shared" si="34"/>
        <v>0</v>
      </c>
      <c r="BA34" s="284">
        <f t="shared" si="34"/>
        <v>0</v>
      </c>
      <c r="BB34" s="284">
        <f t="shared" si="34"/>
        <v>0</v>
      </c>
      <c r="BC34" s="284">
        <f t="shared" si="34"/>
        <v>0</v>
      </c>
      <c r="BD34" s="284">
        <f t="shared" si="34"/>
        <v>0</v>
      </c>
      <c r="BE34" s="284">
        <f t="shared" si="34"/>
        <v>0</v>
      </c>
      <c r="BF34" s="284">
        <f t="shared" si="34"/>
        <v>4</v>
      </c>
      <c r="BG34" s="284">
        <f t="shared" si="34"/>
        <v>113.27999999999999</v>
      </c>
      <c r="BH34" s="284">
        <f t="shared" si="34"/>
        <v>5.07</v>
      </c>
      <c r="BI34" s="284">
        <f t="shared" si="34"/>
        <v>574.32959999999991</v>
      </c>
      <c r="BJ34" s="284">
        <f t="shared" si="34"/>
        <v>1269.6969696969697</v>
      </c>
      <c r="BK34" s="284">
        <f t="shared" si="34"/>
        <v>210329.02019033598</v>
      </c>
      <c r="BL34" s="284">
        <f t="shared" si="34"/>
        <v>57.918756386198545</v>
      </c>
      <c r="BM34" s="284">
        <f t="shared" si="34"/>
        <v>294.46878183673465</v>
      </c>
      <c r="BN34" s="284"/>
      <c r="BO34" s="284">
        <f t="shared" ref="BO34:BT34" si="35">SUM(BO29:BO33)</f>
        <v>19463.238686752469</v>
      </c>
      <c r="BP34" s="284"/>
      <c r="BQ34" s="284">
        <f t="shared" si="35"/>
        <v>1218.4169813765752</v>
      </c>
      <c r="BR34" s="284"/>
      <c r="BS34" s="284">
        <f t="shared" si="35"/>
        <v>899.01098830247838</v>
      </c>
      <c r="BT34" s="284">
        <f t="shared" si="35"/>
        <v>4201.6407460904911</v>
      </c>
      <c r="BU34" s="284">
        <f t="shared" si="34"/>
        <v>875699.10575608304</v>
      </c>
      <c r="BV34" s="284">
        <f t="shared" si="34"/>
        <v>2918.9970191869443</v>
      </c>
      <c r="BW34" s="284">
        <f t="shared" si="34"/>
        <v>6.3617553499132447</v>
      </c>
      <c r="BX34" s="284"/>
      <c r="BY34" s="279">
        <f t="shared" ref="BY34" si="36">SUM(BY29:BY33)</f>
        <v>102.99214285714285</v>
      </c>
    </row>
    <row r="35" spans="1:77" s="241" customFormat="1" x14ac:dyDescent="0.2">
      <c r="A35" s="240"/>
      <c r="B35" s="495" t="s">
        <v>525</v>
      </c>
      <c r="C35" s="495"/>
      <c r="D35" s="495"/>
      <c r="E35" s="495"/>
      <c r="F35" s="240"/>
      <c r="G35" s="242"/>
      <c r="H35" s="303"/>
      <c r="I35" s="303"/>
      <c r="J35" s="297"/>
      <c r="K35" s="297"/>
      <c r="L35" s="297"/>
      <c r="M35" s="297"/>
      <c r="N35" s="297"/>
      <c r="O35" s="297"/>
      <c r="P35" s="297"/>
      <c r="Q35" s="297"/>
      <c r="R35" s="243"/>
      <c r="S35" s="297"/>
      <c r="T35" s="243"/>
      <c r="U35" s="304">
        <v>0</v>
      </c>
      <c r="V35" s="304">
        <v>0</v>
      </c>
      <c r="W35" s="297"/>
      <c r="X35" s="297"/>
      <c r="Y35" s="304">
        <f t="shared" ref="Y35:Y36" si="37">(O35*R35+U35+W35)*$Y$16</f>
        <v>0</v>
      </c>
      <c r="Z35" s="305">
        <f t="shared" ref="Z35:Z36" si="38">(P35*T35+V35+X35)*$Z$16</f>
        <v>0</v>
      </c>
      <c r="AA35" s="297"/>
      <c r="AB35" s="297"/>
      <c r="AC35" s="306"/>
      <c r="AD35" s="313">
        <f t="shared" ref="AD35:AD36" si="39">(O35*R35+U35+W35+Y35+AA35)*AC35</f>
        <v>0</v>
      </c>
      <c r="AE35" s="313">
        <f t="shared" ref="AE35:AE36" si="40">(P35*T35+V35+X35+Z35+AB35)*AC35</f>
        <v>0</v>
      </c>
      <c r="AF35" s="306"/>
      <c r="AG35" s="306"/>
      <c r="AH35" s="306"/>
      <c r="AI35" s="306"/>
      <c r="AJ35" s="306"/>
      <c r="AK35" s="306"/>
      <c r="AL35" s="306"/>
      <c r="AM35" s="308"/>
      <c r="AN35" s="309"/>
      <c r="AO35" s="297"/>
      <c r="AP35" s="297"/>
      <c r="AQ35" s="297"/>
      <c r="AR35" s="297"/>
      <c r="AS35" s="301"/>
      <c r="AT35" s="310"/>
      <c r="AU35" s="300"/>
      <c r="AV35" s="300"/>
      <c r="AW35" s="300"/>
      <c r="AX35" s="300"/>
      <c r="AY35" s="300"/>
      <c r="AZ35" s="300"/>
      <c r="BA35" s="300"/>
      <c r="BB35" s="300"/>
      <c r="BC35" s="300"/>
      <c r="BD35" s="300"/>
      <c r="BE35" s="300"/>
      <c r="BF35" s="242"/>
      <c r="BG35" s="300"/>
      <c r="BH35" s="300"/>
      <c r="BI35" s="300"/>
      <c r="BJ35" s="300"/>
      <c r="BK35" s="300"/>
      <c r="BL35" s="300"/>
      <c r="BM35" s="300"/>
      <c r="BN35" s="300"/>
      <c r="BO35" s="300"/>
      <c r="BP35" s="300"/>
      <c r="BQ35" s="300"/>
      <c r="BR35" s="300"/>
      <c r="BS35" s="300"/>
      <c r="BT35" s="300"/>
      <c r="BU35" s="311">
        <f t="shared" ref="BU35:BU36" si="41">AL35+AM35+AS35+AW35+BA35+BE35+BI35+BK35+BM35+BO35+BQ35+BS35+BT35</f>
        <v>0</v>
      </c>
      <c r="BV35" s="311">
        <f t="shared" si="8"/>
        <v>0</v>
      </c>
      <c r="BW35" s="312">
        <f t="shared" ref="BW35" si="42">(O35+P35)/$D$6</f>
        <v>0</v>
      </c>
      <c r="BX35" s="300"/>
      <c r="BY35" s="242"/>
    </row>
    <row r="36" spans="1:77" ht="22.5" x14ac:dyDescent="0.2">
      <c r="A36" s="206">
        <v>1</v>
      </c>
      <c r="B36" s="201" t="s">
        <v>555</v>
      </c>
      <c r="C36" s="349">
        <f>M36</f>
        <v>0.41208791208791207</v>
      </c>
      <c r="D36" s="350" t="s">
        <v>183</v>
      </c>
      <c r="E36" s="202" t="s">
        <v>542</v>
      </c>
      <c r="F36" s="206" t="s">
        <v>106</v>
      </c>
      <c r="G36" s="231">
        <f>D7</f>
        <v>150</v>
      </c>
      <c r="H36" s="228">
        <v>43720</v>
      </c>
      <c r="I36" s="228">
        <v>43734</v>
      </c>
      <c r="J36" s="254">
        <f t="shared" ref="J36" si="43">I36-H36</f>
        <v>14</v>
      </c>
      <c r="K36" s="345">
        <v>26</v>
      </c>
      <c r="L36" s="256">
        <f t="shared" ref="L36" si="44">G36/K36</f>
        <v>5.7692307692307692</v>
      </c>
      <c r="M36" s="257">
        <f>L36/J36</f>
        <v>0.41208791208791207</v>
      </c>
      <c r="N36" s="229"/>
      <c r="O36" s="256">
        <f>IF(M36=0,0,L36*$O$16)</f>
        <v>46.083774525070069</v>
      </c>
      <c r="P36" s="256">
        <f>IF(N36=0,0,L36*$O$16)</f>
        <v>0</v>
      </c>
      <c r="Q36" s="229">
        <v>5</v>
      </c>
      <c r="R36" s="230">
        <f>IF(AND(O36&gt;0,Q36&gt;0),SUMIF('Исходные данные'!$C$14:$H$14,Q36,'Исходные данные'!$C$26:$H$26),IF(O36=0,0,IF(Q36=0,"РОТ")))</f>
        <v>219.30404460212878</v>
      </c>
      <c r="S36" s="229"/>
      <c r="T36" s="230"/>
      <c r="U36" s="258">
        <v>0</v>
      </c>
      <c r="V36" s="258">
        <v>0</v>
      </c>
      <c r="W36" s="258">
        <f>O36*R36*$W$16</f>
        <v>0</v>
      </c>
      <c r="X36" s="257">
        <f>P36*T36*$W$16</f>
        <v>0</v>
      </c>
      <c r="Y36" s="258">
        <f t="shared" si="37"/>
        <v>1010.6358143880412</v>
      </c>
      <c r="Z36" s="257">
        <f t="shared" si="38"/>
        <v>0</v>
      </c>
      <c r="AA36" s="258">
        <f>(O36*R36+U36)*$AA$16</f>
        <v>0</v>
      </c>
      <c r="AB36" s="257">
        <f>(P36*T36+V36)*$AA$16</f>
        <v>0</v>
      </c>
      <c r="AC36" s="259">
        <v>2.5</v>
      </c>
      <c r="AD36" s="260">
        <f t="shared" si="39"/>
        <v>27792.484895671132</v>
      </c>
      <c r="AE36" s="260">
        <f t="shared" si="40"/>
        <v>0</v>
      </c>
      <c r="AF36" s="261">
        <f>AD36*$AF$16</f>
        <v>4117.4051697290561</v>
      </c>
      <c r="AG36" s="262"/>
      <c r="AH36" s="261">
        <f>AD36+AF36</f>
        <v>31909.890065400188</v>
      </c>
      <c r="AI36" s="261"/>
      <c r="AJ36" s="261">
        <f>AH36*$AJ$16</f>
        <v>9796.3362500778585</v>
      </c>
      <c r="AK36" s="261"/>
      <c r="AL36" s="261">
        <f>AH36+AJ36</f>
        <v>41706.226315478045</v>
      </c>
      <c r="AM36" s="263"/>
      <c r="AN36" s="264">
        <v>13.8</v>
      </c>
      <c r="AO36" s="256">
        <f>'Исходные данные'!$C$55</f>
        <v>0.84</v>
      </c>
      <c r="AP36" s="254">
        <f>(G36*AN36)*AO36/100</f>
        <v>17.387999999999998</v>
      </c>
      <c r="AQ36" s="265" t="s">
        <v>152</v>
      </c>
      <c r="AR36" s="256">
        <f>'Исходные данные'!$E$80</f>
        <v>9477.4514285714286</v>
      </c>
      <c r="AS36" s="266">
        <f>AP36*AR36</f>
        <v>164793.92543999999</v>
      </c>
      <c r="AT36" s="272"/>
      <c r="AU36" s="227"/>
      <c r="AV36" s="227"/>
      <c r="AW36" s="227"/>
      <c r="AX36" s="227"/>
      <c r="AY36" s="227"/>
      <c r="AZ36" s="227"/>
      <c r="BA36" s="227"/>
      <c r="BB36" s="227"/>
      <c r="BC36" s="227"/>
      <c r="BD36" s="227"/>
      <c r="BE36" s="227"/>
      <c r="BF36" s="229"/>
      <c r="BG36" s="227"/>
      <c r="BH36" s="227"/>
      <c r="BI36" s="227"/>
      <c r="BJ36" s="227">
        <f>аморт!$G$11</f>
        <v>181.91312849162011</v>
      </c>
      <c r="BK36" s="227">
        <f>BJ36*L36*$O$16</f>
        <v>8383.2435965579225</v>
      </c>
      <c r="BL36" s="277">
        <f>аморт!$G$64</f>
        <v>107.93684523809524</v>
      </c>
      <c r="BM36" s="227">
        <f>BL36*L36</f>
        <v>622.71256868131866</v>
      </c>
      <c r="BN36" s="268">
        <f>'Исходные данные'!$B$84</f>
        <v>99.992314269119987</v>
      </c>
      <c r="BO36" s="227">
        <f>BN36*BY36</f>
        <v>8653.1810425199983</v>
      </c>
      <c r="BP36" s="268">
        <f>'Исходные данные'!$B$89</f>
        <v>8.0425991068799991</v>
      </c>
      <c r="BQ36" s="227">
        <f>BP36*BY36</f>
        <v>695.99415347999991</v>
      </c>
      <c r="BR36" s="268">
        <f>'Исходные данные'!$B$94</f>
        <v>11.043568922879997</v>
      </c>
      <c r="BS36" s="227">
        <f>BR36*BY36</f>
        <v>955.69346447999965</v>
      </c>
      <c r="BT36" s="227">
        <f>аморт!$C$64*10%/аморт!$F$64*L36*$O$16</f>
        <v>3481.8960672298349</v>
      </c>
      <c r="BU36" s="227">
        <f t="shared" si="41"/>
        <v>229292.87264842709</v>
      </c>
      <c r="BV36" s="227">
        <f t="shared" si="8"/>
        <v>764.30957549475693</v>
      </c>
      <c r="BW36" s="268">
        <f t="shared" ref="BW36" si="45">(O36+P36)/G36</f>
        <v>0.30722516350046714</v>
      </c>
      <c r="BX36" s="268">
        <f>'Исходные данные'!$B$110</f>
        <v>15</v>
      </c>
      <c r="BY36" s="269">
        <f>BX36*L36</f>
        <v>86.538461538461533</v>
      </c>
    </row>
    <row r="37" spans="1:77" s="238" customFormat="1" x14ac:dyDescent="0.2">
      <c r="A37" s="236"/>
      <c r="B37" s="354" t="s">
        <v>21</v>
      </c>
      <c r="C37" s="354"/>
      <c r="D37" s="354"/>
      <c r="E37" s="354"/>
      <c r="F37" s="236"/>
      <c r="G37" s="237"/>
      <c r="H37" s="239"/>
      <c r="I37" s="239"/>
      <c r="J37" s="279">
        <f>SUM(J36)</f>
        <v>14</v>
      </c>
      <c r="K37" s="279"/>
      <c r="L37" s="279">
        <f t="shared" ref="L37:BW37" si="46">SUM(L36)</f>
        <v>5.7692307692307692</v>
      </c>
      <c r="M37" s="279">
        <f>M36</f>
        <v>0.41208791208791207</v>
      </c>
      <c r="N37" s="279">
        <f>N36</f>
        <v>0</v>
      </c>
      <c r="O37" s="279">
        <f>SUM(O36)</f>
        <v>46.083774525070069</v>
      </c>
      <c r="P37" s="279">
        <f>SUM(P36)</f>
        <v>0</v>
      </c>
      <c r="Q37" s="279"/>
      <c r="R37" s="279"/>
      <c r="S37" s="279"/>
      <c r="T37" s="280"/>
      <c r="U37" s="281">
        <v>0</v>
      </c>
      <c r="V37" s="281">
        <v>0</v>
      </c>
      <c r="W37" s="279">
        <f t="shared" si="46"/>
        <v>0</v>
      </c>
      <c r="X37" s="279">
        <f t="shared" si="46"/>
        <v>0</v>
      </c>
      <c r="Y37" s="279">
        <f t="shared" si="46"/>
        <v>1010.6358143880412</v>
      </c>
      <c r="Z37" s="279">
        <f t="shared" si="46"/>
        <v>0</v>
      </c>
      <c r="AA37" s="279">
        <f t="shared" si="46"/>
        <v>0</v>
      </c>
      <c r="AB37" s="279">
        <f t="shared" si="46"/>
        <v>0</v>
      </c>
      <c r="AC37" s="282"/>
      <c r="AD37" s="283">
        <f t="shared" si="46"/>
        <v>27792.484895671132</v>
      </c>
      <c r="AE37" s="283">
        <f t="shared" si="46"/>
        <v>0</v>
      </c>
      <c r="AF37" s="282">
        <f t="shared" si="46"/>
        <v>4117.4051697290561</v>
      </c>
      <c r="AG37" s="282">
        <f t="shared" si="46"/>
        <v>0</v>
      </c>
      <c r="AH37" s="282">
        <f t="shared" si="46"/>
        <v>31909.890065400188</v>
      </c>
      <c r="AI37" s="282">
        <f t="shared" si="46"/>
        <v>0</v>
      </c>
      <c r="AJ37" s="282">
        <f t="shared" si="46"/>
        <v>9796.3362500778585</v>
      </c>
      <c r="AK37" s="282">
        <f t="shared" si="46"/>
        <v>0</v>
      </c>
      <c r="AL37" s="282">
        <f t="shared" si="46"/>
        <v>41706.226315478045</v>
      </c>
      <c r="AM37" s="284">
        <f t="shared" si="46"/>
        <v>0</v>
      </c>
      <c r="AN37" s="285"/>
      <c r="AO37" s="279"/>
      <c r="AP37" s="279">
        <f t="shared" si="46"/>
        <v>17.387999999999998</v>
      </c>
      <c r="AQ37" s="279"/>
      <c r="AR37" s="279"/>
      <c r="AS37" s="286">
        <f t="shared" si="46"/>
        <v>164793.92543999999</v>
      </c>
      <c r="AT37" s="284">
        <f t="shared" si="46"/>
        <v>0</v>
      </c>
      <c r="AU37" s="284">
        <f t="shared" si="46"/>
        <v>0</v>
      </c>
      <c r="AV37" s="284">
        <f t="shared" si="46"/>
        <v>0</v>
      </c>
      <c r="AW37" s="284">
        <f t="shared" si="46"/>
        <v>0</v>
      </c>
      <c r="AX37" s="284">
        <f t="shared" si="46"/>
        <v>0</v>
      </c>
      <c r="AY37" s="284">
        <f t="shared" si="46"/>
        <v>0</v>
      </c>
      <c r="AZ37" s="284">
        <f t="shared" si="46"/>
        <v>0</v>
      </c>
      <c r="BA37" s="284">
        <f t="shared" si="46"/>
        <v>0</v>
      </c>
      <c r="BB37" s="284">
        <f t="shared" si="46"/>
        <v>0</v>
      </c>
      <c r="BC37" s="284">
        <f t="shared" si="46"/>
        <v>0</v>
      </c>
      <c r="BD37" s="284">
        <f t="shared" si="46"/>
        <v>0</v>
      </c>
      <c r="BE37" s="284">
        <f t="shared" si="46"/>
        <v>0</v>
      </c>
      <c r="BF37" s="284">
        <f t="shared" si="46"/>
        <v>0</v>
      </c>
      <c r="BG37" s="284">
        <f t="shared" si="46"/>
        <v>0</v>
      </c>
      <c r="BH37" s="284">
        <f t="shared" si="46"/>
        <v>0</v>
      </c>
      <c r="BI37" s="284">
        <f t="shared" si="46"/>
        <v>0</v>
      </c>
      <c r="BJ37" s="284">
        <f t="shared" si="46"/>
        <v>181.91312849162011</v>
      </c>
      <c r="BK37" s="284">
        <f t="shared" si="46"/>
        <v>8383.2435965579225</v>
      </c>
      <c r="BL37" s="284">
        <f t="shared" si="46"/>
        <v>107.93684523809524</v>
      </c>
      <c r="BM37" s="284">
        <f t="shared" si="46"/>
        <v>622.71256868131866</v>
      </c>
      <c r="BN37" s="284"/>
      <c r="BO37" s="284">
        <f t="shared" ref="BO37:BT37" si="47">SUM(BO36)</f>
        <v>8653.1810425199983</v>
      </c>
      <c r="BP37" s="284"/>
      <c r="BQ37" s="284">
        <f t="shared" si="47"/>
        <v>695.99415347999991</v>
      </c>
      <c r="BR37" s="284"/>
      <c r="BS37" s="284">
        <f t="shared" si="47"/>
        <v>955.69346447999965</v>
      </c>
      <c r="BT37" s="284">
        <f t="shared" si="47"/>
        <v>3481.8960672298349</v>
      </c>
      <c r="BU37" s="284">
        <f t="shared" si="46"/>
        <v>229292.87264842709</v>
      </c>
      <c r="BV37" s="284">
        <f t="shared" si="46"/>
        <v>764.30957549475693</v>
      </c>
      <c r="BW37" s="284">
        <f t="shared" si="46"/>
        <v>0.30722516350046714</v>
      </c>
      <c r="BX37" s="284"/>
      <c r="BY37" s="279">
        <f t="shared" ref="BY37" si="48">SUM(BY36)</f>
        <v>86.538461538461533</v>
      </c>
    </row>
    <row r="38" spans="1:77" s="241" customFormat="1" x14ac:dyDescent="0.2">
      <c r="A38" s="240"/>
      <c r="B38" s="495" t="s">
        <v>526</v>
      </c>
      <c r="C38" s="495"/>
      <c r="D38" s="495"/>
      <c r="E38" s="495"/>
      <c r="F38" s="240"/>
      <c r="G38" s="242"/>
      <c r="H38" s="303"/>
      <c r="I38" s="303"/>
      <c r="J38" s="297"/>
      <c r="K38" s="297"/>
      <c r="L38" s="297"/>
      <c r="M38" s="297"/>
      <c r="N38" s="297"/>
      <c r="O38" s="297"/>
      <c r="P38" s="297"/>
      <c r="Q38" s="297"/>
      <c r="R38" s="297"/>
      <c r="S38" s="297"/>
      <c r="T38" s="243"/>
      <c r="U38" s="304">
        <v>0</v>
      </c>
      <c r="V38" s="304">
        <v>0</v>
      </c>
      <c r="W38" s="297"/>
      <c r="X38" s="297"/>
      <c r="Y38" s="304">
        <f t="shared" ref="Y38:Y39" si="49">(O38*R38+U38+W38)*$Y$16</f>
        <v>0</v>
      </c>
      <c r="Z38" s="305">
        <f t="shared" ref="Z38:Z39" si="50">(P38*T38+V38+X38)*$Z$16</f>
        <v>0</v>
      </c>
      <c r="AA38" s="297"/>
      <c r="AB38" s="297"/>
      <c r="AC38" s="306"/>
      <c r="AD38" s="313">
        <f t="shared" ref="AD38:AD39" si="51">(O38*R38+U38+W38+Y38+AA38)*AC38</f>
        <v>0</v>
      </c>
      <c r="AE38" s="313">
        <f t="shared" ref="AE38:AE39" si="52">(P38*T38+V38+X38+Z38+AB38)*AC38</f>
        <v>0</v>
      </c>
      <c r="AF38" s="306"/>
      <c r="AG38" s="306"/>
      <c r="AH38" s="306"/>
      <c r="AI38" s="306"/>
      <c r="AJ38" s="306"/>
      <c r="AK38" s="306"/>
      <c r="AL38" s="306"/>
      <c r="AM38" s="308"/>
      <c r="AN38" s="309"/>
      <c r="AO38" s="297"/>
      <c r="AP38" s="297"/>
      <c r="AQ38" s="297"/>
      <c r="AR38" s="297"/>
      <c r="AS38" s="301"/>
      <c r="AT38" s="310"/>
      <c r="AU38" s="300"/>
      <c r="AV38" s="300"/>
      <c r="AW38" s="300"/>
      <c r="AX38" s="300"/>
      <c r="AY38" s="300"/>
      <c r="AZ38" s="300"/>
      <c r="BA38" s="300"/>
      <c r="BB38" s="300"/>
      <c r="BC38" s="300"/>
      <c r="BD38" s="300"/>
      <c r="BE38" s="300"/>
      <c r="BF38" s="242"/>
      <c r="BG38" s="300"/>
      <c r="BH38" s="300"/>
      <c r="BI38" s="300"/>
      <c r="BJ38" s="300"/>
      <c r="BK38" s="300"/>
      <c r="BL38" s="300"/>
      <c r="BM38" s="300"/>
      <c r="BN38" s="300"/>
      <c r="BO38" s="300"/>
      <c r="BP38" s="300"/>
      <c r="BQ38" s="300"/>
      <c r="BR38" s="300"/>
      <c r="BS38" s="300"/>
      <c r="BT38" s="300"/>
      <c r="BU38" s="311"/>
      <c r="BV38" s="311"/>
      <c r="BW38" s="312"/>
      <c r="BX38" s="300"/>
      <c r="BY38" s="242"/>
    </row>
    <row r="39" spans="1:77" x14ac:dyDescent="0.2">
      <c r="A39" s="206" t="s">
        <v>556</v>
      </c>
      <c r="B39" s="201" t="s">
        <v>527</v>
      </c>
      <c r="C39" s="201"/>
      <c r="D39" s="489" t="s">
        <v>118</v>
      </c>
      <c r="E39" s="489"/>
      <c r="F39" s="206" t="s">
        <v>557</v>
      </c>
      <c r="G39" s="275">
        <f>J39</f>
        <v>83</v>
      </c>
      <c r="H39" s="232">
        <v>43617</v>
      </c>
      <c r="I39" s="232">
        <v>43700</v>
      </c>
      <c r="J39" s="254">
        <f t="shared" ref="J39" si="53">I39-H39</f>
        <v>83</v>
      </c>
      <c r="K39" s="255">
        <v>1</v>
      </c>
      <c r="L39" s="256">
        <f t="shared" ref="L39" si="54">G39/K39</f>
        <v>83</v>
      </c>
      <c r="M39" s="229"/>
      <c r="N39" s="257">
        <f t="shared" ref="N39" si="55">L39/J39</f>
        <v>1</v>
      </c>
      <c r="O39" s="256">
        <f>IF(M39=0,0,L39*$O$16)</f>
        <v>0</v>
      </c>
      <c r="P39" s="256">
        <f>IF(N39=0,0,L39*$O$16)</f>
        <v>662.9919028340081</v>
      </c>
      <c r="Q39" s="229"/>
      <c r="R39" s="254"/>
      <c r="S39" s="229">
        <v>1</v>
      </c>
      <c r="T39" s="230">
        <f>IF(AND(P39&gt;0,S39&gt;0),SUMIF('Исходные данные'!$C$14:$H$14,S39,'Исходные данные'!$C$34:$H$34),IF(P39=0,0,IF(S39=0,"РОТ")))</f>
        <v>98.785605676634574</v>
      </c>
      <c r="U39" s="258">
        <v>0</v>
      </c>
      <c r="V39" s="258">
        <v>0</v>
      </c>
      <c r="W39" s="258">
        <f>O39*R39*$W$16</f>
        <v>0</v>
      </c>
      <c r="X39" s="257">
        <f>P39*T39*$W$16</f>
        <v>0</v>
      </c>
      <c r="Y39" s="258">
        <f t="shared" si="49"/>
        <v>0</v>
      </c>
      <c r="Z39" s="257">
        <f t="shared" si="50"/>
        <v>3274.7028340080979</v>
      </c>
      <c r="AA39" s="258">
        <f>(O39*R39+U39)*$AA$16</f>
        <v>0</v>
      </c>
      <c r="AB39" s="257">
        <f>(P39*T39+V39)*$AA$16</f>
        <v>0</v>
      </c>
      <c r="AC39" s="259">
        <v>2.5</v>
      </c>
      <c r="AD39" s="260">
        <f t="shared" si="51"/>
        <v>0</v>
      </c>
      <c r="AE39" s="260">
        <f t="shared" si="52"/>
        <v>171921.89878542512</v>
      </c>
      <c r="AF39" s="261">
        <f>AD39*$AF$16</f>
        <v>0</v>
      </c>
      <c r="AG39" s="262">
        <f>AE39*$AF$16</f>
        <v>25469.91093117409</v>
      </c>
      <c r="AH39" s="261"/>
      <c r="AI39" s="262">
        <f>AE39+AG39</f>
        <v>197391.80971659921</v>
      </c>
      <c r="AJ39" s="261"/>
      <c r="AK39" s="262">
        <f>AI39*$AJ$16</f>
        <v>60599.285582995959</v>
      </c>
      <c r="AL39" s="261"/>
      <c r="AM39" s="270">
        <f>AK39+AI39</f>
        <v>257991.09529959515</v>
      </c>
      <c r="AN39" s="264">
        <v>2.5</v>
      </c>
      <c r="AO39" s="229"/>
      <c r="AP39" s="254"/>
      <c r="AQ39" s="229"/>
      <c r="AR39" s="229"/>
      <c r="AS39" s="266"/>
      <c r="AT39" s="267"/>
      <c r="AU39" s="227"/>
      <c r="AV39" s="227"/>
      <c r="AW39" s="227"/>
      <c r="AX39" s="227"/>
      <c r="AY39" s="227"/>
      <c r="AZ39" s="227"/>
      <c r="BA39" s="227"/>
      <c r="BB39" s="227"/>
      <c r="BC39" s="227"/>
      <c r="BD39" s="227"/>
      <c r="BE39" s="227"/>
      <c r="BF39" s="229"/>
      <c r="BG39" s="227"/>
      <c r="BH39" s="227"/>
      <c r="BI39" s="227"/>
      <c r="BJ39" s="227"/>
      <c r="BK39" s="227"/>
      <c r="BL39" s="277"/>
      <c r="BM39" s="227"/>
      <c r="BN39" s="227"/>
      <c r="BO39" s="227"/>
      <c r="BP39" s="227"/>
      <c r="BQ39" s="227"/>
      <c r="BR39" s="227"/>
      <c r="BS39" s="227"/>
      <c r="BT39" s="227"/>
      <c r="BU39" s="227">
        <f t="shared" ref="BU39" si="56">AL39+AM39+AS39+AW39+BA39+BE39+BI39+BK39+BM39+BO39+BQ39+BS39+BT39</f>
        <v>257991.09529959515</v>
      </c>
      <c r="BV39" s="227">
        <f t="shared" si="8"/>
        <v>859.97031766531722</v>
      </c>
      <c r="BW39" s="268">
        <f t="shared" ref="BW39" si="57">(O39+P39)/G39</f>
        <v>7.9878542510121457</v>
      </c>
      <c r="BX39" s="268"/>
      <c r="BY39" s="269"/>
    </row>
    <row r="40" spans="1:77" s="238" customFormat="1" x14ac:dyDescent="0.2">
      <c r="A40" s="236"/>
      <c r="B40" s="354" t="s">
        <v>21</v>
      </c>
      <c r="C40" s="354"/>
      <c r="D40" s="354"/>
      <c r="E40" s="354"/>
      <c r="F40" s="236"/>
      <c r="G40" s="237"/>
      <c r="H40" s="239"/>
      <c r="I40" s="239"/>
      <c r="J40" s="279">
        <f>SUM(J39)</f>
        <v>83</v>
      </c>
      <c r="K40" s="279"/>
      <c r="L40" s="279">
        <f>SUM(L39)</f>
        <v>83</v>
      </c>
      <c r="M40" s="279">
        <f>M39</f>
        <v>0</v>
      </c>
      <c r="N40" s="279">
        <v>1</v>
      </c>
      <c r="O40" s="279">
        <f>SUM(O39)</f>
        <v>0</v>
      </c>
      <c r="P40" s="279">
        <f>SUM(P39)</f>
        <v>662.9919028340081</v>
      </c>
      <c r="Q40" s="279"/>
      <c r="R40" s="279"/>
      <c r="S40" s="279"/>
      <c r="T40" s="279"/>
      <c r="U40" s="281">
        <v>0</v>
      </c>
      <c r="V40" s="281">
        <v>0</v>
      </c>
      <c r="W40" s="279">
        <f t="shared" ref="W40:AM40" si="58">SUM(W39)</f>
        <v>0</v>
      </c>
      <c r="X40" s="279">
        <f t="shared" si="58"/>
        <v>0</v>
      </c>
      <c r="Y40" s="279">
        <f t="shared" si="58"/>
        <v>0</v>
      </c>
      <c r="Z40" s="279">
        <f t="shared" si="58"/>
        <v>3274.7028340080979</v>
      </c>
      <c r="AA40" s="279">
        <f t="shared" si="58"/>
        <v>0</v>
      </c>
      <c r="AB40" s="279">
        <f t="shared" si="58"/>
        <v>0</v>
      </c>
      <c r="AC40" s="282"/>
      <c r="AD40" s="283">
        <f t="shared" si="58"/>
        <v>0</v>
      </c>
      <c r="AE40" s="283">
        <f t="shared" si="58"/>
        <v>171921.89878542512</v>
      </c>
      <c r="AF40" s="282">
        <f t="shared" si="58"/>
        <v>0</v>
      </c>
      <c r="AG40" s="282">
        <f t="shared" si="58"/>
        <v>25469.91093117409</v>
      </c>
      <c r="AH40" s="282">
        <f t="shared" si="58"/>
        <v>0</v>
      </c>
      <c r="AI40" s="282">
        <f t="shared" si="58"/>
        <v>197391.80971659921</v>
      </c>
      <c r="AJ40" s="282">
        <f t="shared" si="58"/>
        <v>0</v>
      </c>
      <c r="AK40" s="282">
        <f t="shared" si="58"/>
        <v>60599.285582995959</v>
      </c>
      <c r="AL40" s="282">
        <f t="shared" si="58"/>
        <v>0</v>
      </c>
      <c r="AM40" s="284">
        <f t="shared" si="58"/>
        <v>257991.09529959515</v>
      </c>
      <c r="AN40" s="285"/>
      <c r="AO40" s="279"/>
      <c r="AP40" s="279">
        <f>SUM(AP39)</f>
        <v>0</v>
      </c>
      <c r="AQ40" s="279"/>
      <c r="AR40" s="279"/>
      <c r="AS40" s="286">
        <f>SUM(AS39)</f>
        <v>0</v>
      </c>
      <c r="AT40" s="284">
        <f>SUM(AT39)</f>
        <v>0</v>
      </c>
      <c r="AU40" s="284">
        <f t="shared" ref="AU40:BW40" si="59">SUM(AU39)</f>
        <v>0</v>
      </c>
      <c r="AV40" s="284">
        <f t="shared" si="59"/>
        <v>0</v>
      </c>
      <c r="AW40" s="284">
        <f t="shared" si="59"/>
        <v>0</v>
      </c>
      <c r="AX40" s="284">
        <f t="shared" si="59"/>
        <v>0</v>
      </c>
      <c r="AY40" s="284">
        <f t="shared" si="59"/>
        <v>0</v>
      </c>
      <c r="AZ40" s="284">
        <f t="shared" si="59"/>
        <v>0</v>
      </c>
      <c r="BA40" s="284">
        <f t="shared" si="59"/>
        <v>0</v>
      </c>
      <c r="BB40" s="284">
        <f t="shared" si="59"/>
        <v>0</v>
      </c>
      <c r="BC40" s="284">
        <f t="shared" si="59"/>
        <v>0</v>
      </c>
      <c r="BD40" s="284">
        <f t="shared" si="59"/>
        <v>0</v>
      </c>
      <c r="BE40" s="284">
        <f t="shared" si="59"/>
        <v>0</v>
      </c>
      <c r="BF40" s="284">
        <f t="shared" si="59"/>
        <v>0</v>
      </c>
      <c r="BG40" s="284">
        <f t="shared" si="59"/>
        <v>0</v>
      </c>
      <c r="BH40" s="284">
        <f t="shared" si="59"/>
        <v>0</v>
      </c>
      <c r="BI40" s="284">
        <f t="shared" si="59"/>
        <v>0</v>
      </c>
      <c r="BJ40" s="284">
        <f t="shared" si="59"/>
        <v>0</v>
      </c>
      <c r="BK40" s="284">
        <f t="shared" si="59"/>
        <v>0</v>
      </c>
      <c r="BL40" s="284">
        <f t="shared" si="59"/>
        <v>0</v>
      </c>
      <c r="BM40" s="284">
        <f t="shared" si="59"/>
        <v>0</v>
      </c>
      <c r="BN40" s="284"/>
      <c r="BO40" s="284">
        <f>SUM(BO39)</f>
        <v>0</v>
      </c>
      <c r="BP40" s="284"/>
      <c r="BQ40" s="284">
        <f>SUM(BQ39)</f>
        <v>0</v>
      </c>
      <c r="BR40" s="284"/>
      <c r="BS40" s="284">
        <f>SUM(BS39)</f>
        <v>0</v>
      </c>
      <c r="BT40" s="284">
        <f>SUM(BT39)</f>
        <v>0</v>
      </c>
      <c r="BU40" s="284">
        <f t="shared" si="59"/>
        <v>257991.09529959515</v>
      </c>
      <c r="BV40" s="284">
        <f t="shared" si="59"/>
        <v>859.97031766531722</v>
      </c>
      <c r="BW40" s="284">
        <f t="shared" si="59"/>
        <v>7.9878542510121457</v>
      </c>
      <c r="BX40" s="284"/>
      <c r="BY40" s="279">
        <f>SUM(BY39)</f>
        <v>0</v>
      </c>
    </row>
    <row r="41" spans="1:77" s="295" customFormat="1" ht="12" thickBot="1" x14ac:dyDescent="0.25">
      <c r="A41" s="287"/>
      <c r="B41" s="355" t="s">
        <v>29</v>
      </c>
      <c r="C41" s="355"/>
      <c r="D41" s="355"/>
      <c r="E41" s="355"/>
      <c r="F41" s="287"/>
      <c r="G41" s="288"/>
      <c r="H41" s="288"/>
      <c r="I41" s="288"/>
      <c r="J41" s="289">
        <f>J27+J34+J37+J40</f>
        <v>172</v>
      </c>
      <c r="K41" s="289"/>
      <c r="L41" s="289">
        <f>L27+L34+L37+L40</f>
        <v>278.40398283221816</v>
      </c>
      <c r="M41" s="289">
        <f>M27+M34+M37+M40</f>
        <v>12.989743892170363</v>
      </c>
      <c r="N41" s="289">
        <f>N27+N34+N37+N40</f>
        <v>30.154826986076984</v>
      </c>
      <c r="O41" s="289">
        <f>O27+O34+O37+O40</f>
        <v>527.92103629880239</v>
      </c>
      <c r="P41" s="289">
        <f>P27+P34+P37+P40</f>
        <v>1903.8007148849256</v>
      </c>
      <c r="Q41" s="289"/>
      <c r="R41" s="289"/>
      <c r="S41" s="289"/>
      <c r="T41" s="289"/>
      <c r="U41" s="289">
        <f t="shared" ref="U41:AB41" si="60">U27+U34+U37+U40</f>
        <v>0</v>
      </c>
      <c r="V41" s="289">
        <f t="shared" si="60"/>
        <v>0</v>
      </c>
      <c r="W41" s="289">
        <f t="shared" si="60"/>
        <v>0</v>
      </c>
      <c r="X41" s="289">
        <f t="shared" si="60"/>
        <v>0</v>
      </c>
      <c r="Y41" s="289">
        <f t="shared" si="60"/>
        <v>10043.729279874824</v>
      </c>
      <c r="Z41" s="289">
        <f t="shared" si="60"/>
        <v>9905.7862659371931</v>
      </c>
      <c r="AA41" s="289">
        <f t="shared" si="60"/>
        <v>0</v>
      </c>
      <c r="AB41" s="289">
        <f t="shared" si="60"/>
        <v>0</v>
      </c>
      <c r="AC41" s="283"/>
      <c r="AD41" s="283">
        <f t="shared" ref="AD41:AM41" si="61">AD27+AD34+AD37+AD40</f>
        <v>276202.55519655766</v>
      </c>
      <c r="AE41" s="283">
        <f t="shared" si="61"/>
        <v>520053.77896170266</v>
      </c>
      <c r="AF41" s="283">
        <f t="shared" si="61"/>
        <v>40918.897066156685</v>
      </c>
      <c r="AG41" s="283">
        <f t="shared" si="61"/>
        <v>77045.004290622615</v>
      </c>
      <c r="AH41" s="283">
        <f t="shared" si="61"/>
        <v>317121.45226271433</v>
      </c>
      <c r="AI41" s="283">
        <f t="shared" si="61"/>
        <v>597098.78325232526</v>
      </c>
      <c r="AJ41" s="283">
        <f t="shared" si="61"/>
        <v>97356.285844653321</v>
      </c>
      <c r="AK41" s="283">
        <f t="shared" si="61"/>
        <v>183309.32645846385</v>
      </c>
      <c r="AL41" s="283">
        <f>AL27+AL34+AL37+AL40</f>
        <v>414477.73810736765</v>
      </c>
      <c r="AM41" s="290">
        <f t="shared" si="61"/>
        <v>780408.10971078905</v>
      </c>
      <c r="AN41" s="291"/>
      <c r="AO41" s="292"/>
      <c r="AP41" s="292">
        <f>AP27+AP34+AP37+AP40</f>
        <v>62.526517199999994</v>
      </c>
      <c r="AQ41" s="292"/>
      <c r="AR41" s="292"/>
      <c r="AS41" s="293">
        <f>AS27+AS34+AS37+AS40</f>
        <v>592945.47500976</v>
      </c>
      <c r="AT41" s="294">
        <f>AT27+AT34+AT37+AT40</f>
        <v>1.5</v>
      </c>
      <c r="AU41" s="294">
        <f t="shared" ref="AU41:BW41" si="62">AU27+AU34+AU37+AU40</f>
        <v>22.5</v>
      </c>
      <c r="AV41" s="294">
        <f t="shared" si="62"/>
        <v>40</v>
      </c>
      <c r="AW41" s="294">
        <f t="shared" si="62"/>
        <v>900000</v>
      </c>
      <c r="AX41" s="294">
        <f t="shared" si="62"/>
        <v>2.5</v>
      </c>
      <c r="AY41" s="294">
        <f t="shared" si="62"/>
        <v>37.5</v>
      </c>
      <c r="AZ41" s="294">
        <f t="shared" si="62"/>
        <v>33.700000000000003</v>
      </c>
      <c r="BA41" s="294">
        <f t="shared" si="62"/>
        <v>1263750</v>
      </c>
      <c r="BB41" s="294">
        <f t="shared" si="62"/>
        <v>0.75</v>
      </c>
      <c r="BC41" s="294">
        <f t="shared" si="62"/>
        <v>112.5</v>
      </c>
      <c r="BD41" s="294">
        <f t="shared" si="62"/>
        <v>3500</v>
      </c>
      <c r="BE41" s="294">
        <f t="shared" si="62"/>
        <v>393750</v>
      </c>
      <c r="BF41" s="294">
        <f t="shared" si="62"/>
        <v>4</v>
      </c>
      <c r="BG41" s="294">
        <f t="shared" si="62"/>
        <v>113.27999999999999</v>
      </c>
      <c r="BH41" s="294">
        <f t="shared" si="62"/>
        <v>5.07</v>
      </c>
      <c r="BI41" s="294">
        <f t="shared" si="62"/>
        <v>574.32959999999991</v>
      </c>
      <c r="BJ41" s="294">
        <f t="shared" si="62"/>
        <v>1885.1333248687997</v>
      </c>
      <c r="BK41" s="294">
        <f t="shared" si="62"/>
        <v>250431.79124404746</v>
      </c>
      <c r="BL41" s="294">
        <f t="shared" si="62"/>
        <v>507.56169432001616</v>
      </c>
      <c r="BM41" s="294">
        <f t="shared" si="62"/>
        <v>4258.8422889383137</v>
      </c>
      <c r="BN41" s="294"/>
      <c r="BO41" s="294">
        <f>BO27+BO34+BO37+BO40</f>
        <v>50071.241166016873</v>
      </c>
      <c r="BP41" s="294"/>
      <c r="BQ41" s="294">
        <f>BQ27+BQ34+BQ37+BQ40</f>
        <v>3981.1054541955336</v>
      </c>
      <c r="BR41" s="294"/>
      <c r="BS41" s="294">
        <f>BS27+BS34+BS37+BS40</f>
        <v>4101.5935314486587</v>
      </c>
      <c r="BT41" s="294">
        <f>BT27+BT34+BT37+BT40</f>
        <v>32093.986141991361</v>
      </c>
      <c r="BU41" s="294">
        <f t="shared" si="62"/>
        <v>4690844.212254555</v>
      </c>
      <c r="BV41" s="294">
        <f t="shared" si="62"/>
        <v>15636.147374181848</v>
      </c>
      <c r="BW41" s="294">
        <f t="shared" si="62"/>
        <v>41.806861368786826</v>
      </c>
      <c r="BX41" s="294"/>
      <c r="BY41" s="289">
        <f>BY27+BY34+BY37+BY40</f>
        <v>409.46800503153446</v>
      </c>
    </row>
    <row r="42" spans="1:77" x14ac:dyDescent="0.2">
      <c r="AP42" s="225"/>
    </row>
    <row r="43" spans="1:77" x14ac:dyDescent="0.2">
      <c r="AG43" s="276"/>
      <c r="AH43" s="276"/>
    </row>
    <row r="45" spans="1:77" x14ac:dyDescent="0.2">
      <c r="AU45" s="224">
        <f>AT26*D7</f>
        <v>225</v>
      </c>
    </row>
    <row r="46" spans="1:77" x14ac:dyDescent="0.2">
      <c r="AC46" s="223">
        <v>0.14942528735632182</v>
      </c>
    </row>
    <row r="49" spans="26:26" x14ac:dyDescent="0.2">
      <c r="Z49" s="223">
        <f>AD41/O41</f>
        <v>523.18914421934016</v>
      </c>
    </row>
  </sheetData>
  <mergeCells count="130">
    <mergeCell ref="P1:R1"/>
    <mergeCell ref="P3:R3"/>
    <mergeCell ref="P4:V4"/>
    <mergeCell ref="P5:V5"/>
    <mergeCell ref="A14:A18"/>
    <mergeCell ref="B14:E15"/>
    <mergeCell ref="F14:F18"/>
    <mergeCell ref="G14:G18"/>
    <mergeCell ref="H14:I15"/>
    <mergeCell ref="J14:J18"/>
    <mergeCell ref="B16:B18"/>
    <mergeCell ref="C16:E16"/>
    <mergeCell ref="H16:H18"/>
    <mergeCell ref="I16:I18"/>
    <mergeCell ref="M16:M18"/>
    <mergeCell ref="N16:N18"/>
    <mergeCell ref="C17:C18"/>
    <mergeCell ref="D17:D18"/>
    <mergeCell ref="E17:E18"/>
    <mergeCell ref="O17:O18"/>
    <mergeCell ref="P17:P18"/>
    <mergeCell ref="Q17:Q18"/>
    <mergeCell ref="R17:R18"/>
    <mergeCell ref="K14:K18"/>
    <mergeCell ref="BW14:BW18"/>
    <mergeCell ref="BX14:BY15"/>
    <mergeCell ref="BF16:BF18"/>
    <mergeCell ref="BG16:BG18"/>
    <mergeCell ref="BH16:BH18"/>
    <mergeCell ref="BI16:BI18"/>
    <mergeCell ref="AJ14:AK15"/>
    <mergeCell ref="AL14:AM15"/>
    <mergeCell ref="AN14:AS15"/>
    <mergeCell ref="AT14:AW15"/>
    <mergeCell ref="AX14:BA15"/>
    <mergeCell ref="BB14:BE15"/>
    <mergeCell ref="BF14:BI15"/>
    <mergeCell ref="BJ14:BM15"/>
    <mergeCell ref="BN14:BT15"/>
    <mergeCell ref="AR16:AR18"/>
    <mergeCell ref="AS16:AS18"/>
    <mergeCell ref="BU16:BU18"/>
    <mergeCell ref="BV16:BV18"/>
    <mergeCell ref="BX16:BX18"/>
    <mergeCell ref="BY16:BY18"/>
    <mergeCell ref="BJ16:BK16"/>
    <mergeCell ref="BL16:BM16"/>
    <mergeCell ref="BE16:BE18"/>
    <mergeCell ref="U14:V15"/>
    <mergeCell ref="O16:P16"/>
    <mergeCell ref="Q16:R16"/>
    <mergeCell ref="S16:T16"/>
    <mergeCell ref="V16:V18"/>
    <mergeCell ref="U16:U18"/>
    <mergeCell ref="S17:S18"/>
    <mergeCell ref="T17:T18"/>
    <mergeCell ref="BU14:BV15"/>
    <mergeCell ref="W14:X15"/>
    <mergeCell ref="Y14:Z15"/>
    <mergeCell ref="AA14:AB15"/>
    <mergeCell ref="AC14:AE15"/>
    <mergeCell ref="AF14:AG15"/>
    <mergeCell ref="AH14:AI15"/>
    <mergeCell ref="W16:X16"/>
    <mergeCell ref="AA16:AB16"/>
    <mergeCell ref="AC16:AC18"/>
    <mergeCell ref="AD16:AD18"/>
    <mergeCell ref="AE16:AE18"/>
    <mergeCell ref="Z17:Z18"/>
    <mergeCell ref="AA17:AA18"/>
    <mergeCell ref="AB17:AB18"/>
    <mergeCell ref="W17:W18"/>
    <mergeCell ref="X17:X18"/>
    <mergeCell ref="Y17:Y18"/>
    <mergeCell ref="AF16:AG16"/>
    <mergeCell ref="AH16:AH18"/>
    <mergeCell ref="AI16:AI18"/>
    <mergeCell ref="BN16:BO16"/>
    <mergeCell ref="BP16:BQ16"/>
    <mergeCell ref="BR16:BS16"/>
    <mergeCell ref="BT16:BT18"/>
    <mergeCell ref="BJ17:BJ18"/>
    <mergeCell ref="BK17:BK18"/>
    <mergeCell ref="BL17:BL18"/>
    <mergeCell ref="BM17:BM18"/>
    <mergeCell ref="AZ16:AZ18"/>
    <mergeCell ref="BA16:BA18"/>
    <mergeCell ref="BB16:BB18"/>
    <mergeCell ref="BC16:BC18"/>
    <mergeCell ref="BN17:BN18"/>
    <mergeCell ref="BO17:BO18"/>
    <mergeCell ref="BP17:BP18"/>
    <mergeCell ref="BQ17:BQ18"/>
    <mergeCell ref="BR17:BR18"/>
    <mergeCell ref="BS17:BS18"/>
    <mergeCell ref="BD16:BD18"/>
    <mergeCell ref="AT16:AT18"/>
    <mergeCell ref="AU16:AU18"/>
    <mergeCell ref="AV16:AV18"/>
    <mergeCell ref="AW16:AW18"/>
    <mergeCell ref="AX16:AX18"/>
    <mergeCell ref="AY16:AY18"/>
    <mergeCell ref="AN16:AN18"/>
    <mergeCell ref="AO16:AO18"/>
    <mergeCell ref="AP16:AP18"/>
    <mergeCell ref="AQ16:AQ18"/>
    <mergeCell ref="AL16:AL18"/>
    <mergeCell ref="AM16:AM18"/>
    <mergeCell ref="AF17:AF18"/>
    <mergeCell ref="D39:E39"/>
    <mergeCell ref="D29:E29"/>
    <mergeCell ref="D31:E31"/>
    <mergeCell ref="D32:E32"/>
    <mergeCell ref="D33:E33"/>
    <mergeCell ref="B35:E35"/>
    <mergeCell ref="B38:E38"/>
    <mergeCell ref="B19:E19"/>
    <mergeCell ref="B20:E20"/>
    <mergeCell ref="D22:E22"/>
    <mergeCell ref="D24:E24"/>
    <mergeCell ref="D25:E25"/>
    <mergeCell ref="B28:E28"/>
    <mergeCell ref="AG17:AG18"/>
    <mergeCell ref="AJ17:AJ18"/>
    <mergeCell ref="AK17:AK18"/>
    <mergeCell ref="AJ16:AK16"/>
    <mergeCell ref="L14:L18"/>
    <mergeCell ref="M14:N15"/>
    <mergeCell ref="O14:P15"/>
    <mergeCell ref="Q14:T15"/>
  </mergeCells>
  <dataValidations count="1">
    <dataValidation type="list" allowBlank="1" showInputMessage="1" showErrorMessage="1" sqref="AQ36 KM36 UI36 AEE36 AOA36 AXW36 BHS36 BRO36 CBK36 CLG36 CVC36 DEY36 DOU36 DYQ36 EIM36 ESI36 FCE36 FMA36 FVW36 GFS36 GPO36 GZK36 HJG36 HTC36 ICY36 IMU36 IWQ36 JGM36 JQI36 KAE36 KKA36 KTW36 LDS36 LNO36 LXK36 MHG36 MRC36 NAY36 NKU36 NUQ36 OEM36 OOI36 OYE36 PIA36 PRW36 QBS36 QLO36 QVK36 RFG36 RPC36 RYY36 SIU36 SSQ36 TCM36 TMI36 TWE36 UGA36 UPW36 UZS36 VJO36 VTK36 WDG36 WNC36 WWY36 AQ65572 KM65572 UI65572 AEE65572 AOA65572 AXW65572 BHS65572 BRO65572 CBK65572 CLG65572 CVC65572 DEY65572 DOU65572 DYQ65572 EIM65572 ESI65572 FCE65572 FMA65572 FVW65572 GFS65572 GPO65572 GZK65572 HJG65572 HTC65572 ICY65572 IMU65572 IWQ65572 JGM65572 JQI65572 KAE65572 KKA65572 KTW65572 LDS65572 LNO65572 LXK65572 MHG65572 MRC65572 NAY65572 NKU65572 NUQ65572 OEM65572 OOI65572 OYE65572 PIA65572 PRW65572 QBS65572 QLO65572 QVK65572 RFG65572 RPC65572 RYY65572 SIU65572 SSQ65572 TCM65572 TMI65572 TWE65572 UGA65572 UPW65572 UZS65572 VJO65572 VTK65572 WDG65572 WNC65572 WWY65572 AQ131108 KM131108 UI131108 AEE131108 AOA131108 AXW131108 BHS131108 BRO131108 CBK131108 CLG131108 CVC131108 DEY131108 DOU131108 DYQ131108 EIM131108 ESI131108 FCE131108 FMA131108 FVW131108 GFS131108 GPO131108 GZK131108 HJG131108 HTC131108 ICY131108 IMU131108 IWQ131108 JGM131108 JQI131108 KAE131108 KKA131108 KTW131108 LDS131108 LNO131108 LXK131108 MHG131108 MRC131108 NAY131108 NKU131108 NUQ131108 OEM131108 OOI131108 OYE131108 PIA131108 PRW131108 QBS131108 QLO131108 QVK131108 RFG131108 RPC131108 RYY131108 SIU131108 SSQ131108 TCM131108 TMI131108 TWE131108 UGA131108 UPW131108 UZS131108 VJO131108 VTK131108 WDG131108 WNC131108 WWY131108 AQ196644 KM196644 UI196644 AEE196644 AOA196644 AXW196644 BHS196644 BRO196644 CBK196644 CLG196644 CVC196644 DEY196644 DOU196644 DYQ196644 EIM196644 ESI196644 FCE196644 FMA196644 FVW196644 GFS196644 GPO196644 GZK196644 HJG196644 HTC196644 ICY196644 IMU196644 IWQ196644 JGM196644 JQI196644 KAE196644 KKA196644 KTW196644 LDS196644 LNO196644 LXK196644 MHG196644 MRC196644 NAY196644 NKU196644 NUQ196644 OEM196644 OOI196644 OYE196644 PIA196644 PRW196644 QBS196644 QLO196644 QVK196644 RFG196644 RPC196644 RYY196644 SIU196644 SSQ196644 TCM196644 TMI196644 TWE196644 UGA196644 UPW196644 UZS196644 VJO196644 VTK196644 WDG196644 WNC196644 WWY196644 AQ262180 KM262180 UI262180 AEE262180 AOA262180 AXW262180 BHS262180 BRO262180 CBK262180 CLG262180 CVC262180 DEY262180 DOU262180 DYQ262180 EIM262180 ESI262180 FCE262180 FMA262180 FVW262180 GFS262180 GPO262180 GZK262180 HJG262180 HTC262180 ICY262180 IMU262180 IWQ262180 JGM262180 JQI262180 KAE262180 KKA262180 KTW262180 LDS262180 LNO262180 LXK262180 MHG262180 MRC262180 NAY262180 NKU262180 NUQ262180 OEM262180 OOI262180 OYE262180 PIA262180 PRW262180 QBS262180 QLO262180 QVK262180 RFG262180 RPC262180 RYY262180 SIU262180 SSQ262180 TCM262180 TMI262180 TWE262180 UGA262180 UPW262180 UZS262180 VJO262180 VTK262180 WDG262180 WNC262180 WWY262180 AQ327716 KM327716 UI327716 AEE327716 AOA327716 AXW327716 BHS327716 BRO327716 CBK327716 CLG327716 CVC327716 DEY327716 DOU327716 DYQ327716 EIM327716 ESI327716 FCE327716 FMA327716 FVW327716 GFS327716 GPO327716 GZK327716 HJG327716 HTC327716 ICY327716 IMU327716 IWQ327716 JGM327716 JQI327716 KAE327716 KKA327716 KTW327716 LDS327716 LNO327716 LXK327716 MHG327716 MRC327716 NAY327716 NKU327716 NUQ327716 OEM327716 OOI327716 OYE327716 PIA327716 PRW327716 QBS327716 QLO327716 QVK327716 RFG327716 RPC327716 RYY327716 SIU327716 SSQ327716 TCM327716 TMI327716 TWE327716 UGA327716 UPW327716 UZS327716 VJO327716 VTK327716 WDG327716 WNC327716 WWY327716 AQ393252 KM393252 UI393252 AEE393252 AOA393252 AXW393252 BHS393252 BRO393252 CBK393252 CLG393252 CVC393252 DEY393252 DOU393252 DYQ393252 EIM393252 ESI393252 FCE393252 FMA393252 FVW393252 GFS393252 GPO393252 GZK393252 HJG393252 HTC393252 ICY393252 IMU393252 IWQ393252 JGM393252 JQI393252 KAE393252 KKA393252 KTW393252 LDS393252 LNO393252 LXK393252 MHG393252 MRC393252 NAY393252 NKU393252 NUQ393252 OEM393252 OOI393252 OYE393252 PIA393252 PRW393252 QBS393252 QLO393252 QVK393252 RFG393252 RPC393252 RYY393252 SIU393252 SSQ393252 TCM393252 TMI393252 TWE393252 UGA393252 UPW393252 UZS393252 VJO393252 VTK393252 WDG393252 WNC393252 WWY393252 AQ458788 KM458788 UI458788 AEE458788 AOA458788 AXW458788 BHS458788 BRO458788 CBK458788 CLG458788 CVC458788 DEY458788 DOU458788 DYQ458788 EIM458788 ESI458788 FCE458788 FMA458788 FVW458788 GFS458788 GPO458788 GZK458788 HJG458788 HTC458788 ICY458788 IMU458788 IWQ458788 JGM458788 JQI458788 KAE458788 KKA458788 KTW458788 LDS458788 LNO458788 LXK458788 MHG458788 MRC458788 NAY458788 NKU458788 NUQ458788 OEM458788 OOI458788 OYE458788 PIA458788 PRW458788 QBS458788 QLO458788 QVK458788 RFG458788 RPC458788 RYY458788 SIU458788 SSQ458788 TCM458788 TMI458788 TWE458788 UGA458788 UPW458788 UZS458788 VJO458788 VTK458788 WDG458788 WNC458788 WWY458788 AQ524324 KM524324 UI524324 AEE524324 AOA524324 AXW524324 BHS524324 BRO524324 CBK524324 CLG524324 CVC524324 DEY524324 DOU524324 DYQ524324 EIM524324 ESI524324 FCE524324 FMA524324 FVW524324 GFS524324 GPO524324 GZK524324 HJG524324 HTC524324 ICY524324 IMU524324 IWQ524324 JGM524324 JQI524324 KAE524324 KKA524324 KTW524324 LDS524324 LNO524324 LXK524324 MHG524324 MRC524324 NAY524324 NKU524324 NUQ524324 OEM524324 OOI524324 OYE524324 PIA524324 PRW524324 QBS524324 QLO524324 QVK524324 RFG524324 RPC524324 RYY524324 SIU524324 SSQ524324 TCM524324 TMI524324 TWE524324 UGA524324 UPW524324 UZS524324 VJO524324 VTK524324 WDG524324 WNC524324 WWY524324 AQ589860 KM589860 UI589860 AEE589860 AOA589860 AXW589860 BHS589860 BRO589860 CBK589860 CLG589860 CVC589860 DEY589860 DOU589860 DYQ589860 EIM589860 ESI589860 FCE589860 FMA589860 FVW589860 GFS589860 GPO589860 GZK589860 HJG589860 HTC589860 ICY589860 IMU589860 IWQ589860 JGM589860 JQI589860 KAE589860 KKA589860 KTW589860 LDS589860 LNO589860 LXK589860 MHG589860 MRC589860 NAY589860 NKU589860 NUQ589860 OEM589860 OOI589860 OYE589860 PIA589860 PRW589860 QBS589860 QLO589860 QVK589860 RFG589860 RPC589860 RYY589860 SIU589860 SSQ589860 TCM589860 TMI589860 TWE589860 UGA589860 UPW589860 UZS589860 VJO589860 VTK589860 WDG589860 WNC589860 WWY589860 AQ655396 KM655396 UI655396 AEE655396 AOA655396 AXW655396 BHS655396 BRO655396 CBK655396 CLG655396 CVC655396 DEY655396 DOU655396 DYQ655396 EIM655396 ESI655396 FCE655396 FMA655396 FVW655396 GFS655396 GPO655396 GZK655396 HJG655396 HTC655396 ICY655396 IMU655396 IWQ655396 JGM655396 JQI655396 KAE655396 KKA655396 KTW655396 LDS655396 LNO655396 LXK655396 MHG655396 MRC655396 NAY655396 NKU655396 NUQ655396 OEM655396 OOI655396 OYE655396 PIA655396 PRW655396 QBS655396 QLO655396 QVK655396 RFG655396 RPC655396 RYY655396 SIU655396 SSQ655396 TCM655396 TMI655396 TWE655396 UGA655396 UPW655396 UZS655396 VJO655396 VTK655396 WDG655396 WNC655396 WWY655396 AQ720932 KM720932 UI720932 AEE720932 AOA720932 AXW720932 BHS720932 BRO720932 CBK720932 CLG720932 CVC720932 DEY720932 DOU720932 DYQ720932 EIM720932 ESI720932 FCE720932 FMA720932 FVW720932 GFS720932 GPO720932 GZK720932 HJG720932 HTC720932 ICY720932 IMU720932 IWQ720932 JGM720932 JQI720932 KAE720932 KKA720932 KTW720932 LDS720932 LNO720932 LXK720932 MHG720932 MRC720932 NAY720932 NKU720932 NUQ720932 OEM720932 OOI720932 OYE720932 PIA720932 PRW720932 QBS720932 QLO720932 QVK720932 RFG720932 RPC720932 RYY720932 SIU720932 SSQ720932 TCM720932 TMI720932 TWE720932 UGA720932 UPW720932 UZS720932 VJO720932 VTK720932 WDG720932 WNC720932 WWY720932 AQ786468 KM786468 UI786468 AEE786468 AOA786468 AXW786468 BHS786468 BRO786468 CBK786468 CLG786468 CVC786468 DEY786468 DOU786468 DYQ786468 EIM786468 ESI786468 FCE786468 FMA786468 FVW786468 GFS786468 GPO786468 GZK786468 HJG786468 HTC786468 ICY786468 IMU786468 IWQ786468 JGM786468 JQI786468 KAE786468 KKA786468 KTW786468 LDS786468 LNO786468 LXK786468 MHG786468 MRC786468 NAY786468 NKU786468 NUQ786468 OEM786468 OOI786468 OYE786468 PIA786468 PRW786468 QBS786468 QLO786468 QVK786468 RFG786468 RPC786468 RYY786468 SIU786468 SSQ786468 TCM786468 TMI786468 TWE786468 UGA786468 UPW786468 UZS786468 VJO786468 VTK786468 WDG786468 WNC786468 WWY786468 AQ852004 KM852004 UI852004 AEE852004 AOA852004 AXW852004 BHS852004 BRO852004 CBK852004 CLG852004 CVC852004 DEY852004 DOU852004 DYQ852004 EIM852004 ESI852004 FCE852004 FMA852004 FVW852004 GFS852004 GPO852004 GZK852004 HJG852004 HTC852004 ICY852004 IMU852004 IWQ852004 JGM852004 JQI852004 KAE852004 KKA852004 KTW852004 LDS852004 LNO852004 LXK852004 MHG852004 MRC852004 NAY852004 NKU852004 NUQ852004 OEM852004 OOI852004 OYE852004 PIA852004 PRW852004 QBS852004 QLO852004 QVK852004 RFG852004 RPC852004 RYY852004 SIU852004 SSQ852004 TCM852004 TMI852004 TWE852004 UGA852004 UPW852004 UZS852004 VJO852004 VTK852004 WDG852004 WNC852004 WWY852004 AQ917540 KM917540 UI917540 AEE917540 AOA917540 AXW917540 BHS917540 BRO917540 CBK917540 CLG917540 CVC917540 DEY917540 DOU917540 DYQ917540 EIM917540 ESI917540 FCE917540 FMA917540 FVW917540 GFS917540 GPO917540 GZK917540 HJG917540 HTC917540 ICY917540 IMU917540 IWQ917540 JGM917540 JQI917540 KAE917540 KKA917540 KTW917540 LDS917540 LNO917540 LXK917540 MHG917540 MRC917540 NAY917540 NKU917540 NUQ917540 OEM917540 OOI917540 OYE917540 PIA917540 PRW917540 QBS917540 QLO917540 QVK917540 RFG917540 RPC917540 RYY917540 SIU917540 SSQ917540 TCM917540 TMI917540 TWE917540 UGA917540 UPW917540 UZS917540 VJO917540 VTK917540 WDG917540 WNC917540 WWY917540 AQ983076 KM983076 UI983076 AEE983076 AOA983076 AXW983076 BHS983076 BRO983076 CBK983076 CLG983076 CVC983076 DEY983076 DOU983076 DYQ983076 EIM983076 ESI983076 FCE983076 FMA983076 FVW983076 GFS983076 GPO983076 GZK983076 HJG983076 HTC983076 ICY983076 IMU983076 IWQ983076 JGM983076 JQI983076 KAE983076 KKA983076 KTW983076 LDS983076 LNO983076 LXK983076 MHG983076 MRC983076 NAY983076 NKU983076 NUQ983076 OEM983076 OOI983076 OYE983076 PIA983076 PRW983076 QBS983076 QLO983076 QVK983076 RFG983076 RPC983076 RYY983076 SIU983076 SSQ983076 TCM983076 TMI983076 TWE983076 UGA983076 UPW983076 UZS983076 VJO983076 VTK983076 WDG983076 WNC983076 WWY983076 AQ29:AQ33 KM29:KM33 UI29:UI33 AEE29:AEE33 AOA29:AOA33 AXW29:AXW33 BHS29:BHS33 BRO29:BRO33 CBK29:CBK33 CLG29:CLG33 CVC29:CVC33 DEY29:DEY33 DOU29:DOU33 DYQ29:DYQ33 EIM29:EIM33 ESI29:ESI33 FCE29:FCE33 FMA29:FMA33 FVW29:FVW33 GFS29:GFS33 GPO29:GPO33 GZK29:GZK33 HJG29:HJG33 HTC29:HTC33 ICY29:ICY33 IMU29:IMU33 IWQ29:IWQ33 JGM29:JGM33 JQI29:JQI33 KAE29:KAE33 KKA29:KKA33 KTW29:KTW33 LDS29:LDS33 LNO29:LNO33 LXK29:LXK33 MHG29:MHG33 MRC29:MRC33 NAY29:NAY33 NKU29:NKU33 NUQ29:NUQ33 OEM29:OEM33 OOI29:OOI33 OYE29:OYE33 PIA29:PIA33 PRW29:PRW33 QBS29:QBS33 QLO29:QLO33 QVK29:QVK33 RFG29:RFG33 RPC29:RPC33 RYY29:RYY33 SIU29:SIU33 SSQ29:SSQ33 TCM29:TCM33 TMI29:TMI33 TWE29:TWE33 UGA29:UGA33 UPW29:UPW33 UZS29:UZS33 VJO29:VJO33 VTK29:VTK33 WDG29:WDG33 WNC29:WNC33 WWY29:WWY33 AQ65565:AQ65569 KM65565:KM65569 UI65565:UI65569 AEE65565:AEE65569 AOA65565:AOA65569 AXW65565:AXW65569 BHS65565:BHS65569 BRO65565:BRO65569 CBK65565:CBK65569 CLG65565:CLG65569 CVC65565:CVC65569 DEY65565:DEY65569 DOU65565:DOU65569 DYQ65565:DYQ65569 EIM65565:EIM65569 ESI65565:ESI65569 FCE65565:FCE65569 FMA65565:FMA65569 FVW65565:FVW65569 GFS65565:GFS65569 GPO65565:GPO65569 GZK65565:GZK65569 HJG65565:HJG65569 HTC65565:HTC65569 ICY65565:ICY65569 IMU65565:IMU65569 IWQ65565:IWQ65569 JGM65565:JGM65569 JQI65565:JQI65569 KAE65565:KAE65569 KKA65565:KKA65569 KTW65565:KTW65569 LDS65565:LDS65569 LNO65565:LNO65569 LXK65565:LXK65569 MHG65565:MHG65569 MRC65565:MRC65569 NAY65565:NAY65569 NKU65565:NKU65569 NUQ65565:NUQ65569 OEM65565:OEM65569 OOI65565:OOI65569 OYE65565:OYE65569 PIA65565:PIA65569 PRW65565:PRW65569 QBS65565:QBS65569 QLO65565:QLO65569 QVK65565:QVK65569 RFG65565:RFG65569 RPC65565:RPC65569 RYY65565:RYY65569 SIU65565:SIU65569 SSQ65565:SSQ65569 TCM65565:TCM65569 TMI65565:TMI65569 TWE65565:TWE65569 UGA65565:UGA65569 UPW65565:UPW65569 UZS65565:UZS65569 VJO65565:VJO65569 VTK65565:VTK65569 WDG65565:WDG65569 WNC65565:WNC65569 WWY65565:WWY65569 AQ131101:AQ131105 KM131101:KM131105 UI131101:UI131105 AEE131101:AEE131105 AOA131101:AOA131105 AXW131101:AXW131105 BHS131101:BHS131105 BRO131101:BRO131105 CBK131101:CBK131105 CLG131101:CLG131105 CVC131101:CVC131105 DEY131101:DEY131105 DOU131101:DOU131105 DYQ131101:DYQ131105 EIM131101:EIM131105 ESI131101:ESI131105 FCE131101:FCE131105 FMA131101:FMA131105 FVW131101:FVW131105 GFS131101:GFS131105 GPO131101:GPO131105 GZK131101:GZK131105 HJG131101:HJG131105 HTC131101:HTC131105 ICY131101:ICY131105 IMU131101:IMU131105 IWQ131101:IWQ131105 JGM131101:JGM131105 JQI131101:JQI131105 KAE131101:KAE131105 KKA131101:KKA131105 KTW131101:KTW131105 LDS131101:LDS131105 LNO131101:LNO131105 LXK131101:LXK131105 MHG131101:MHG131105 MRC131101:MRC131105 NAY131101:NAY131105 NKU131101:NKU131105 NUQ131101:NUQ131105 OEM131101:OEM131105 OOI131101:OOI131105 OYE131101:OYE131105 PIA131101:PIA131105 PRW131101:PRW131105 QBS131101:QBS131105 QLO131101:QLO131105 QVK131101:QVK131105 RFG131101:RFG131105 RPC131101:RPC131105 RYY131101:RYY131105 SIU131101:SIU131105 SSQ131101:SSQ131105 TCM131101:TCM131105 TMI131101:TMI131105 TWE131101:TWE131105 UGA131101:UGA131105 UPW131101:UPW131105 UZS131101:UZS131105 VJO131101:VJO131105 VTK131101:VTK131105 WDG131101:WDG131105 WNC131101:WNC131105 WWY131101:WWY131105 AQ196637:AQ196641 KM196637:KM196641 UI196637:UI196641 AEE196637:AEE196641 AOA196637:AOA196641 AXW196637:AXW196641 BHS196637:BHS196641 BRO196637:BRO196641 CBK196637:CBK196641 CLG196637:CLG196641 CVC196637:CVC196641 DEY196637:DEY196641 DOU196637:DOU196641 DYQ196637:DYQ196641 EIM196637:EIM196641 ESI196637:ESI196641 FCE196637:FCE196641 FMA196637:FMA196641 FVW196637:FVW196641 GFS196637:GFS196641 GPO196637:GPO196641 GZK196637:GZK196641 HJG196637:HJG196641 HTC196637:HTC196641 ICY196637:ICY196641 IMU196637:IMU196641 IWQ196637:IWQ196641 JGM196637:JGM196641 JQI196637:JQI196641 KAE196637:KAE196641 KKA196637:KKA196641 KTW196637:KTW196641 LDS196637:LDS196641 LNO196637:LNO196641 LXK196637:LXK196641 MHG196637:MHG196641 MRC196637:MRC196641 NAY196637:NAY196641 NKU196637:NKU196641 NUQ196637:NUQ196641 OEM196637:OEM196641 OOI196637:OOI196641 OYE196637:OYE196641 PIA196637:PIA196641 PRW196637:PRW196641 QBS196637:QBS196641 QLO196637:QLO196641 QVK196637:QVK196641 RFG196637:RFG196641 RPC196637:RPC196641 RYY196637:RYY196641 SIU196637:SIU196641 SSQ196637:SSQ196641 TCM196637:TCM196641 TMI196637:TMI196641 TWE196637:TWE196641 UGA196637:UGA196641 UPW196637:UPW196641 UZS196637:UZS196641 VJO196637:VJO196641 VTK196637:VTK196641 WDG196637:WDG196641 WNC196637:WNC196641 WWY196637:WWY196641 AQ262173:AQ262177 KM262173:KM262177 UI262173:UI262177 AEE262173:AEE262177 AOA262173:AOA262177 AXW262173:AXW262177 BHS262173:BHS262177 BRO262173:BRO262177 CBK262173:CBK262177 CLG262173:CLG262177 CVC262173:CVC262177 DEY262173:DEY262177 DOU262173:DOU262177 DYQ262173:DYQ262177 EIM262173:EIM262177 ESI262173:ESI262177 FCE262173:FCE262177 FMA262173:FMA262177 FVW262173:FVW262177 GFS262173:GFS262177 GPO262173:GPO262177 GZK262173:GZK262177 HJG262173:HJG262177 HTC262173:HTC262177 ICY262173:ICY262177 IMU262173:IMU262177 IWQ262173:IWQ262177 JGM262173:JGM262177 JQI262173:JQI262177 KAE262173:KAE262177 KKA262173:KKA262177 KTW262173:KTW262177 LDS262173:LDS262177 LNO262173:LNO262177 LXK262173:LXK262177 MHG262173:MHG262177 MRC262173:MRC262177 NAY262173:NAY262177 NKU262173:NKU262177 NUQ262173:NUQ262177 OEM262173:OEM262177 OOI262173:OOI262177 OYE262173:OYE262177 PIA262173:PIA262177 PRW262173:PRW262177 QBS262173:QBS262177 QLO262173:QLO262177 QVK262173:QVK262177 RFG262173:RFG262177 RPC262173:RPC262177 RYY262173:RYY262177 SIU262173:SIU262177 SSQ262173:SSQ262177 TCM262173:TCM262177 TMI262173:TMI262177 TWE262173:TWE262177 UGA262173:UGA262177 UPW262173:UPW262177 UZS262173:UZS262177 VJO262173:VJO262177 VTK262173:VTK262177 WDG262173:WDG262177 WNC262173:WNC262177 WWY262173:WWY262177 AQ327709:AQ327713 KM327709:KM327713 UI327709:UI327713 AEE327709:AEE327713 AOA327709:AOA327713 AXW327709:AXW327713 BHS327709:BHS327713 BRO327709:BRO327713 CBK327709:CBK327713 CLG327709:CLG327713 CVC327709:CVC327713 DEY327709:DEY327713 DOU327709:DOU327713 DYQ327709:DYQ327713 EIM327709:EIM327713 ESI327709:ESI327713 FCE327709:FCE327713 FMA327709:FMA327713 FVW327709:FVW327713 GFS327709:GFS327713 GPO327709:GPO327713 GZK327709:GZK327713 HJG327709:HJG327713 HTC327709:HTC327713 ICY327709:ICY327713 IMU327709:IMU327713 IWQ327709:IWQ327713 JGM327709:JGM327713 JQI327709:JQI327713 KAE327709:KAE327713 KKA327709:KKA327713 KTW327709:KTW327713 LDS327709:LDS327713 LNO327709:LNO327713 LXK327709:LXK327713 MHG327709:MHG327713 MRC327709:MRC327713 NAY327709:NAY327713 NKU327709:NKU327713 NUQ327709:NUQ327713 OEM327709:OEM327713 OOI327709:OOI327713 OYE327709:OYE327713 PIA327709:PIA327713 PRW327709:PRW327713 QBS327709:QBS327713 QLO327709:QLO327713 QVK327709:QVK327713 RFG327709:RFG327713 RPC327709:RPC327713 RYY327709:RYY327713 SIU327709:SIU327713 SSQ327709:SSQ327713 TCM327709:TCM327713 TMI327709:TMI327713 TWE327709:TWE327713 UGA327709:UGA327713 UPW327709:UPW327713 UZS327709:UZS327713 VJO327709:VJO327713 VTK327709:VTK327713 WDG327709:WDG327713 WNC327709:WNC327713 WWY327709:WWY327713 AQ393245:AQ393249 KM393245:KM393249 UI393245:UI393249 AEE393245:AEE393249 AOA393245:AOA393249 AXW393245:AXW393249 BHS393245:BHS393249 BRO393245:BRO393249 CBK393245:CBK393249 CLG393245:CLG393249 CVC393245:CVC393249 DEY393245:DEY393249 DOU393245:DOU393249 DYQ393245:DYQ393249 EIM393245:EIM393249 ESI393245:ESI393249 FCE393245:FCE393249 FMA393245:FMA393249 FVW393245:FVW393249 GFS393245:GFS393249 GPO393245:GPO393249 GZK393245:GZK393249 HJG393245:HJG393249 HTC393245:HTC393249 ICY393245:ICY393249 IMU393245:IMU393249 IWQ393245:IWQ393249 JGM393245:JGM393249 JQI393245:JQI393249 KAE393245:KAE393249 KKA393245:KKA393249 KTW393245:KTW393249 LDS393245:LDS393249 LNO393245:LNO393249 LXK393245:LXK393249 MHG393245:MHG393249 MRC393245:MRC393249 NAY393245:NAY393249 NKU393245:NKU393249 NUQ393245:NUQ393249 OEM393245:OEM393249 OOI393245:OOI393249 OYE393245:OYE393249 PIA393245:PIA393249 PRW393245:PRW393249 QBS393245:QBS393249 QLO393245:QLO393249 QVK393245:QVK393249 RFG393245:RFG393249 RPC393245:RPC393249 RYY393245:RYY393249 SIU393245:SIU393249 SSQ393245:SSQ393249 TCM393245:TCM393249 TMI393245:TMI393249 TWE393245:TWE393249 UGA393245:UGA393249 UPW393245:UPW393249 UZS393245:UZS393249 VJO393245:VJO393249 VTK393245:VTK393249 WDG393245:WDG393249 WNC393245:WNC393249 WWY393245:WWY393249 AQ458781:AQ458785 KM458781:KM458785 UI458781:UI458785 AEE458781:AEE458785 AOA458781:AOA458785 AXW458781:AXW458785 BHS458781:BHS458785 BRO458781:BRO458785 CBK458781:CBK458785 CLG458781:CLG458785 CVC458781:CVC458785 DEY458781:DEY458785 DOU458781:DOU458785 DYQ458781:DYQ458785 EIM458781:EIM458785 ESI458781:ESI458785 FCE458781:FCE458785 FMA458781:FMA458785 FVW458781:FVW458785 GFS458781:GFS458785 GPO458781:GPO458785 GZK458781:GZK458785 HJG458781:HJG458785 HTC458781:HTC458785 ICY458781:ICY458785 IMU458781:IMU458785 IWQ458781:IWQ458785 JGM458781:JGM458785 JQI458781:JQI458785 KAE458781:KAE458785 KKA458781:KKA458785 KTW458781:KTW458785 LDS458781:LDS458785 LNO458781:LNO458785 LXK458781:LXK458785 MHG458781:MHG458785 MRC458781:MRC458785 NAY458781:NAY458785 NKU458781:NKU458785 NUQ458781:NUQ458785 OEM458781:OEM458785 OOI458781:OOI458785 OYE458781:OYE458785 PIA458781:PIA458785 PRW458781:PRW458785 QBS458781:QBS458785 QLO458781:QLO458785 QVK458781:QVK458785 RFG458781:RFG458785 RPC458781:RPC458785 RYY458781:RYY458785 SIU458781:SIU458785 SSQ458781:SSQ458785 TCM458781:TCM458785 TMI458781:TMI458785 TWE458781:TWE458785 UGA458781:UGA458785 UPW458781:UPW458785 UZS458781:UZS458785 VJO458781:VJO458785 VTK458781:VTK458785 WDG458781:WDG458785 WNC458781:WNC458785 WWY458781:WWY458785 AQ524317:AQ524321 KM524317:KM524321 UI524317:UI524321 AEE524317:AEE524321 AOA524317:AOA524321 AXW524317:AXW524321 BHS524317:BHS524321 BRO524317:BRO524321 CBK524317:CBK524321 CLG524317:CLG524321 CVC524317:CVC524321 DEY524317:DEY524321 DOU524317:DOU524321 DYQ524317:DYQ524321 EIM524317:EIM524321 ESI524317:ESI524321 FCE524317:FCE524321 FMA524317:FMA524321 FVW524317:FVW524321 GFS524317:GFS524321 GPO524317:GPO524321 GZK524317:GZK524321 HJG524317:HJG524321 HTC524317:HTC524321 ICY524317:ICY524321 IMU524317:IMU524321 IWQ524317:IWQ524321 JGM524317:JGM524321 JQI524317:JQI524321 KAE524317:KAE524321 KKA524317:KKA524321 KTW524317:KTW524321 LDS524317:LDS524321 LNO524317:LNO524321 LXK524317:LXK524321 MHG524317:MHG524321 MRC524317:MRC524321 NAY524317:NAY524321 NKU524317:NKU524321 NUQ524317:NUQ524321 OEM524317:OEM524321 OOI524317:OOI524321 OYE524317:OYE524321 PIA524317:PIA524321 PRW524317:PRW524321 QBS524317:QBS524321 QLO524317:QLO524321 QVK524317:QVK524321 RFG524317:RFG524321 RPC524317:RPC524321 RYY524317:RYY524321 SIU524317:SIU524321 SSQ524317:SSQ524321 TCM524317:TCM524321 TMI524317:TMI524321 TWE524317:TWE524321 UGA524317:UGA524321 UPW524317:UPW524321 UZS524317:UZS524321 VJO524317:VJO524321 VTK524317:VTK524321 WDG524317:WDG524321 WNC524317:WNC524321 WWY524317:WWY524321 AQ589853:AQ589857 KM589853:KM589857 UI589853:UI589857 AEE589853:AEE589857 AOA589853:AOA589857 AXW589853:AXW589857 BHS589853:BHS589857 BRO589853:BRO589857 CBK589853:CBK589857 CLG589853:CLG589857 CVC589853:CVC589857 DEY589853:DEY589857 DOU589853:DOU589857 DYQ589853:DYQ589857 EIM589853:EIM589857 ESI589853:ESI589857 FCE589853:FCE589857 FMA589853:FMA589857 FVW589853:FVW589857 GFS589853:GFS589857 GPO589853:GPO589857 GZK589853:GZK589857 HJG589853:HJG589857 HTC589853:HTC589857 ICY589853:ICY589857 IMU589853:IMU589857 IWQ589853:IWQ589857 JGM589853:JGM589857 JQI589853:JQI589857 KAE589853:KAE589857 KKA589853:KKA589857 KTW589853:KTW589857 LDS589853:LDS589857 LNO589853:LNO589857 LXK589853:LXK589857 MHG589853:MHG589857 MRC589853:MRC589857 NAY589853:NAY589857 NKU589853:NKU589857 NUQ589853:NUQ589857 OEM589853:OEM589857 OOI589853:OOI589857 OYE589853:OYE589857 PIA589853:PIA589857 PRW589853:PRW589857 QBS589853:QBS589857 QLO589853:QLO589857 QVK589853:QVK589857 RFG589853:RFG589857 RPC589853:RPC589857 RYY589853:RYY589857 SIU589853:SIU589857 SSQ589853:SSQ589857 TCM589853:TCM589857 TMI589853:TMI589857 TWE589853:TWE589857 UGA589853:UGA589857 UPW589853:UPW589857 UZS589853:UZS589857 VJO589853:VJO589857 VTK589853:VTK589857 WDG589853:WDG589857 WNC589853:WNC589857 WWY589853:WWY589857 AQ655389:AQ655393 KM655389:KM655393 UI655389:UI655393 AEE655389:AEE655393 AOA655389:AOA655393 AXW655389:AXW655393 BHS655389:BHS655393 BRO655389:BRO655393 CBK655389:CBK655393 CLG655389:CLG655393 CVC655389:CVC655393 DEY655389:DEY655393 DOU655389:DOU655393 DYQ655389:DYQ655393 EIM655389:EIM655393 ESI655389:ESI655393 FCE655389:FCE655393 FMA655389:FMA655393 FVW655389:FVW655393 GFS655389:GFS655393 GPO655389:GPO655393 GZK655389:GZK655393 HJG655389:HJG655393 HTC655389:HTC655393 ICY655389:ICY655393 IMU655389:IMU655393 IWQ655389:IWQ655393 JGM655389:JGM655393 JQI655389:JQI655393 KAE655389:KAE655393 KKA655389:KKA655393 KTW655389:KTW655393 LDS655389:LDS655393 LNO655389:LNO655393 LXK655389:LXK655393 MHG655389:MHG655393 MRC655389:MRC655393 NAY655389:NAY655393 NKU655389:NKU655393 NUQ655389:NUQ655393 OEM655389:OEM655393 OOI655389:OOI655393 OYE655389:OYE655393 PIA655389:PIA655393 PRW655389:PRW655393 QBS655389:QBS655393 QLO655389:QLO655393 QVK655389:QVK655393 RFG655389:RFG655393 RPC655389:RPC655393 RYY655389:RYY655393 SIU655389:SIU655393 SSQ655389:SSQ655393 TCM655389:TCM655393 TMI655389:TMI655393 TWE655389:TWE655393 UGA655389:UGA655393 UPW655389:UPW655393 UZS655389:UZS655393 VJO655389:VJO655393 VTK655389:VTK655393 WDG655389:WDG655393 WNC655389:WNC655393 WWY655389:WWY655393 AQ720925:AQ720929 KM720925:KM720929 UI720925:UI720929 AEE720925:AEE720929 AOA720925:AOA720929 AXW720925:AXW720929 BHS720925:BHS720929 BRO720925:BRO720929 CBK720925:CBK720929 CLG720925:CLG720929 CVC720925:CVC720929 DEY720925:DEY720929 DOU720925:DOU720929 DYQ720925:DYQ720929 EIM720925:EIM720929 ESI720925:ESI720929 FCE720925:FCE720929 FMA720925:FMA720929 FVW720925:FVW720929 GFS720925:GFS720929 GPO720925:GPO720929 GZK720925:GZK720929 HJG720925:HJG720929 HTC720925:HTC720929 ICY720925:ICY720929 IMU720925:IMU720929 IWQ720925:IWQ720929 JGM720925:JGM720929 JQI720925:JQI720929 KAE720925:KAE720929 KKA720925:KKA720929 KTW720925:KTW720929 LDS720925:LDS720929 LNO720925:LNO720929 LXK720925:LXK720929 MHG720925:MHG720929 MRC720925:MRC720929 NAY720925:NAY720929 NKU720925:NKU720929 NUQ720925:NUQ720929 OEM720925:OEM720929 OOI720925:OOI720929 OYE720925:OYE720929 PIA720925:PIA720929 PRW720925:PRW720929 QBS720925:QBS720929 QLO720925:QLO720929 QVK720925:QVK720929 RFG720925:RFG720929 RPC720925:RPC720929 RYY720925:RYY720929 SIU720925:SIU720929 SSQ720925:SSQ720929 TCM720925:TCM720929 TMI720925:TMI720929 TWE720925:TWE720929 UGA720925:UGA720929 UPW720925:UPW720929 UZS720925:UZS720929 VJO720925:VJO720929 VTK720925:VTK720929 WDG720925:WDG720929 WNC720925:WNC720929 WWY720925:WWY720929 AQ786461:AQ786465 KM786461:KM786465 UI786461:UI786465 AEE786461:AEE786465 AOA786461:AOA786465 AXW786461:AXW786465 BHS786461:BHS786465 BRO786461:BRO786465 CBK786461:CBK786465 CLG786461:CLG786465 CVC786461:CVC786465 DEY786461:DEY786465 DOU786461:DOU786465 DYQ786461:DYQ786465 EIM786461:EIM786465 ESI786461:ESI786465 FCE786461:FCE786465 FMA786461:FMA786465 FVW786461:FVW786465 GFS786461:GFS786465 GPO786461:GPO786465 GZK786461:GZK786465 HJG786461:HJG786465 HTC786461:HTC786465 ICY786461:ICY786465 IMU786461:IMU786465 IWQ786461:IWQ786465 JGM786461:JGM786465 JQI786461:JQI786465 KAE786461:KAE786465 KKA786461:KKA786465 KTW786461:KTW786465 LDS786461:LDS786465 LNO786461:LNO786465 LXK786461:LXK786465 MHG786461:MHG786465 MRC786461:MRC786465 NAY786461:NAY786465 NKU786461:NKU786465 NUQ786461:NUQ786465 OEM786461:OEM786465 OOI786461:OOI786465 OYE786461:OYE786465 PIA786461:PIA786465 PRW786461:PRW786465 QBS786461:QBS786465 QLO786461:QLO786465 QVK786461:QVK786465 RFG786461:RFG786465 RPC786461:RPC786465 RYY786461:RYY786465 SIU786461:SIU786465 SSQ786461:SSQ786465 TCM786461:TCM786465 TMI786461:TMI786465 TWE786461:TWE786465 UGA786461:UGA786465 UPW786461:UPW786465 UZS786461:UZS786465 VJO786461:VJO786465 VTK786461:VTK786465 WDG786461:WDG786465 WNC786461:WNC786465 WWY786461:WWY786465 AQ851997:AQ852001 KM851997:KM852001 UI851997:UI852001 AEE851997:AEE852001 AOA851997:AOA852001 AXW851997:AXW852001 BHS851997:BHS852001 BRO851997:BRO852001 CBK851997:CBK852001 CLG851997:CLG852001 CVC851997:CVC852001 DEY851997:DEY852001 DOU851997:DOU852001 DYQ851997:DYQ852001 EIM851997:EIM852001 ESI851997:ESI852001 FCE851997:FCE852001 FMA851997:FMA852001 FVW851997:FVW852001 GFS851997:GFS852001 GPO851997:GPO852001 GZK851997:GZK852001 HJG851997:HJG852001 HTC851997:HTC852001 ICY851997:ICY852001 IMU851997:IMU852001 IWQ851997:IWQ852001 JGM851997:JGM852001 JQI851997:JQI852001 KAE851997:KAE852001 KKA851997:KKA852001 KTW851997:KTW852001 LDS851997:LDS852001 LNO851997:LNO852001 LXK851997:LXK852001 MHG851997:MHG852001 MRC851997:MRC852001 NAY851997:NAY852001 NKU851997:NKU852001 NUQ851997:NUQ852001 OEM851997:OEM852001 OOI851997:OOI852001 OYE851997:OYE852001 PIA851997:PIA852001 PRW851997:PRW852001 QBS851997:QBS852001 QLO851997:QLO852001 QVK851997:QVK852001 RFG851997:RFG852001 RPC851997:RPC852001 RYY851997:RYY852001 SIU851997:SIU852001 SSQ851997:SSQ852001 TCM851997:TCM852001 TMI851997:TMI852001 TWE851997:TWE852001 UGA851997:UGA852001 UPW851997:UPW852001 UZS851997:UZS852001 VJO851997:VJO852001 VTK851997:VTK852001 WDG851997:WDG852001 WNC851997:WNC852001 WWY851997:WWY852001 AQ917533:AQ917537 KM917533:KM917537 UI917533:UI917537 AEE917533:AEE917537 AOA917533:AOA917537 AXW917533:AXW917537 BHS917533:BHS917537 BRO917533:BRO917537 CBK917533:CBK917537 CLG917533:CLG917537 CVC917533:CVC917537 DEY917533:DEY917537 DOU917533:DOU917537 DYQ917533:DYQ917537 EIM917533:EIM917537 ESI917533:ESI917537 FCE917533:FCE917537 FMA917533:FMA917537 FVW917533:FVW917537 GFS917533:GFS917537 GPO917533:GPO917537 GZK917533:GZK917537 HJG917533:HJG917537 HTC917533:HTC917537 ICY917533:ICY917537 IMU917533:IMU917537 IWQ917533:IWQ917537 JGM917533:JGM917537 JQI917533:JQI917537 KAE917533:KAE917537 KKA917533:KKA917537 KTW917533:KTW917537 LDS917533:LDS917537 LNO917533:LNO917537 LXK917533:LXK917537 MHG917533:MHG917537 MRC917533:MRC917537 NAY917533:NAY917537 NKU917533:NKU917537 NUQ917533:NUQ917537 OEM917533:OEM917537 OOI917533:OOI917537 OYE917533:OYE917537 PIA917533:PIA917537 PRW917533:PRW917537 QBS917533:QBS917537 QLO917533:QLO917537 QVK917533:QVK917537 RFG917533:RFG917537 RPC917533:RPC917537 RYY917533:RYY917537 SIU917533:SIU917537 SSQ917533:SSQ917537 TCM917533:TCM917537 TMI917533:TMI917537 TWE917533:TWE917537 UGA917533:UGA917537 UPW917533:UPW917537 UZS917533:UZS917537 VJO917533:VJO917537 VTK917533:VTK917537 WDG917533:WDG917537 WNC917533:WNC917537 WWY917533:WWY917537 AQ983069:AQ983073 KM983069:KM983073 UI983069:UI983073 AEE983069:AEE983073 AOA983069:AOA983073 AXW983069:AXW983073 BHS983069:BHS983073 BRO983069:BRO983073 CBK983069:CBK983073 CLG983069:CLG983073 CVC983069:CVC983073 DEY983069:DEY983073 DOU983069:DOU983073 DYQ983069:DYQ983073 EIM983069:EIM983073 ESI983069:ESI983073 FCE983069:FCE983073 FMA983069:FMA983073 FVW983069:FVW983073 GFS983069:GFS983073 GPO983069:GPO983073 GZK983069:GZK983073 HJG983069:HJG983073 HTC983069:HTC983073 ICY983069:ICY983073 IMU983069:IMU983073 IWQ983069:IWQ983073 JGM983069:JGM983073 JQI983069:JQI983073 KAE983069:KAE983073 KKA983069:KKA983073 KTW983069:KTW983073 LDS983069:LDS983073 LNO983069:LNO983073 LXK983069:LXK983073 MHG983069:MHG983073 MRC983069:MRC983073 NAY983069:NAY983073 NKU983069:NKU983073 NUQ983069:NUQ983073 OEM983069:OEM983073 OOI983069:OOI983073 OYE983069:OYE983073 PIA983069:PIA983073 PRW983069:PRW983073 QBS983069:QBS983073 QLO983069:QLO983073 QVK983069:QVK983073 RFG983069:RFG983073 RPC983069:RPC983073 RYY983069:RYY983073 SIU983069:SIU983073 SSQ983069:SSQ983073 TCM983069:TCM983073 TMI983069:TMI983073 TWE983069:TWE983073 UGA983069:UGA983073 UPW983069:UPW983073 UZS983069:UZS983073 VJO983069:VJO983073 VTK983069:VTK983073 WDG983069:WDG983073 WNC983069:WNC983073 WWY983069:WWY983073 AR24:AR25 KN24:KN25 UJ24:UJ25 AEF24:AEF25 AOB24:AOB25 AXX24:AXX25 BHT24:BHT25 BRP24:BRP25 CBL24:CBL25 CLH24:CLH25 CVD24:CVD25 DEZ24:DEZ25 DOV24:DOV25 DYR24:DYR25 EIN24:EIN25 ESJ24:ESJ25 FCF24:FCF25 FMB24:FMB25 FVX24:FVX25 GFT24:GFT25 GPP24:GPP25 GZL24:GZL25 HJH24:HJH25 HTD24:HTD25 ICZ24:ICZ25 IMV24:IMV25 IWR24:IWR25 JGN24:JGN25 JQJ24:JQJ25 KAF24:KAF25 KKB24:KKB25 KTX24:KTX25 LDT24:LDT25 LNP24:LNP25 LXL24:LXL25 MHH24:MHH25 MRD24:MRD25 NAZ24:NAZ25 NKV24:NKV25 NUR24:NUR25 OEN24:OEN25 OOJ24:OOJ25 OYF24:OYF25 PIB24:PIB25 PRX24:PRX25 QBT24:QBT25 QLP24:QLP25 QVL24:QVL25 RFH24:RFH25 RPD24:RPD25 RYZ24:RYZ25 SIV24:SIV25 SSR24:SSR25 TCN24:TCN25 TMJ24:TMJ25 TWF24:TWF25 UGB24:UGB25 UPX24:UPX25 UZT24:UZT25 VJP24:VJP25 VTL24:VTL25 WDH24:WDH25 WND24:WND25 WWZ24:WWZ25 AR65560:AR65561 KN65560:KN65561 UJ65560:UJ65561 AEF65560:AEF65561 AOB65560:AOB65561 AXX65560:AXX65561 BHT65560:BHT65561 BRP65560:BRP65561 CBL65560:CBL65561 CLH65560:CLH65561 CVD65560:CVD65561 DEZ65560:DEZ65561 DOV65560:DOV65561 DYR65560:DYR65561 EIN65560:EIN65561 ESJ65560:ESJ65561 FCF65560:FCF65561 FMB65560:FMB65561 FVX65560:FVX65561 GFT65560:GFT65561 GPP65560:GPP65561 GZL65560:GZL65561 HJH65560:HJH65561 HTD65560:HTD65561 ICZ65560:ICZ65561 IMV65560:IMV65561 IWR65560:IWR65561 JGN65560:JGN65561 JQJ65560:JQJ65561 KAF65560:KAF65561 KKB65560:KKB65561 KTX65560:KTX65561 LDT65560:LDT65561 LNP65560:LNP65561 LXL65560:LXL65561 MHH65560:MHH65561 MRD65560:MRD65561 NAZ65560:NAZ65561 NKV65560:NKV65561 NUR65560:NUR65561 OEN65560:OEN65561 OOJ65560:OOJ65561 OYF65560:OYF65561 PIB65560:PIB65561 PRX65560:PRX65561 QBT65560:QBT65561 QLP65560:QLP65561 QVL65560:QVL65561 RFH65560:RFH65561 RPD65560:RPD65561 RYZ65560:RYZ65561 SIV65560:SIV65561 SSR65560:SSR65561 TCN65560:TCN65561 TMJ65560:TMJ65561 TWF65560:TWF65561 UGB65560:UGB65561 UPX65560:UPX65561 UZT65560:UZT65561 VJP65560:VJP65561 VTL65560:VTL65561 WDH65560:WDH65561 WND65560:WND65561 WWZ65560:WWZ65561 AR131096:AR131097 KN131096:KN131097 UJ131096:UJ131097 AEF131096:AEF131097 AOB131096:AOB131097 AXX131096:AXX131097 BHT131096:BHT131097 BRP131096:BRP131097 CBL131096:CBL131097 CLH131096:CLH131097 CVD131096:CVD131097 DEZ131096:DEZ131097 DOV131096:DOV131097 DYR131096:DYR131097 EIN131096:EIN131097 ESJ131096:ESJ131097 FCF131096:FCF131097 FMB131096:FMB131097 FVX131096:FVX131097 GFT131096:GFT131097 GPP131096:GPP131097 GZL131096:GZL131097 HJH131096:HJH131097 HTD131096:HTD131097 ICZ131096:ICZ131097 IMV131096:IMV131097 IWR131096:IWR131097 JGN131096:JGN131097 JQJ131096:JQJ131097 KAF131096:KAF131097 KKB131096:KKB131097 KTX131096:KTX131097 LDT131096:LDT131097 LNP131096:LNP131097 LXL131096:LXL131097 MHH131096:MHH131097 MRD131096:MRD131097 NAZ131096:NAZ131097 NKV131096:NKV131097 NUR131096:NUR131097 OEN131096:OEN131097 OOJ131096:OOJ131097 OYF131096:OYF131097 PIB131096:PIB131097 PRX131096:PRX131097 QBT131096:QBT131097 QLP131096:QLP131097 QVL131096:QVL131097 RFH131096:RFH131097 RPD131096:RPD131097 RYZ131096:RYZ131097 SIV131096:SIV131097 SSR131096:SSR131097 TCN131096:TCN131097 TMJ131096:TMJ131097 TWF131096:TWF131097 UGB131096:UGB131097 UPX131096:UPX131097 UZT131096:UZT131097 VJP131096:VJP131097 VTL131096:VTL131097 WDH131096:WDH131097 WND131096:WND131097 WWZ131096:WWZ131097 AR196632:AR196633 KN196632:KN196633 UJ196632:UJ196633 AEF196632:AEF196633 AOB196632:AOB196633 AXX196632:AXX196633 BHT196632:BHT196633 BRP196632:BRP196633 CBL196632:CBL196633 CLH196632:CLH196633 CVD196632:CVD196633 DEZ196632:DEZ196633 DOV196632:DOV196633 DYR196632:DYR196633 EIN196632:EIN196633 ESJ196632:ESJ196633 FCF196632:FCF196633 FMB196632:FMB196633 FVX196632:FVX196633 GFT196632:GFT196633 GPP196632:GPP196633 GZL196632:GZL196633 HJH196632:HJH196633 HTD196632:HTD196633 ICZ196632:ICZ196633 IMV196632:IMV196633 IWR196632:IWR196633 JGN196632:JGN196633 JQJ196632:JQJ196633 KAF196632:KAF196633 KKB196632:KKB196633 KTX196632:KTX196633 LDT196632:LDT196633 LNP196632:LNP196633 LXL196632:LXL196633 MHH196632:MHH196633 MRD196632:MRD196633 NAZ196632:NAZ196633 NKV196632:NKV196633 NUR196632:NUR196633 OEN196632:OEN196633 OOJ196632:OOJ196633 OYF196632:OYF196633 PIB196632:PIB196633 PRX196632:PRX196633 QBT196632:QBT196633 QLP196632:QLP196633 QVL196632:QVL196633 RFH196632:RFH196633 RPD196632:RPD196633 RYZ196632:RYZ196633 SIV196632:SIV196633 SSR196632:SSR196633 TCN196632:TCN196633 TMJ196632:TMJ196633 TWF196632:TWF196633 UGB196632:UGB196633 UPX196632:UPX196633 UZT196632:UZT196633 VJP196632:VJP196633 VTL196632:VTL196633 WDH196632:WDH196633 WND196632:WND196633 WWZ196632:WWZ196633 AR262168:AR262169 KN262168:KN262169 UJ262168:UJ262169 AEF262168:AEF262169 AOB262168:AOB262169 AXX262168:AXX262169 BHT262168:BHT262169 BRP262168:BRP262169 CBL262168:CBL262169 CLH262168:CLH262169 CVD262168:CVD262169 DEZ262168:DEZ262169 DOV262168:DOV262169 DYR262168:DYR262169 EIN262168:EIN262169 ESJ262168:ESJ262169 FCF262168:FCF262169 FMB262168:FMB262169 FVX262168:FVX262169 GFT262168:GFT262169 GPP262168:GPP262169 GZL262168:GZL262169 HJH262168:HJH262169 HTD262168:HTD262169 ICZ262168:ICZ262169 IMV262168:IMV262169 IWR262168:IWR262169 JGN262168:JGN262169 JQJ262168:JQJ262169 KAF262168:KAF262169 KKB262168:KKB262169 KTX262168:KTX262169 LDT262168:LDT262169 LNP262168:LNP262169 LXL262168:LXL262169 MHH262168:MHH262169 MRD262168:MRD262169 NAZ262168:NAZ262169 NKV262168:NKV262169 NUR262168:NUR262169 OEN262168:OEN262169 OOJ262168:OOJ262169 OYF262168:OYF262169 PIB262168:PIB262169 PRX262168:PRX262169 QBT262168:QBT262169 QLP262168:QLP262169 QVL262168:QVL262169 RFH262168:RFH262169 RPD262168:RPD262169 RYZ262168:RYZ262169 SIV262168:SIV262169 SSR262168:SSR262169 TCN262168:TCN262169 TMJ262168:TMJ262169 TWF262168:TWF262169 UGB262168:UGB262169 UPX262168:UPX262169 UZT262168:UZT262169 VJP262168:VJP262169 VTL262168:VTL262169 WDH262168:WDH262169 WND262168:WND262169 WWZ262168:WWZ262169 AR327704:AR327705 KN327704:KN327705 UJ327704:UJ327705 AEF327704:AEF327705 AOB327704:AOB327705 AXX327704:AXX327705 BHT327704:BHT327705 BRP327704:BRP327705 CBL327704:CBL327705 CLH327704:CLH327705 CVD327704:CVD327705 DEZ327704:DEZ327705 DOV327704:DOV327705 DYR327704:DYR327705 EIN327704:EIN327705 ESJ327704:ESJ327705 FCF327704:FCF327705 FMB327704:FMB327705 FVX327704:FVX327705 GFT327704:GFT327705 GPP327704:GPP327705 GZL327704:GZL327705 HJH327704:HJH327705 HTD327704:HTD327705 ICZ327704:ICZ327705 IMV327704:IMV327705 IWR327704:IWR327705 JGN327704:JGN327705 JQJ327704:JQJ327705 KAF327704:KAF327705 KKB327704:KKB327705 KTX327704:KTX327705 LDT327704:LDT327705 LNP327704:LNP327705 LXL327704:LXL327705 MHH327704:MHH327705 MRD327704:MRD327705 NAZ327704:NAZ327705 NKV327704:NKV327705 NUR327704:NUR327705 OEN327704:OEN327705 OOJ327704:OOJ327705 OYF327704:OYF327705 PIB327704:PIB327705 PRX327704:PRX327705 QBT327704:QBT327705 QLP327704:QLP327705 QVL327704:QVL327705 RFH327704:RFH327705 RPD327704:RPD327705 RYZ327704:RYZ327705 SIV327704:SIV327705 SSR327704:SSR327705 TCN327704:TCN327705 TMJ327704:TMJ327705 TWF327704:TWF327705 UGB327704:UGB327705 UPX327704:UPX327705 UZT327704:UZT327705 VJP327704:VJP327705 VTL327704:VTL327705 WDH327704:WDH327705 WND327704:WND327705 WWZ327704:WWZ327705 AR393240:AR393241 KN393240:KN393241 UJ393240:UJ393241 AEF393240:AEF393241 AOB393240:AOB393241 AXX393240:AXX393241 BHT393240:BHT393241 BRP393240:BRP393241 CBL393240:CBL393241 CLH393240:CLH393241 CVD393240:CVD393241 DEZ393240:DEZ393241 DOV393240:DOV393241 DYR393240:DYR393241 EIN393240:EIN393241 ESJ393240:ESJ393241 FCF393240:FCF393241 FMB393240:FMB393241 FVX393240:FVX393241 GFT393240:GFT393241 GPP393240:GPP393241 GZL393240:GZL393241 HJH393240:HJH393241 HTD393240:HTD393241 ICZ393240:ICZ393241 IMV393240:IMV393241 IWR393240:IWR393241 JGN393240:JGN393241 JQJ393240:JQJ393241 KAF393240:KAF393241 KKB393240:KKB393241 KTX393240:KTX393241 LDT393240:LDT393241 LNP393240:LNP393241 LXL393240:LXL393241 MHH393240:MHH393241 MRD393240:MRD393241 NAZ393240:NAZ393241 NKV393240:NKV393241 NUR393240:NUR393241 OEN393240:OEN393241 OOJ393240:OOJ393241 OYF393240:OYF393241 PIB393240:PIB393241 PRX393240:PRX393241 QBT393240:QBT393241 QLP393240:QLP393241 QVL393240:QVL393241 RFH393240:RFH393241 RPD393240:RPD393241 RYZ393240:RYZ393241 SIV393240:SIV393241 SSR393240:SSR393241 TCN393240:TCN393241 TMJ393240:TMJ393241 TWF393240:TWF393241 UGB393240:UGB393241 UPX393240:UPX393241 UZT393240:UZT393241 VJP393240:VJP393241 VTL393240:VTL393241 WDH393240:WDH393241 WND393240:WND393241 WWZ393240:WWZ393241 AR458776:AR458777 KN458776:KN458777 UJ458776:UJ458777 AEF458776:AEF458777 AOB458776:AOB458777 AXX458776:AXX458777 BHT458776:BHT458777 BRP458776:BRP458777 CBL458776:CBL458777 CLH458776:CLH458777 CVD458776:CVD458777 DEZ458776:DEZ458777 DOV458776:DOV458777 DYR458776:DYR458777 EIN458776:EIN458777 ESJ458776:ESJ458777 FCF458776:FCF458777 FMB458776:FMB458777 FVX458776:FVX458777 GFT458776:GFT458777 GPP458776:GPP458777 GZL458776:GZL458777 HJH458776:HJH458777 HTD458776:HTD458777 ICZ458776:ICZ458777 IMV458776:IMV458777 IWR458776:IWR458777 JGN458776:JGN458777 JQJ458776:JQJ458777 KAF458776:KAF458777 KKB458776:KKB458777 KTX458776:KTX458777 LDT458776:LDT458777 LNP458776:LNP458777 LXL458776:LXL458777 MHH458776:MHH458777 MRD458776:MRD458777 NAZ458776:NAZ458777 NKV458776:NKV458777 NUR458776:NUR458777 OEN458776:OEN458777 OOJ458776:OOJ458777 OYF458776:OYF458777 PIB458776:PIB458777 PRX458776:PRX458777 QBT458776:QBT458777 QLP458776:QLP458777 QVL458776:QVL458777 RFH458776:RFH458777 RPD458776:RPD458777 RYZ458776:RYZ458777 SIV458776:SIV458777 SSR458776:SSR458777 TCN458776:TCN458777 TMJ458776:TMJ458777 TWF458776:TWF458777 UGB458776:UGB458777 UPX458776:UPX458777 UZT458776:UZT458777 VJP458776:VJP458777 VTL458776:VTL458777 WDH458776:WDH458777 WND458776:WND458777 WWZ458776:WWZ458777 AR524312:AR524313 KN524312:KN524313 UJ524312:UJ524313 AEF524312:AEF524313 AOB524312:AOB524313 AXX524312:AXX524313 BHT524312:BHT524313 BRP524312:BRP524313 CBL524312:CBL524313 CLH524312:CLH524313 CVD524312:CVD524313 DEZ524312:DEZ524313 DOV524312:DOV524313 DYR524312:DYR524313 EIN524312:EIN524313 ESJ524312:ESJ524313 FCF524312:FCF524313 FMB524312:FMB524313 FVX524312:FVX524313 GFT524312:GFT524313 GPP524312:GPP524313 GZL524312:GZL524313 HJH524312:HJH524313 HTD524312:HTD524313 ICZ524312:ICZ524313 IMV524312:IMV524313 IWR524312:IWR524313 JGN524312:JGN524313 JQJ524312:JQJ524313 KAF524312:KAF524313 KKB524312:KKB524313 KTX524312:KTX524313 LDT524312:LDT524313 LNP524312:LNP524313 LXL524312:LXL524313 MHH524312:MHH524313 MRD524312:MRD524313 NAZ524312:NAZ524313 NKV524312:NKV524313 NUR524312:NUR524313 OEN524312:OEN524313 OOJ524312:OOJ524313 OYF524312:OYF524313 PIB524312:PIB524313 PRX524312:PRX524313 QBT524312:QBT524313 QLP524312:QLP524313 QVL524312:QVL524313 RFH524312:RFH524313 RPD524312:RPD524313 RYZ524312:RYZ524313 SIV524312:SIV524313 SSR524312:SSR524313 TCN524312:TCN524313 TMJ524312:TMJ524313 TWF524312:TWF524313 UGB524312:UGB524313 UPX524312:UPX524313 UZT524312:UZT524313 VJP524312:VJP524313 VTL524312:VTL524313 WDH524312:WDH524313 WND524312:WND524313 WWZ524312:WWZ524313 AR589848:AR589849 KN589848:KN589849 UJ589848:UJ589849 AEF589848:AEF589849 AOB589848:AOB589849 AXX589848:AXX589849 BHT589848:BHT589849 BRP589848:BRP589849 CBL589848:CBL589849 CLH589848:CLH589849 CVD589848:CVD589849 DEZ589848:DEZ589849 DOV589848:DOV589849 DYR589848:DYR589849 EIN589848:EIN589849 ESJ589848:ESJ589849 FCF589848:FCF589849 FMB589848:FMB589849 FVX589848:FVX589849 GFT589848:GFT589849 GPP589848:GPP589849 GZL589848:GZL589849 HJH589848:HJH589849 HTD589848:HTD589849 ICZ589848:ICZ589849 IMV589848:IMV589849 IWR589848:IWR589849 JGN589848:JGN589849 JQJ589848:JQJ589849 KAF589848:KAF589849 KKB589848:KKB589849 KTX589848:KTX589849 LDT589848:LDT589849 LNP589848:LNP589849 LXL589848:LXL589849 MHH589848:MHH589849 MRD589848:MRD589849 NAZ589848:NAZ589849 NKV589848:NKV589849 NUR589848:NUR589849 OEN589848:OEN589849 OOJ589848:OOJ589849 OYF589848:OYF589849 PIB589848:PIB589849 PRX589848:PRX589849 QBT589848:QBT589849 QLP589848:QLP589849 QVL589848:QVL589849 RFH589848:RFH589849 RPD589848:RPD589849 RYZ589848:RYZ589849 SIV589848:SIV589849 SSR589848:SSR589849 TCN589848:TCN589849 TMJ589848:TMJ589849 TWF589848:TWF589849 UGB589848:UGB589849 UPX589848:UPX589849 UZT589848:UZT589849 VJP589848:VJP589849 VTL589848:VTL589849 WDH589848:WDH589849 WND589848:WND589849 WWZ589848:WWZ589849 AR655384:AR655385 KN655384:KN655385 UJ655384:UJ655385 AEF655384:AEF655385 AOB655384:AOB655385 AXX655384:AXX655385 BHT655384:BHT655385 BRP655384:BRP655385 CBL655384:CBL655385 CLH655384:CLH655385 CVD655384:CVD655385 DEZ655384:DEZ655385 DOV655384:DOV655385 DYR655384:DYR655385 EIN655384:EIN655385 ESJ655384:ESJ655385 FCF655384:FCF655385 FMB655384:FMB655385 FVX655384:FVX655385 GFT655384:GFT655385 GPP655384:GPP655385 GZL655384:GZL655385 HJH655384:HJH655385 HTD655384:HTD655385 ICZ655384:ICZ655385 IMV655384:IMV655385 IWR655384:IWR655385 JGN655384:JGN655385 JQJ655384:JQJ655385 KAF655384:KAF655385 KKB655384:KKB655385 KTX655384:KTX655385 LDT655384:LDT655385 LNP655384:LNP655385 LXL655384:LXL655385 MHH655384:MHH655385 MRD655384:MRD655385 NAZ655384:NAZ655385 NKV655384:NKV655385 NUR655384:NUR655385 OEN655384:OEN655385 OOJ655384:OOJ655385 OYF655384:OYF655385 PIB655384:PIB655385 PRX655384:PRX655385 QBT655384:QBT655385 QLP655384:QLP655385 QVL655384:QVL655385 RFH655384:RFH655385 RPD655384:RPD655385 RYZ655384:RYZ655385 SIV655384:SIV655385 SSR655384:SSR655385 TCN655384:TCN655385 TMJ655384:TMJ655385 TWF655384:TWF655385 UGB655384:UGB655385 UPX655384:UPX655385 UZT655384:UZT655385 VJP655384:VJP655385 VTL655384:VTL655385 WDH655384:WDH655385 WND655384:WND655385 WWZ655384:WWZ655385 AR720920:AR720921 KN720920:KN720921 UJ720920:UJ720921 AEF720920:AEF720921 AOB720920:AOB720921 AXX720920:AXX720921 BHT720920:BHT720921 BRP720920:BRP720921 CBL720920:CBL720921 CLH720920:CLH720921 CVD720920:CVD720921 DEZ720920:DEZ720921 DOV720920:DOV720921 DYR720920:DYR720921 EIN720920:EIN720921 ESJ720920:ESJ720921 FCF720920:FCF720921 FMB720920:FMB720921 FVX720920:FVX720921 GFT720920:GFT720921 GPP720920:GPP720921 GZL720920:GZL720921 HJH720920:HJH720921 HTD720920:HTD720921 ICZ720920:ICZ720921 IMV720920:IMV720921 IWR720920:IWR720921 JGN720920:JGN720921 JQJ720920:JQJ720921 KAF720920:KAF720921 KKB720920:KKB720921 KTX720920:KTX720921 LDT720920:LDT720921 LNP720920:LNP720921 LXL720920:LXL720921 MHH720920:MHH720921 MRD720920:MRD720921 NAZ720920:NAZ720921 NKV720920:NKV720921 NUR720920:NUR720921 OEN720920:OEN720921 OOJ720920:OOJ720921 OYF720920:OYF720921 PIB720920:PIB720921 PRX720920:PRX720921 QBT720920:QBT720921 QLP720920:QLP720921 QVL720920:QVL720921 RFH720920:RFH720921 RPD720920:RPD720921 RYZ720920:RYZ720921 SIV720920:SIV720921 SSR720920:SSR720921 TCN720920:TCN720921 TMJ720920:TMJ720921 TWF720920:TWF720921 UGB720920:UGB720921 UPX720920:UPX720921 UZT720920:UZT720921 VJP720920:VJP720921 VTL720920:VTL720921 WDH720920:WDH720921 WND720920:WND720921 WWZ720920:WWZ720921 AR786456:AR786457 KN786456:KN786457 UJ786456:UJ786457 AEF786456:AEF786457 AOB786456:AOB786457 AXX786456:AXX786457 BHT786456:BHT786457 BRP786456:BRP786457 CBL786456:CBL786457 CLH786456:CLH786457 CVD786456:CVD786457 DEZ786456:DEZ786457 DOV786456:DOV786457 DYR786456:DYR786457 EIN786456:EIN786457 ESJ786456:ESJ786457 FCF786456:FCF786457 FMB786456:FMB786457 FVX786456:FVX786457 GFT786456:GFT786457 GPP786456:GPP786457 GZL786456:GZL786457 HJH786456:HJH786457 HTD786456:HTD786457 ICZ786456:ICZ786457 IMV786456:IMV786457 IWR786456:IWR786457 JGN786456:JGN786457 JQJ786456:JQJ786457 KAF786456:KAF786457 KKB786456:KKB786457 KTX786456:KTX786457 LDT786456:LDT786457 LNP786456:LNP786457 LXL786456:LXL786457 MHH786456:MHH786457 MRD786456:MRD786457 NAZ786456:NAZ786457 NKV786456:NKV786457 NUR786456:NUR786457 OEN786456:OEN786457 OOJ786456:OOJ786457 OYF786456:OYF786457 PIB786456:PIB786457 PRX786456:PRX786457 QBT786456:QBT786457 QLP786456:QLP786457 QVL786456:QVL786457 RFH786456:RFH786457 RPD786456:RPD786457 RYZ786456:RYZ786457 SIV786456:SIV786457 SSR786456:SSR786457 TCN786456:TCN786457 TMJ786456:TMJ786457 TWF786456:TWF786457 UGB786456:UGB786457 UPX786456:UPX786457 UZT786456:UZT786457 VJP786456:VJP786457 VTL786456:VTL786457 WDH786456:WDH786457 WND786456:WND786457 WWZ786456:WWZ786457 AR851992:AR851993 KN851992:KN851993 UJ851992:UJ851993 AEF851992:AEF851993 AOB851992:AOB851993 AXX851992:AXX851993 BHT851992:BHT851993 BRP851992:BRP851993 CBL851992:CBL851993 CLH851992:CLH851993 CVD851992:CVD851993 DEZ851992:DEZ851993 DOV851992:DOV851993 DYR851992:DYR851993 EIN851992:EIN851993 ESJ851992:ESJ851993 FCF851992:FCF851993 FMB851992:FMB851993 FVX851992:FVX851993 GFT851992:GFT851993 GPP851992:GPP851993 GZL851992:GZL851993 HJH851992:HJH851993 HTD851992:HTD851993 ICZ851992:ICZ851993 IMV851992:IMV851993 IWR851992:IWR851993 JGN851992:JGN851993 JQJ851992:JQJ851993 KAF851992:KAF851993 KKB851992:KKB851993 KTX851992:KTX851993 LDT851992:LDT851993 LNP851992:LNP851993 LXL851992:LXL851993 MHH851992:MHH851993 MRD851992:MRD851993 NAZ851992:NAZ851993 NKV851992:NKV851993 NUR851992:NUR851993 OEN851992:OEN851993 OOJ851992:OOJ851993 OYF851992:OYF851993 PIB851992:PIB851993 PRX851992:PRX851993 QBT851992:QBT851993 QLP851992:QLP851993 QVL851992:QVL851993 RFH851992:RFH851993 RPD851992:RPD851993 RYZ851992:RYZ851993 SIV851992:SIV851993 SSR851992:SSR851993 TCN851992:TCN851993 TMJ851992:TMJ851993 TWF851992:TWF851993 UGB851992:UGB851993 UPX851992:UPX851993 UZT851992:UZT851993 VJP851992:VJP851993 VTL851992:VTL851993 WDH851992:WDH851993 WND851992:WND851993 WWZ851992:WWZ851993 AR917528:AR917529 KN917528:KN917529 UJ917528:UJ917529 AEF917528:AEF917529 AOB917528:AOB917529 AXX917528:AXX917529 BHT917528:BHT917529 BRP917528:BRP917529 CBL917528:CBL917529 CLH917528:CLH917529 CVD917528:CVD917529 DEZ917528:DEZ917529 DOV917528:DOV917529 DYR917528:DYR917529 EIN917528:EIN917529 ESJ917528:ESJ917529 FCF917528:FCF917529 FMB917528:FMB917529 FVX917528:FVX917529 GFT917528:GFT917529 GPP917528:GPP917529 GZL917528:GZL917529 HJH917528:HJH917529 HTD917528:HTD917529 ICZ917528:ICZ917529 IMV917528:IMV917529 IWR917528:IWR917529 JGN917528:JGN917529 JQJ917528:JQJ917529 KAF917528:KAF917529 KKB917528:KKB917529 KTX917528:KTX917529 LDT917528:LDT917529 LNP917528:LNP917529 LXL917528:LXL917529 MHH917528:MHH917529 MRD917528:MRD917529 NAZ917528:NAZ917529 NKV917528:NKV917529 NUR917528:NUR917529 OEN917528:OEN917529 OOJ917528:OOJ917529 OYF917528:OYF917529 PIB917528:PIB917529 PRX917528:PRX917529 QBT917528:QBT917529 QLP917528:QLP917529 QVL917528:QVL917529 RFH917528:RFH917529 RPD917528:RPD917529 RYZ917528:RYZ917529 SIV917528:SIV917529 SSR917528:SSR917529 TCN917528:TCN917529 TMJ917528:TMJ917529 TWF917528:TWF917529 UGB917528:UGB917529 UPX917528:UPX917529 UZT917528:UZT917529 VJP917528:VJP917529 VTL917528:VTL917529 WDH917528:WDH917529 WND917528:WND917529 WWZ917528:WWZ917529 AR983064:AR983065 KN983064:KN983065 UJ983064:UJ983065 AEF983064:AEF983065 AOB983064:AOB983065 AXX983064:AXX983065 BHT983064:BHT983065 BRP983064:BRP983065 CBL983064:CBL983065 CLH983064:CLH983065 CVD983064:CVD983065 DEZ983064:DEZ983065 DOV983064:DOV983065 DYR983064:DYR983065 EIN983064:EIN983065 ESJ983064:ESJ983065 FCF983064:FCF983065 FMB983064:FMB983065 FVX983064:FVX983065 GFT983064:GFT983065 GPP983064:GPP983065 GZL983064:GZL983065 HJH983064:HJH983065 HTD983064:HTD983065 ICZ983064:ICZ983065 IMV983064:IMV983065 IWR983064:IWR983065 JGN983064:JGN983065 JQJ983064:JQJ983065 KAF983064:KAF983065 KKB983064:KKB983065 KTX983064:KTX983065 LDT983064:LDT983065 LNP983064:LNP983065 LXL983064:LXL983065 MHH983064:MHH983065 MRD983064:MRD983065 NAZ983064:NAZ983065 NKV983064:NKV983065 NUR983064:NUR983065 OEN983064:OEN983065 OOJ983064:OOJ983065 OYF983064:OYF983065 PIB983064:PIB983065 PRX983064:PRX983065 QBT983064:QBT983065 QLP983064:QLP983065 QVL983064:QVL983065 RFH983064:RFH983065 RPD983064:RPD983065 RYZ983064:RYZ983065 SIV983064:SIV983065 SSR983064:SSR983065 TCN983064:TCN983065 TMJ983064:TMJ983065 TWF983064:TWF983065 UGB983064:UGB983065 UPX983064:UPX983065 UZT983064:UZT983065 VJP983064:VJP983065 VTL983064:VTL983065 WDH983064:WDH983065 WND983064:WND983065 WWZ983064:WWZ983065 AR31:AR33 KN31:KN33 UJ31:UJ33 AEF31:AEF33 AOB31:AOB33 AXX31:AXX33 BHT31:BHT33 BRP31:BRP33 CBL31:CBL33 CLH31:CLH33 CVD31:CVD33 DEZ31:DEZ33 DOV31:DOV33 DYR31:DYR33 EIN31:EIN33 ESJ31:ESJ33 FCF31:FCF33 FMB31:FMB33 FVX31:FVX33 GFT31:GFT33 GPP31:GPP33 GZL31:GZL33 HJH31:HJH33 HTD31:HTD33 ICZ31:ICZ33 IMV31:IMV33 IWR31:IWR33 JGN31:JGN33 JQJ31:JQJ33 KAF31:KAF33 KKB31:KKB33 KTX31:KTX33 LDT31:LDT33 LNP31:LNP33 LXL31:LXL33 MHH31:MHH33 MRD31:MRD33 NAZ31:NAZ33 NKV31:NKV33 NUR31:NUR33 OEN31:OEN33 OOJ31:OOJ33 OYF31:OYF33 PIB31:PIB33 PRX31:PRX33 QBT31:QBT33 QLP31:QLP33 QVL31:QVL33 RFH31:RFH33 RPD31:RPD33 RYZ31:RYZ33 SIV31:SIV33 SSR31:SSR33 TCN31:TCN33 TMJ31:TMJ33 TWF31:TWF33 UGB31:UGB33 UPX31:UPX33 UZT31:UZT33 VJP31:VJP33 VTL31:VTL33 WDH31:WDH33 WND31:WND33 WWZ31:WWZ33 AR65567:AR65569 KN65567:KN65569 UJ65567:UJ65569 AEF65567:AEF65569 AOB65567:AOB65569 AXX65567:AXX65569 BHT65567:BHT65569 BRP65567:BRP65569 CBL65567:CBL65569 CLH65567:CLH65569 CVD65567:CVD65569 DEZ65567:DEZ65569 DOV65567:DOV65569 DYR65567:DYR65569 EIN65567:EIN65569 ESJ65567:ESJ65569 FCF65567:FCF65569 FMB65567:FMB65569 FVX65567:FVX65569 GFT65567:GFT65569 GPP65567:GPP65569 GZL65567:GZL65569 HJH65567:HJH65569 HTD65567:HTD65569 ICZ65567:ICZ65569 IMV65567:IMV65569 IWR65567:IWR65569 JGN65567:JGN65569 JQJ65567:JQJ65569 KAF65567:KAF65569 KKB65567:KKB65569 KTX65567:KTX65569 LDT65567:LDT65569 LNP65567:LNP65569 LXL65567:LXL65569 MHH65567:MHH65569 MRD65567:MRD65569 NAZ65567:NAZ65569 NKV65567:NKV65569 NUR65567:NUR65569 OEN65567:OEN65569 OOJ65567:OOJ65569 OYF65567:OYF65569 PIB65567:PIB65569 PRX65567:PRX65569 QBT65567:QBT65569 QLP65567:QLP65569 QVL65567:QVL65569 RFH65567:RFH65569 RPD65567:RPD65569 RYZ65567:RYZ65569 SIV65567:SIV65569 SSR65567:SSR65569 TCN65567:TCN65569 TMJ65567:TMJ65569 TWF65567:TWF65569 UGB65567:UGB65569 UPX65567:UPX65569 UZT65567:UZT65569 VJP65567:VJP65569 VTL65567:VTL65569 WDH65567:WDH65569 WND65567:WND65569 WWZ65567:WWZ65569 AR131103:AR131105 KN131103:KN131105 UJ131103:UJ131105 AEF131103:AEF131105 AOB131103:AOB131105 AXX131103:AXX131105 BHT131103:BHT131105 BRP131103:BRP131105 CBL131103:CBL131105 CLH131103:CLH131105 CVD131103:CVD131105 DEZ131103:DEZ131105 DOV131103:DOV131105 DYR131103:DYR131105 EIN131103:EIN131105 ESJ131103:ESJ131105 FCF131103:FCF131105 FMB131103:FMB131105 FVX131103:FVX131105 GFT131103:GFT131105 GPP131103:GPP131105 GZL131103:GZL131105 HJH131103:HJH131105 HTD131103:HTD131105 ICZ131103:ICZ131105 IMV131103:IMV131105 IWR131103:IWR131105 JGN131103:JGN131105 JQJ131103:JQJ131105 KAF131103:KAF131105 KKB131103:KKB131105 KTX131103:KTX131105 LDT131103:LDT131105 LNP131103:LNP131105 LXL131103:LXL131105 MHH131103:MHH131105 MRD131103:MRD131105 NAZ131103:NAZ131105 NKV131103:NKV131105 NUR131103:NUR131105 OEN131103:OEN131105 OOJ131103:OOJ131105 OYF131103:OYF131105 PIB131103:PIB131105 PRX131103:PRX131105 QBT131103:QBT131105 QLP131103:QLP131105 QVL131103:QVL131105 RFH131103:RFH131105 RPD131103:RPD131105 RYZ131103:RYZ131105 SIV131103:SIV131105 SSR131103:SSR131105 TCN131103:TCN131105 TMJ131103:TMJ131105 TWF131103:TWF131105 UGB131103:UGB131105 UPX131103:UPX131105 UZT131103:UZT131105 VJP131103:VJP131105 VTL131103:VTL131105 WDH131103:WDH131105 WND131103:WND131105 WWZ131103:WWZ131105 AR196639:AR196641 KN196639:KN196641 UJ196639:UJ196641 AEF196639:AEF196641 AOB196639:AOB196641 AXX196639:AXX196641 BHT196639:BHT196641 BRP196639:BRP196641 CBL196639:CBL196641 CLH196639:CLH196641 CVD196639:CVD196641 DEZ196639:DEZ196641 DOV196639:DOV196641 DYR196639:DYR196641 EIN196639:EIN196641 ESJ196639:ESJ196641 FCF196639:FCF196641 FMB196639:FMB196641 FVX196639:FVX196641 GFT196639:GFT196641 GPP196639:GPP196641 GZL196639:GZL196641 HJH196639:HJH196641 HTD196639:HTD196641 ICZ196639:ICZ196641 IMV196639:IMV196641 IWR196639:IWR196641 JGN196639:JGN196641 JQJ196639:JQJ196641 KAF196639:KAF196641 KKB196639:KKB196641 KTX196639:KTX196641 LDT196639:LDT196641 LNP196639:LNP196641 LXL196639:LXL196641 MHH196639:MHH196641 MRD196639:MRD196641 NAZ196639:NAZ196641 NKV196639:NKV196641 NUR196639:NUR196641 OEN196639:OEN196641 OOJ196639:OOJ196641 OYF196639:OYF196641 PIB196639:PIB196641 PRX196639:PRX196641 QBT196639:QBT196641 QLP196639:QLP196641 QVL196639:QVL196641 RFH196639:RFH196641 RPD196639:RPD196641 RYZ196639:RYZ196641 SIV196639:SIV196641 SSR196639:SSR196641 TCN196639:TCN196641 TMJ196639:TMJ196641 TWF196639:TWF196641 UGB196639:UGB196641 UPX196639:UPX196641 UZT196639:UZT196641 VJP196639:VJP196641 VTL196639:VTL196641 WDH196639:WDH196641 WND196639:WND196641 WWZ196639:WWZ196641 AR262175:AR262177 KN262175:KN262177 UJ262175:UJ262177 AEF262175:AEF262177 AOB262175:AOB262177 AXX262175:AXX262177 BHT262175:BHT262177 BRP262175:BRP262177 CBL262175:CBL262177 CLH262175:CLH262177 CVD262175:CVD262177 DEZ262175:DEZ262177 DOV262175:DOV262177 DYR262175:DYR262177 EIN262175:EIN262177 ESJ262175:ESJ262177 FCF262175:FCF262177 FMB262175:FMB262177 FVX262175:FVX262177 GFT262175:GFT262177 GPP262175:GPP262177 GZL262175:GZL262177 HJH262175:HJH262177 HTD262175:HTD262177 ICZ262175:ICZ262177 IMV262175:IMV262177 IWR262175:IWR262177 JGN262175:JGN262177 JQJ262175:JQJ262177 KAF262175:KAF262177 KKB262175:KKB262177 KTX262175:KTX262177 LDT262175:LDT262177 LNP262175:LNP262177 LXL262175:LXL262177 MHH262175:MHH262177 MRD262175:MRD262177 NAZ262175:NAZ262177 NKV262175:NKV262177 NUR262175:NUR262177 OEN262175:OEN262177 OOJ262175:OOJ262177 OYF262175:OYF262177 PIB262175:PIB262177 PRX262175:PRX262177 QBT262175:QBT262177 QLP262175:QLP262177 QVL262175:QVL262177 RFH262175:RFH262177 RPD262175:RPD262177 RYZ262175:RYZ262177 SIV262175:SIV262177 SSR262175:SSR262177 TCN262175:TCN262177 TMJ262175:TMJ262177 TWF262175:TWF262177 UGB262175:UGB262177 UPX262175:UPX262177 UZT262175:UZT262177 VJP262175:VJP262177 VTL262175:VTL262177 WDH262175:WDH262177 WND262175:WND262177 WWZ262175:WWZ262177 AR327711:AR327713 KN327711:KN327713 UJ327711:UJ327713 AEF327711:AEF327713 AOB327711:AOB327713 AXX327711:AXX327713 BHT327711:BHT327713 BRP327711:BRP327713 CBL327711:CBL327713 CLH327711:CLH327713 CVD327711:CVD327713 DEZ327711:DEZ327713 DOV327711:DOV327713 DYR327711:DYR327713 EIN327711:EIN327713 ESJ327711:ESJ327713 FCF327711:FCF327713 FMB327711:FMB327713 FVX327711:FVX327713 GFT327711:GFT327713 GPP327711:GPP327713 GZL327711:GZL327713 HJH327711:HJH327713 HTD327711:HTD327713 ICZ327711:ICZ327713 IMV327711:IMV327713 IWR327711:IWR327713 JGN327711:JGN327713 JQJ327711:JQJ327713 KAF327711:KAF327713 KKB327711:KKB327713 KTX327711:KTX327713 LDT327711:LDT327713 LNP327711:LNP327713 LXL327711:LXL327713 MHH327711:MHH327713 MRD327711:MRD327713 NAZ327711:NAZ327713 NKV327711:NKV327713 NUR327711:NUR327713 OEN327711:OEN327713 OOJ327711:OOJ327713 OYF327711:OYF327713 PIB327711:PIB327713 PRX327711:PRX327713 QBT327711:QBT327713 QLP327711:QLP327713 QVL327711:QVL327713 RFH327711:RFH327713 RPD327711:RPD327713 RYZ327711:RYZ327713 SIV327711:SIV327713 SSR327711:SSR327713 TCN327711:TCN327713 TMJ327711:TMJ327713 TWF327711:TWF327713 UGB327711:UGB327713 UPX327711:UPX327713 UZT327711:UZT327713 VJP327711:VJP327713 VTL327711:VTL327713 WDH327711:WDH327713 WND327711:WND327713 WWZ327711:WWZ327713 AR393247:AR393249 KN393247:KN393249 UJ393247:UJ393249 AEF393247:AEF393249 AOB393247:AOB393249 AXX393247:AXX393249 BHT393247:BHT393249 BRP393247:BRP393249 CBL393247:CBL393249 CLH393247:CLH393249 CVD393247:CVD393249 DEZ393247:DEZ393249 DOV393247:DOV393249 DYR393247:DYR393249 EIN393247:EIN393249 ESJ393247:ESJ393249 FCF393247:FCF393249 FMB393247:FMB393249 FVX393247:FVX393249 GFT393247:GFT393249 GPP393247:GPP393249 GZL393247:GZL393249 HJH393247:HJH393249 HTD393247:HTD393249 ICZ393247:ICZ393249 IMV393247:IMV393249 IWR393247:IWR393249 JGN393247:JGN393249 JQJ393247:JQJ393249 KAF393247:KAF393249 KKB393247:KKB393249 KTX393247:KTX393249 LDT393247:LDT393249 LNP393247:LNP393249 LXL393247:LXL393249 MHH393247:MHH393249 MRD393247:MRD393249 NAZ393247:NAZ393249 NKV393247:NKV393249 NUR393247:NUR393249 OEN393247:OEN393249 OOJ393247:OOJ393249 OYF393247:OYF393249 PIB393247:PIB393249 PRX393247:PRX393249 QBT393247:QBT393249 QLP393247:QLP393249 QVL393247:QVL393249 RFH393247:RFH393249 RPD393247:RPD393249 RYZ393247:RYZ393249 SIV393247:SIV393249 SSR393247:SSR393249 TCN393247:TCN393249 TMJ393247:TMJ393249 TWF393247:TWF393249 UGB393247:UGB393249 UPX393247:UPX393249 UZT393247:UZT393249 VJP393247:VJP393249 VTL393247:VTL393249 WDH393247:WDH393249 WND393247:WND393249 WWZ393247:WWZ393249 AR458783:AR458785 KN458783:KN458785 UJ458783:UJ458785 AEF458783:AEF458785 AOB458783:AOB458785 AXX458783:AXX458785 BHT458783:BHT458785 BRP458783:BRP458785 CBL458783:CBL458785 CLH458783:CLH458785 CVD458783:CVD458785 DEZ458783:DEZ458785 DOV458783:DOV458785 DYR458783:DYR458785 EIN458783:EIN458785 ESJ458783:ESJ458785 FCF458783:FCF458785 FMB458783:FMB458785 FVX458783:FVX458785 GFT458783:GFT458785 GPP458783:GPP458785 GZL458783:GZL458785 HJH458783:HJH458785 HTD458783:HTD458785 ICZ458783:ICZ458785 IMV458783:IMV458785 IWR458783:IWR458785 JGN458783:JGN458785 JQJ458783:JQJ458785 KAF458783:KAF458785 KKB458783:KKB458785 KTX458783:KTX458785 LDT458783:LDT458785 LNP458783:LNP458785 LXL458783:LXL458785 MHH458783:MHH458785 MRD458783:MRD458785 NAZ458783:NAZ458785 NKV458783:NKV458785 NUR458783:NUR458785 OEN458783:OEN458785 OOJ458783:OOJ458785 OYF458783:OYF458785 PIB458783:PIB458785 PRX458783:PRX458785 QBT458783:QBT458785 QLP458783:QLP458785 QVL458783:QVL458785 RFH458783:RFH458785 RPD458783:RPD458785 RYZ458783:RYZ458785 SIV458783:SIV458785 SSR458783:SSR458785 TCN458783:TCN458785 TMJ458783:TMJ458785 TWF458783:TWF458785 UGB458783:UGB458785 UPX458783:UPX458785 UZT458783:UZT458785 VJP458783:VJP458785 VTL458783:VTL458785 WDH458783:WDH458785 WND458783:WND458785 WWZ458783:WWZ458785 AR524319:AR524321 KN524319:KN524321 UJ524319:UJ524321 AEF524319:AEF524321 AOB524319:AOB524321 AXX524319:AXX524321 BHT524319:BHT524321 BRP524319:BRP524321 CBL524319:CBL524321 CLH524319:CLH524321 CVD524319:CVD524321 DEZ524319:DEZ524321 DOV524319:DOV524321 DYR524319:DYR524321 EIN524319:EIN524321 ESJ524319:ESJ524321 FCF524319:FCF524321 FMB524319:FMB524321 FVX524319:FVX524321 GFT524319:GFT524321 GPP524319:GPP524321 GZL524319:GZL524321 HJH524319:HJH524321 HTD524319:HTD524321 ICZ524319:ICZ524321 IMV524319:IMV524321 IWR524319:IWR524321 JGN524319:JGN524321 JQJ524319:JQJ524321 KAF524319:KAF524321 KKB524319:KKB524321 KTX524319:KTX524321 LDT524319:LDT524321 LNP524319:LNP524321 LXL524319:LXL524321 MHH524319:MHH524321 MRD524319:MRD524321 NAZ524319:NAZ524321 NKV524319:NKV524321 NUR524319:NUR524321 OEN524319:OEN524321 OOJ524319:OOJ524321 OYF524319:OYF524321 PIB524319:PIB524321 PRX524319:PRX524321 QBT524319:QBT524321 QLP524319:QLP524321 QVL524319:QVL524321 RFH524319:RFH524321 RPD524319:RPD524321 RYZ524319:RYZ524321 SIV524319:SIV524321 SSR524319:SSR524321 TCN524319:TCN524321 TMJ524319:TMJ524321 TWF524319:TWF524321 UGB524319:UGB524321 UPX524319:UPX524321 UZT524319:UZT524321 VJP524319:VJP524321 VTL524319:VTL524321 WDH524319:WDH524321 WND524319:WND524321 WWZ524319:WWZ524321 AR589855:AR589857 KN589855:KN589857 UJ589855:UJ589857 AEF589855:AEF589857 AOB589855:AOB589857 AXX589855:AXX589857 BHT589855:BHT589857 BRP589855:BRP589857 CBL589855:CBL589857 CLH589855:CLH589857 CVD589855:CVD589857 DEZ589855:DEZ589857 DOV589855:DOV589857 DYR589855:DYR589857 EIN589855:EIN589857 ESJ589855:ESJ589857 FCF589855:FCF589857 FMB589855:FMB589857 FVX589855:FVX589857 GFT589855:GFT589857 GPP589855:GPP589857 GZL589855:GZL589857 HJH589855:HJH589857 HTD589855:HTD589857 ICZ589855:ICZ589857 IMV589855:IMV589857 IWR589855:IWR589857 JGN589855:JGN589857 JQJ589855:JQJ589857 KAF589855:KAF589857 KKB589855:KKB589857 KTX589855:KTX589857 LDT589855:LDT589857 LNP589855:LNP589857 LXL589855:LXL589857 MHH589855:MHH589857 MRD589855:MRD589857 NAZ589855:NAZ589857 NKV589855:NKV589857 NUR589855:NUR589857 OEN589855:OEN589857 OOJ589855:OOJ589857 OYF589855:OYF589857 PIB589855:PIB589857 PRX589855:PRX589857 QBT589855:QBT589857 QLP589855:QLP589857 QVL589855:QVL589857 RFH589855:RFH589857 RPD589855:RPD589857 RYZ589855:RYZ589857 SIV589855:SIV589857 SSR589855:SSR589857 TCN589855:TCN589857 TMJ589855:TMJ589857 TWF589855:TWF589857 UGB589855:UGB589857 UPX589855:UPX589857 UZT589855:UZT589857 VJP589855:VJP589857 VTL589855:VTL589857 WDH589855:WDH589857 WND589855:WND589857 WWZ589855:WWZ589857 AR655391:AR655393 KN655391:KN655393 UJ655391:UJ655393 AEF655391:AEF655393 AOB655391:AOB655393 AXX655391:AXX655393 BHT655391:BHT655393 BRP655391:BRP655393 CBL655391:CBL655393 CLH655391:CLH655393 CVD655391:CVD655393 DEZ655391:DEZ655393 DOV655391:DOV655393 DYR655391:DYR655393 EIN655391:EIN655393 ESJ655391:ESJ655393 FCF655391:FCF655393 FMB655391:FMB655393 FVX655391:FVX655393 GFT655391:GFT655393 GPP655391:GPP655393 GZL655391:GZL655393 HJH655391:HJH655393 HTD655391:HTD655393 ICZ655391:ICZ655393 IMV655391:IMV655393 IWR655391:IWR655393 JGN655391:JGN655393 JQJ655391:JQJ655393 KAF655391:KAF655393 KKB655391:KKB655393 KTX655391:KTX655393 LDT655391:LDT655393 LNP655391:LNP655393 LXL655391:LXL655393 MHH655391:MHH655393 MRD655391:MRD655393 NAZ655391:NAZ655393 NKV655391:NKV655393 NUR655391:NUR655393 OEN655391:OEN655393 OOJ655391:OOJ655393 OYF655391:OYF655393 PIB655391:PIB655393 PRX655391:PRX655393 QBT655391:QBT655393 QLP655391:QLP655393 QVL655391:QVL655393 RFH655391:RFH655393 RPD655391:RPD655393 RYZ655391:RYZ655393 SIV655391:SIV655393 SSR655391:SSR655393 TCN655391:TCN655393 TMJ655391:TMJ655393 TWF655391:TWF655393 UGB655391:UGB655393 UPX655391:UPX655393 UZT655391:UZT655393 VJP655391:VJP655393 VTL655391:VTL655393 WDH655391:WDH655393 WND655391:WND655393 WWZ655391:WWZ655393 AR720927:AR720929 KN720927:KN720929 UJ720927:UJ720929 AEF720927:AEF720929 AOB720927:AOB720929 AXX720927:AXX720929 BHT720927:BHT720929 BRP720927:BRP720929 CBL720927:CBL720929 CLH720927:CLH720929 CVD720927:CVD720929 DEZ720927:DEZ720929 DOV720927:DOV720929 DYR720927:DYR720929 EIN720927:EIN720929 ESJ720927:ESJ720929 FCF720927:FCF720929 FMB720927:FMB720929 FVX720927:FVX720929 GFT720927:GFT720929 GPP720927:GPP720929 GZL720927:GZL720929 HJH720927:HJH720929 HTD720927:HTD720929 ICZ720927:ICZ720929 IMV720927:IMV720929 IWR720927:IWR720929 JGN720927:JGN720929 JQJ720927:JQJ720929 KAF720927:KAF720929 KKB720927:KKB720929 KTX720927:KTX720929 LDT720927:LDT720929 LNP720927:LNP720929 LXL720927:LXL720929 MHH720927:MHH720929 MRD720927:MRD720929 NAZ720927:NAZ720929 NKV720927:NKV720929 NUR720927:NUR720929 OEN720927:OEN720929 OOJ720927:OOJ720929 OYF720927:OYF720929 PIB720927:PIB720929 PRX720927:PRX720929 QBT720927:QBT720929 QLP720927:QLP720929 QVL720927:QVL720929 RFH720927:RFH720929 RPD720927:RPD720929 RYZ720927:RYZ720929 SIV720927:SIV720929 SSR720927:SSR720929 TCN720927:TCN720929 TMJ720927:TMJ720929 TWF720927:TWF720929 UGB720927:UGB720929 UPX720927:UPX720929 UZT720927:UZT720929 VJP720927:VJP720929 VTL720927:VTL720929 WDH720927:WDH720929 WND720927:WND720929 WWZ720927:WWZ720929 AR786463:AR786465 KN786463:KN786465 UJ786463:UJ786465 AEF786463:AEF786465 AOB786463:AOB786465 AXX786463:AXX786465 BHT786463:BHT786465 BRP786463:BRP786465 CBL786463:CBL786465 CLH786463:CLH786465 CVD786463:CVD786465 DEZ786463:DEZ786465 DOV786463:DOV786465 DYR786463:DYR786465 EIN786463:EIN786465 ESJ786463:ESJ786465 FCF786463:FCF786465 FMB786463:FMB786465 FVX786463:FVX786465 GFT786463:GFT786465 GPP786463:GPP786465 GZL786463:GZL786465 HJH786463:HJH786465 HTD786463:HTD786465 ICZ786463:ICZ786465 IMV786463:IMV786465 IWR786463:IWR786465 JGN786463:JGN786465 JQJ786463:JQJ786465 KAF786463:KAF786465 KKB786463:KKB786465 KTX786463:KTX786465 LDT786463:LDT786465 LNP786463:LNP786465 LXL786463:LXL786465 MHH786463:MHH786465 MRD786463:MRD786465 NAZ786463:NAZ786465 NKV786463:NKV786465 NUR786463:NUR786465 OEN786463:OEN786465 OOJ786463:OOJ786465 OYF786463:OYF786465 PIB786463:PIB786465 PRX786463:PRX786465 QBT786463:QBT786465 QLP786463:QLP786465 QVL786463:QVL786465 RFH786463:RFH786465 RPD786463:RPD786465 RYZ786463:RYZ786465 SIV786463:SIV786465 SSR786463:SSR786465 TCN786463:TCN786465 TMJ786463:TMJ786465 TWF786463:TWF786465 UGB786463:UGB786465 UPX786463:UPX786465 UZT786463:UZT786465 VJP786463:VJP786465 VTL786463:VTL786465 WDH786463:WDH786465 WND786463:WND786465 WWZ786463:WWZ786465 AR851999:AR852001 KN851999:KN852001 UJ851999:UJ852001 AEF851999:AEF852001 AOB851999:AOB852001 AXX851999:AXX852001 BHT851999:BHT852001 BRP851999:BRP852001 CBL851999:CBL852001 CLH851999:CLH852001 CVD851999:CVD852001 DEZ851999:DEZ852001 DOV851999:DOV852001 DYR851999:DYR852001 EIN851999:EIN852001 ESJ851999:ESJ852001 FCF851999:FCF852001 FMB851999:FMB852001 FVX851999:FVX852001 GFT851999:GFT852001 GPP851999:GPP852001 GZL851999:GZL852001 HJH851999:HJH852001 HTD851999:HTD852001 ICZ851999:ICZ852001 IMV851999:IMV852001 IWR851999:IWR852001 JGN851999:JGN852001 JQJ851999:JQJ852001 KAF851999:KAF852001 KKB851999:KKB852001 KTX851999:KTX852001 LDT851999:LDT852001 LNP851999:LNP852001 LXL851999:LXL852001 MHH851999:MHH852001 MRD851999:MRD852001 NAZ851999:NAZ852001 NKV851999:NKV852001 NUR851999:NUR852001 OEN851999:OEN852001 OOJ851999:OOJ852001 OYF851999:OYF852001 PIB851999:PIB852001 PRX851999:PRX852001 QBT851999:QBT852001 QLP851999:QLP852001 QVL851999:QVL852001 RFH851999:RFH852001 RPD851999:RPD852001 RYZ851999:RYZ852001 SIV851999:SIV852001 SSR851999:SSR852001 TCN851999:TCN852001 TMJ851999:TMJ852001 TWF851999:TWF852001 UGB851999:UGB852001 UPX851999:UPX852001 UZT851999:UZT852001 VJP851999:VJP852001 VTL851999:VTL852001 WDH851999:WDH852001 WND851999:WND852001 WWZ851999:WWZ852001 AR917535:AR917537 KN917535:KN917537 UJ917535:UJ917537 AEF917535:AEF917537 AOB917535:AOB917537 AXX917535:AXX917537 BHT917535:BHT917537 BRP917535:BRP917537 CBL917535:CBL917537 CLH917535:CLH917537 CVD917535:CVD917537 DEZ917535:DEZ917537 DOV917535:DOV917537 DYR917535:DYR917537 EIN917535:EIN917537 ESJ917535:ESJ917537 FCF917535:FCF917537 FMB917535:FMB917537 FVX917535:FVX917537 GFT917535:GFT917537 GPP917535:GPP917537 GZL917535:GZL917537 HJH917535:HJH917537 HTD917535:HTD917537 ICZ917535:ICZ917537 IMV917535:IMV917537 IWR917535:IWR917537 JGN917535:JGN917537 JQJ917535:JQJ917537 KAF917535:KAF917537 KKB917535:KKB917537 KTX917535:KTX917537 LDT917535:LDT917537 LNP917535:LNP917537 LXL917535:LXL917537 MHH917535:MHH917537 MRD917535:MRD917537 NAZ917535:NAZ917537 NKV917535:NKV917537 NUR917535:NUR917537 OEN917535:OEN917537 OOJ917535:OOJ917537 OYF917535:OYF917537 PIB917535:PIB917537 PRX917535:PRX917537 QBT917535:QBT917537 QLP917535:QLP917537 QVL917535:QVL917537 RFH917535:RFH917537 RPD917535:RPD917537 RYZ917535:RYZ917537 SIV917535:SIV917537 SSR917535:SSR917537 TCN917535:TCN917537 TMJ917535:TMJ917537 TWF917535:TWF917537 UGB917535:UGB917537 UPX917535:UPX917537 UZT917535:UZT917537 VJP917535:VJP917537 VTL917535:VTL917537 WDH917535:WDH917537 WND917535:WND917537 WWZ917535:WWZ917537 AR983071:AR983073 KN983071:KN983073 UJ983071:UJ983073 AEF983071:AEF983073 AOB983071:AOB983073 AXX983071:AXX983073 BHT983071:BHT983073 BRP983071:BRP983073 CBL983071:CBL983073 CLH983071:CLH983073 CVD983071:CVD983073 DEZ983071:DEZ983073 DOV983071:DOV983073 DYR983071:DYR983073 EIN983071:EIN983073 ESJ983071:ESJ983073 FCF983071:FCF983073 FMB983071:FMB983073 FVX983071:FVX983073 GFT983071:GFT983073 GPP983071:GPP983073 GZL983071:GZL983073 HJH983071:HJH983073 HTD983071:HTD983073 ICZ983071:ICZ983073 IMV983071:IMV983073 IWR983071:IWR983073 JGN983071:JGN983073 JQJ983071:JQJ983073 KAF983071:KAF983073 KKB983071:KKB983073 KTX983071:KTX983073 LDT983071:LDT983073 LNP983071:LNP983073 LXL983071:LXL983073 MHH983071:MHH983073 MRD983071:MRD983073 NAZ983071:NAZ983073 NKV983071:NKV983073 NUR983071:NUR983073 OEN983071:OEN983073 OOJ983071:OOJ983073 OYF983071:OYF983073 PIB983071:PIB983073 PRX983071:PRX983073 QBT983071:QBT983073 QLP983071:QLP983073 QVL983071:QVL983073 RFH983071:RFH983073 RPD983071:RPD983073 RYZ983071:RYZ983073 SIV983071:SIV983073 SSR983071:SSR983073 TCN983071:TCN983073 TMJ983071:TMJ983073 TWF983071:TWF983073 UGB983071:UGB983073 UPX983071:UPX983073 UZT983071:UZT983073 VJP983071:VJP983073 VTL983071:VTL983073 WDH983071:WDH983073 WND983071:WND983073 WWZ983071:WWZ983073 AQ39:AR39 KM39:KN39 UI39:UJ39 AEE39:AEF39 AOA39:AOB39 AXW39:AXX39 BHS39:BHT39 BRO39:BRP39 CBK39:CBL39 CLG39:CLH39 CVC39:CVD39 DEY39:DEZ39 DOU39:DOV39 DYQ39:DYR39 EIM39:EIN39 ESI39:ESJ39 FCE39:FCF39 FMA39:FMB39 FVW39:FVX39 GFS39:GFT39 GPO39:GPP39 GZK39:GZL39 HJG39:HJH39 HTC39:HTD39 ICY39:ICZ39 IMU39:IMV39 IWQ39:IWR39 JGM39:JGN39 JQI39:JQJ39 KAE39:KAF39 KKA39:KKB39 KTW39:KTX39 LDS39:LDT39 LNO39:LNP39 LXK39:LXL39 MHG39:MHH39 MRC39:MRD39 NAY39:NAZ39 NKU39:NKV39 NUQ39:NUR39 OEM39:OEN39 OOI39:OOJ39 OYE39:OYF39 PIA39:PIB39 PRW39:PRX39 QBS39:QBT39 QLO39:QLP39 QVK39:QVL39 RFG39:RFH39 RPC39:RPD39 RYY39:RYZ39 SIU39:SIV39 SSQ39:SSR39 TCM39:TCN39 TMI39:TMJ39 TWE39:TWF39 UGA39:UGB39 UPW39:UPX39 UZS39:UZT39 VJO39:VJP39 VTK39:VTL39 WDG39:WDH39 WNC39:WND39 WWY39:WWZ39 AQ65575:AR65575 KM65575:KN65575 UI65575:UJ65575 AEE65575:AEF65575 AOA65575:AOB65575 AXW65575:AXX65575 BHS65575:BHT65575 BRO65575:BRP65575 CBK65575:CBL65575 CLG65575:CLH65575 CVC65575:CVD65575 DEY65575:DEZ65575 DOU65575:DOV65575 DYQ65575:DYR65575 EIM65575:EIN65575 ESI65575:ESJ65575 FCE65575:FCF65575 FMA65575:FMB65575 FVW65575:FVX65575 GFS65575:GFT65575 GPO65575:GPP65575 GZK65575:GZL65575 HJG65575:HJH65575 HTC65575:HTD65575 ICY65575:ICZ65575 IMU65575:IMV65575 IWQ65575:IWR65575 JGM65575:JGN65575 JQI65575:JQJ65575 KAE65575:KAF65575 KKA65575:KKB65575 KTW65575:KTX65575 LDS65575:LDT65575 LNO65575:LNP65575 LXK65575:LXL65575 MHG65575:MHH65575 MRC65575:MRD65575 NAY65575:NAZ65575 NKU65575:NKV65575 NUQ65575:NUR65575 OEM65575:OEN65575 OOI65575:OOJ65575 OYE65575:OYF65575 PIA65575:PIB65575 PRW65575:PRX65575 QBS65575:QBT65575 QLO65575:QLP65575 QVK65575:QVL65575 RFG65575:RFH65575 RPC65575:RPD65575 RYY65575:RYZ65575 SIU65575:SIV65575 SSQ65575:SSR65575 TCM65575:TCN65575 TMI65575:TMJ65575 TWE65575:TWF65575 UGA65575:UGB65575 UPW65575:UPX65575 UZS65575:UZT65575 VJO65575:VJP65575 VTK65575:VTL65575 WDG65575:WDH65575 WNC65575:WND65575 WWY65575:WWZ65575 AQ131111:AR131111 KM131111:KN131111 UI131111:UJ131111 AEE131111:AEF131111 AOA131111:AOB131111 AXW131111:AXX131111 BHS131111:BHT131111 BRO131111:BRP131111 CBK131111:CBL131111 CLG131111:CLH131111 CVC131111:CVD131111 DEY131111:DEZ131111 DOU131111:DOV131111 DYQ131111:DYR131111 EIM131111:EIN131111 ESI131111:ESJ131111 FCE131111:FCF131111 FMA131111:FMB131111 FVW131111:FVX131111 GFS131111:GFT131111 GPO131111:GPP131111 GZK131111:GZL131111 HJG131111:HJH131111 HTC131111:HTD131111 ICY131111:ICZ131111 IMU131111:IMV131111 IWQ131111:IWR131111 JGM131111:JGN131111 JQI131111:JQJ131111 KAE131111:KAF131111 KKA131111:KKB131111 KTW131111:KTX131111 LDS131111:LDT131111 LNO131111:LNP131111 LXK131111:LXL131111 MHG131111:MHH131111 MRC131111:MRD131111 NAY131111:NAZ131111 NKU131111:NKV131111 NUQ131111:NUR131111 OEM131111:OEN131111 OOI131111:OOJ131111 OYE131111:OYF131111 PIA131111:PIB131111 PRW131111:PRX131111 QBS131111:QBT131111 QLO131111:QLP131111 QVK131111:QVL131111 RFG131111:RFH131111 RPC131111:RPD131111 RYY131111:RYZ131111 SIU131111:SIV131111 SSQ131111:SSR131111 TCM131111:TCN131111 TMI131111:TMJ131111 TWE131111:TWF131111 UGA131111:UGB131111 UPW131111:UPX131111 UZS131111:UZT131111 VJO131111:VJP131111 VTK131111:VTL131111 WDG131111:WDH131111 WNC131111:WND131111 WWY131111:WWZ131111 AQ196647:AR196647 KM196647:KN196647 UI196647:UJ196647 AEE196647:AEF196647 AOA196647:AOB196647 AXW196647:AXX196647 BHS196647:BHT196647 BRO196647:BRP196647 CBK196647:CBL196647 CLG196647:CLH196647 CVC196647:CVD196647 DEY196647:DEZ196647 DOU196647:DOV196647 DYQ196647:DYR196647 EIM196647:EIN196647 ESI196647:ESJ196647 FCE196647:FCF196647 FMA196647:FMB196647 FVW196647:FVX196647 GFS196647:GFT196647 GPO196647:GPP196647 GZK196647:GZL196647 HJG196647:HJH196647 HTC196647:HTD196647 ICY196647:ICZ196647 IMU196647:IMV196647 IWQ196647:IWR196647 JGM196647:JGN196647 JQI196647:JQJ196647 KAE196647:KAF196647 KKA196647:KKB196647 KTW196647:KTX196647 LDS196647:LDT196647 LNO196647:LNP196647 LXK196647:LXL196647 MHG196647:MHH196647 MRC196647:MRD196647 NAY196647:NAZ196647 NKU196647:NKV196647 NUQ196647:NUR196647 OEM196647:OEN196647 OOI196647:OOJ196647 OYE196647:OYF196647 PIA196647:PIB196647 PRW196647:PRX196647 QBS196647:QBT196647 QLO196647:QLP196647 QVK196647:QVL196647 RFG196647:RFH196647 RPC196647:RPD196647 RYY196647:RYZ196647 SIU196647:SIV196647 SSQ196647:SSR196647 TCM196647:TCN196647 TMI196647:TMJ196647 TWE196647:TWF196647 UGA196647:UGB196647 UPW196647:UPX196647 UZS196647:UZT196647 VJO196647:VJP196647 VTK196647:VTL196647 WDG196647:WDH196647 WNC196647:WND196647 WWY196647:WWZ196647 AQ262183:AR262183 KM262183:KN262183 UI262183:UJ262183 AEE262183:AEF262183 AOA262183:AOB262183 AXW262183:AXX262183 BHS262183:BHT262183 BRO262183:BRP262183 CBK262183:CBL262183 CLG262183:CLH262183 CVC262183:CVD262183 DEY262183:DEZ262183 DOU262183:DOV262183 DYQ262183:DYR262183 EIM262183:EIN262183 ESI262183:ESJ262183 FCE262183:FCF262183 FMA262183:FMB262183 FVW262183:FVX262183 GFS262183:GFT262183 GPO262183:GPP262183 GZK262183:GZL262183 HJG262183:HJH262183 HTC262183:HTD262183 ICY262183:ICZ262183 IMU262183:IMV262183 IWQ262183:IWR262183 JGM262183:JGN262183 JQI262183:JQJ262183 KAE262183:KAF262183 KKA262183:KKB262183 KTW262183:KTX262183 LDS262183:LDT262183 LNO262183:LNP262183 LXK262183:LXL262183 MHG262183:MHH262183 MRC262183:MRD262183 NAY262183:NAZ262183 NKU262183:NKV262183 NUQ262183:NUR262183 OEM262183:OEN262183 OOI262183:OOJ262183 OYE262183:OYF262183 PIA262183:PIB262183 PRW262183:PRX262183 QBS262183:QBT262183 QLO262183:QLP262183 QVK262183:QVL262183 RFG262183:RFH262183 RPC262183:RPD262183 RYY262183:RYZ262183 SIU262183:SIV262183 SSQ262183:SSR262183 TCM262183:TCN262183 TMI262183:TMJ262183 TWE262183:TWF262183 UGA262183:UGB262183 UPW262183:UPX262183 UZS262183:UZT262183 VJO262183:VJP262183 VTK262183:VTL262183 WDG262183:WDH262183 WNC262183:WND262183 WWY262183:WWZ262183 AQ327719:AR327719 KM327719:KN327719 UI327719:UJ327719 AEE327719:AEF327719 AOA327719:AOB327719 AXW327719:AXX327719 BHS327719:BHT327719 BRO327719:BRP327719 CBK327719:CBL327719 CLG327719:CLH327719 CVC327719:CVD327719 DEY327719:DEZ327719 DOU327719:DOV327719 DYQ327719:DYR327719 EIM327719:EIN327719 ESI327719:ESJ327719 FCE327719:FCF327719 FMA327719:FMB327719 FVW327719:FVX327719 GFS327719:GFT327719 GPO327719:GPP327719 GZK327719:GZL327719 HJG327719:HJH327719 HTC327719:HTD327719 ICY327719:ICZ327719 IMU327719:IMV327719 IWQ327719:IWR327719 JGM327719:JGN327719 JQI327719:JQJ327719 KAE327719:KAF327719 KKA327719:KKB327719 KTW327719:KTX327719 LDS327719:LDT327719 LNO327719:LNP327719 LXK327719:LXL327719 MHG327719:MHH327719 MRC327719:MRD327719 NAY327719:NAZ327719 NKU327719:NKV327719 NUQ327719:NUR327719 OEM327719:OEN327719 OOI327719:OOJ327719 OYE327719:OYF327719 PIA327719:PIB327719 PRW327719:PRX327719 QBS327719:QBT327719 QLO327719:QLP327719 QVK327719:QVL327719 RFG327719:RFH327719 RPC327719:RPD327719 RYY327719:RYZ327719 SIU327719:SIV327719 SSQ327719:SSR327719 TCM327719:TCN327719 TMI327719:TMJ327719 TWE327719:TWF327719 UGA327719:UGB327719 UPW327719:UPX327719 UZS327719:UZT327719 VJO327719:VJP327719 VTK327719:VTL327719 WDG327719:WDH327719 WNC327719:WND327719 WWY327719:WWZ327719 AQ393255:AR393255 KM393255:KN393255 UI393255:UJ393255 AEE393255:AEF393255 AOA393255:AOB393255 AXW393255:AXX393255 BHS393255:BHT393255 BRO393255:BRP393255 CBK393255:CBL393255 CLG393255:CLH393255 CVC393255:CVD393255 DEY393255:DEZ393255 DOU393255:DOV393255 DYQ393255:DYR393255 EIM393255:EIN393255 ESI393255:ESJ393255 FCE393255:FCF393255 FMA393255:FMB393255 FVW393255:FVX393255 GFS393255:GFT393255 GPO393255:GPP393255 GZK393255:GZL393255 HJG393255:HJH393255 HTC393255:HTD393255 ICY393255:ICZ393255 IMU393255:IMV393255 IWQ393255:IWR393255 JGM393255:JGN393255 JQI393255:JQJ393255 KAE393255:KAF393255 KKA393255:KKB393255 KTW393255:KTX393255 LDS393255:LDT393255 LNO393255:LNP393255 LXK393255:LXL393255 MHG393255:MHH393255 MRC393255:MRD393255 NAY393255:NAZ393255 NKU393255:NKV393255 NUQ393255:NUR393255 OEM393255:OEN393255 OOI393255:OOJ393255 OYE393255:OYF393255 PIA393255:PIB393255 PRW393255:PRX393255 QBS393255:QBT393255 QLO393255:QLP393255 QVK393255:QVL393255 RFG393255:RFH393255 RPC393255:RPD393255 RYY393255:RYZ393255 SIU393255:SIV393255 SSQ393255:SSR393255 TCM393255:TCN393255 TMI393255:TMJ393255 TWE393255:TWF393255 UGA393255:UGB393255 UPW393255:UPX393255 UZS393255:UZT393255 VJO393255:VJP393255 VTK393255:VTL393255 WDG393255:WDH393255 WNC393255:WND393255 WWY393255:WWZ393255 AQ458791:AR458791 KM458791:KN458791 UI458791:UJ458791 AEE458791:AEF458791 AOA458791:AOB458791 AXW458791:AXX458791 BHS458791:BHT458791 BRO458791:BRP458791 CBK458791:CBL458791 CLG458791:CLH458791 CVC458791:CVD458791 DEY458791:DEZ458791 DOU458791:DOV458791 DYQ458791:DYR458791 EIM458791:EIN458791 ESI458791:ESJ458791 FCE458791:FCF458791 FMA458791:FMB458791 FVW458791:FVX458791 GFS458791:GFT458791 GPO458791:GPP458791 GZK458791:GZL458791 HJG458791:HJH458791 HTC458791:HTD458791 ICY458791:ICZ458791 IMU458791:IMV458791 IWQ458791:IWR458791 JGM458791:JGN458791 JQI458791:JQJ458791 KAE458791:KAF458791 KKA458791:KKB458791 KTW458791:KTX458791 LDS458791:LDT458791 LNO458791:LNP458791 LXK458791:LXL458791 MHG458791:MHH458791 MRC458791:MRD458791 NAY458791:NAZ458791 NKU458791:NKV458791 NUQ458791:NUR458791 OEM458791:OEN458791 OOI458791:OOJ458791 OYE458791:OYF458791 PIA458791:PIB458791 PRW458791:PRX458791 QBS458791:QBT458791 QLO458791:QLP458791 QVK458791:QVL458791 RFG458791:RFH458791 RPC458791:RPD458791 RYY458791:RYZ458791 SIU458791:SIV458791 SSQ458791:SSR458791 TCM458791:TCN458791 TMI458791:TMJ458791 TWE458791:TWF458791 UGA458791:UGB458791 UPW458791:UPX458791 UZS458791:UZT458791 VJO458791:VJP458791 VTK458791:VTL458791 WDG458791:WDH458791 WNC458791:WND458791 WWY458791:WWZ458791 AQ524327:AR524327 KM524327:KN524327 UI524327:UJ524327 AEE524327:AEF524327 AOA524327:AOB524327 AXW524327:AXX524327 BHS524327:BHT524327 BRO524327:BRP524327 CBK524327:CBL524327 CLG524327:CLH524327 CVC524327:CVD524327 DEY524327:DEZ524327 DOU524327:DOV524327 DYQ524327:DYR524327 EIM524327:EIN524327 ESI524327:ESJ524327 FCE524327:FCF524327 FMA524327:FMB524327 FVW524327:FVX524327 GFS524327:GFT524327 GPO524327:GPP524327 GZK524327:GZL524327 HJG524327:HJH524327 HTC524327:HTD524327 ICY524327:ICZ524327 IMU524327:IMV524327 IWQ524327:IWR524327 JGM524327:JGN524327 JQI524327:JQJ524327 KAE524327:KAF524327 KKA524327:KKB524327 KTW524327:KTX524327 LDS524327:LDT524327 LNO524327:LNP524327 LXK524327:LXL524327 MHG524327:MHH524327 MRC524327:MRD524327 NAY524327:NAZ524327 NKU524327:NKV524327 NUQ524327:NUR524327 OEM524327:OEN524327 OOI524327:OOJ524327 OYE524327:OYF524327 PIA524327:PIB524327 PRW524327:PRX524327 QBS524327:QBT524327 QLO524327:QLP524327 QVK524327:QVL524327 RFG524327:RFH524327 RPC524327:RPD524327 RYY524327:RYZ524327 SIU524327:SIV524327 SSQ524327:SSR524327 TCM524327:TCN524327 TMI524327:TMJ524327 TWE524327:TWF524327 UGA524327:UGB524327 UPW524327:UPX524327 UZS524327:UZT524327 VJO524327:VJP524327 VTK524327:VTL524327 WDG524327:WDH524327 WNC524327:WND524327 WWY524327:WWZ524327 AQ589863:AR589863 KM589863:KN589863 UI589863:UJ589863 AEE589863:AEF589863 AOA589863:AOB589863 AXW589863:AXX589863 BHS589863:BHT589863 BRO589863:BRP589863 CBK589863:CBL589863 CLG589863:CLH589863 CVC589863:CVD589863 DEY589863:DEZ589863 DOU589863:DOV589863 DYQ589863:DYR589863 EIM589863:EIN589863 ESI589863:ESJ589863 FCE589863:FCF589863 FMA589863:FMB589863 FVW589863:FVX589863 GFS589863:GFT589863 GPO589863:GPP589863 GZK589863:GZL589863 HJG589863:HJH589863 HTC589863:HTD589863 ICY589863:ICZ589863 IMU589863:IMV589863 IWQ589863:IWR589863 JGM589863:JGN589863 JQI589863:JQJ589863 KAE589863:KAF589863 KKA589863:KKB589863 KTW589863:KTX589863 LDS589863:LDT589863 LNO589863:LNP589863 LXK589863:LXL589863 MHG589863:MHH589863 MRC589863:MRD589863 NAY589863:NAZ589863 NKU589863:NKV589863 NUQ589863:NUR589863 OEM589863:OEN589863 OOI589863:OOJ589863 OYE589863:OYF589863 PIA589863:PIB589863 PRW589863:PRX589863 QBS589863:QBT589863 QLO589863:QLP589863 QVK589863:QVL589863 RFG589863:RFH589863 RPC589863:RPD589863 RYY589863:RYZ589863 SIU589863:SIV589863 SSQ589863:SSR589863 TCM589863:TCN589863 TMI589863:TMJ589863 TWE589863:TWF589863 UGA589863:UGB589863 UPW589863:UPX589863 UZS589863:UZT589863 VJO589863:VJP589863 VTK589863:VTL589863 WDG589863:WDH589863 WNC589863:WND589863 WWY589863:WWZ589863 AQ655399:AR655399 KM655399:KN655399 UI655399:UJ655399 AEE655399:AEF655399 AOA655399:AOB655399 AXW655399:AXX655399 BHS655399:BHT655399 BRO655399:BRP655399 CBK655399:CBL655399 CLG655399:CLH655399 CVC655399:CVD655399 DEY655399:DEZ655399 DOU655399:DOV655399 DYQ655399:DYR655399 EIM655399:EIN655399 ESI655399:ESJ655399 FCE655399:FCF655399 FMA655399:FMB655399 FVW655399:FVX655399 GFS655399:GFT655399 GPO655399:GPP655399 GZK655399:GZL655399 HJG655399:HJH655399 HTC655399:HTD655399 ICY655399:ICZ655399 IMU655399:IMV655399 IWQ655399:IWR655399 JGM655399:JGN655399 JQI655399:JQJ655399 KAE655399:KAF655399 KKA655399:KKB655399 KTW655399:KTX655399 LDS655399:LDT655399 LNO655399:LNP655399 LXK655399:LXL655399 MHG655399:MHH655399 MRC655399:MRD655399 NAY655399:NAZ655399 NKU655399:NKV655399 NUQ655399:NUR655399 OEM655399:OEN655399 OOI655399:OOJ655399 OYE655399:OYF655399 PIA655399:PIB655399 PRW655399:PRX655399 QBS655399:QBT655399 QLO655399:QLP655399 QVK655399:QVL655399 RFG655399:RFH655399 RPC655399:RPD655399 RYY655399:RYZ655399 SIU655399:SIV655399 SSQ655399:SSR655399 TCM655399:TCN655399 TMI655399:TMJ655399 TWE655399:TWF655399 UGA655399:UGB655399 UPW655399:UPX655399 UZS655399:UZT655399 VJO655399:VJP655399 VTK655399:VTL655399 WDG655399:WDH655399 WNC655399:WND655399 WWY655399:WWZ655399 AQ720935:AR720935 KM720935:KN720935 UI720935:UJ720935 AEE720935:AEF720935 AOA720935:AOB720935 AXW720935:AXX720935 BHS720935:BHT720935 BRO720935:BRP720935 CBK720935:CBL720935 CLG720935:CLH720935 CVC720935:CVD720935 DEY720935:DEZ720935 DOU720935:DOV720935 DYQ720935:DYR720935 EIM720935:EIN720935 ESI720935:ESJ720935 FCE720935:FCF720935 FMA720935:FMB720935 FVW720935:FVX720935 GFS720935:GFT720935 GPO720935:GPP720935 GZK720935:GZL720935 HJG720935:HJH720935 HTC720935:HTD720935 ICY720935:ICZ720935 IMU720935:IMV720935 IWQ720935:IWR720935 JGM720935:JGN720935 JQI720935:JQJ720935 KAE720935:KAF720935 KKA720935:KKB720935 KTW720935:KTX720935 LDS720935:LDT720935 LNO720935:LNP720935 LXK720935:LXL720935 MHG720935:MHH720935 MRC720935:MRD720935 NAY720935:NAZ720935 NKU720935:NKV720935 NUQ720935:NUR720935 OEM720935:OEN720935 OOI720935:OOJ720935 OYE720935:OYF720935 PIA720935:PIB720935 PRW720935:PRX720935 QBS720935:QBT720935 QLO720935:QLP720935 QVK720935:QVL720935 RFG720935:RFH720935 RPC720935:RPD720935 RYY720935:RYZ720935 SIU720935:SIV720935 SSQ720935:SSR720935 TCM720935:TCN720935 TMI720935:TMJ720935 TWE720935:TWF720935 UGA720935:UGB720935 UPW720935:UPX720935 UZS720935:UZT720935 VJO720935:VJP720935 VTK720935:VTL720935 WDG720935:WDH720935 WNC720935:WND720935 WWY720935:WWZ720935 AQ786471:AR786471 KM786471:KN786471 UI786471:UJ786471 AEE786471:AEF786471 AOA786471:AOB786471 AXW786471:AXX786471 BHS786471:BHT786471 BRO786471:BRP786471 CBK786471:CBL786471 CLG786471:CLH786471 CVC786471:CVD786471 DEY786471:DEZ786471 DOU786471:DOV786471 DYQ786471:DYR786471 EIM786471:EIN786471 ESI786471:ESJ786471 FCE786471:FCF786471 FMA786471:FMB786471 FVW786471:FVX786471 GFS786471:GFT786471 GPO786471:GPP786471 GZK786471:GZL786471 HJG786471:HJH786471 HTC786471:HTD786471 ICY786471:ICZ786471 IMU786471:IMV786471 IWQ786471:IWR786471 JGM786471:JGN786471 JQI786471:JQJ786471 KAE786471:KAF786471 KKA786471:KKB786471 KTW786471:KTX786471 LDS786471:LDT786471 LNO786471:LNP786471 LXK786471:LXL786471 MHG786471:MHH786471 MRC786471:MRD786471 NAY786471:NAZ786471 NKU786471:NKV786471 NUQ786471:NUR786471 OEM786471:OEN786471 OOI786471:OOJ786471 OYE786471:OYF786471 PIA786471:PIB786471 PRW786471:PRX786471 QBS786471:QBT786471 QLO786471:QLP786471 QVK786471:QVL786471 RFG786471:RFH786471 RPC786471:RPD786471 RYY786471:RYZ786471 SIU786471:SIV786471 SSQ786471:SSR786471 TCM786471:TCN786471 TMI786471:TMJ786471 TWE786471:TWF786471 UGA786471:UGB786471 UPW786471:UPX786471 UZS786471:UZT786471 VJO786471:VJP786471 VTK786471:VTL786471 WDG786471:WDH786471 WNC786471:WND786471 WWY786471:WWZ786471 AQ852007:AR852007 KM852007:KN852007 UI852007:UJ852007 AEE852007:AEF852007 AOA852007:AOB852007 AXW852007:AXX852007 BHS852007:BHT852007 BRO852007:BRP852007 CBK852007:CBL852007 CLG852007:CLH852007 CVC852007:CVD852007 DEY852007:DEZ852007 DOU852007:DOV852007 DYQ852007:DYR852007 EIM852007:EIN852007 ESI852007:ESJ852007 FCE852007:FCF852007 FMA852007:FMB852007 FVW852007:FVX852007 GFS852007:GFT852007 GPO852007:GPP852007 GZK852007:GZL852007 HJG852007:HJH852007 HTC852007:HTD852007 ICY852007:ICZ852007 IMU852007:IMV852007 IWQ852007:IWR852007 JGM852007:JGN852007 JQI852007:JQJ852007 KAE852007:KAF852007 KKA852007:KKB852007 KTW852007:KTX852007 LDS852007:LDT852007 LNO852007:LNP852007 LXK852007:LXL852007 MHG852007:MHH852007 MRC852007:MRD852007 NAY852007:NAZ852007 NKU852007:NKV852007 NUQ852007:NUR852007 OEM852007:OEN852007 OOI852007:OOJ852007 OYE852007:OYF852007 PIA852007:PIB852007 PRW852007:PRX852007 QBS852007:QBT852007 QLO852007:QLP852007 QVK852007:QVL852007 RFG852007:RFH852007 RPC852007:RPD852007 RYY852007:RYZ852007 SIU852007:SIV852007 SSQ852007:SSR852007 TCM852007:TCN852007 TMI852007:TMJ852007 TWE852007:TWF852007 UGA852007:UGB852007 UPW852007:UPX852007 UZS852007:UZT852007 VJO852007:VJP852007 VTK852007:VTL852007 WDG852007:WDH852007 WNC852007:WND852007 WWY852007:WWZ852007 AQ917543:AR917543 KM917543:KN917543 UI917543:UJ917543 AEE917543:AEF917543 AOA917543:AOB917543 AXW917543:AXX917543 BHS917543:BHT917543 BRO917543:BRP917543 CBK917543:CBL917543 CLG917543:CLH917543 CVC917543:CVD917543 DEY917543:DEZ917543 DOU917543:DOV917543 DYQ917543:DYR917543 EIM917543:EIN917543 ESI917543:ESJ917543 FCE917543:FCF917543 FMA917543:FMB917543 FVW917543:FVX917543 GFS917543:GFT917543 GPO917543:GPP917543 GZK917543:GZL917543 HJG917543:HJH917543 HTC917543:HTD917543 ICY917543:ICZ917543 IMU917543:IMV917543 IWQ917543:IWR917543 JGM917543:JGN917543 JQI917543:JQJ917543 KAE917543:KAF917543 KKA917543:KKB917543 KTW917543:KTX917543 LDS917543:LDT917543 LNO917543:LNP917543 LXK917543:LXL917543 MHG917543:MHH917543 MRC917543:MRD917543 NAY917543:NAZ917543 NKU917543:NKV917543 NUQ917543:NUR917543 OEM917543:OEN917543 OOI917543:OOJ917543 OYE917543:OYF917543 PIA917543:PIB917543 PRW917543:PRX917543 QBS917543:QBT917543 QLO917543:QLP917543 QVK917543:QVL917543 RFG917543:RFH917543 RPC917543:RPD917543 RYY917543:RYZ917543 SIU917543:SIV917543 SSQ917543:SSR917543 TCM917543:TCN917543 TMI917543:TMJ917543 TWE917543:TWF917543 UGA917543:UGB917543 UPW917543:UPX917543 UZS917543:UZT917543 VJO917543:VJP917543 VTK917543:VTL917543 WDG917543:WDH917543 WNC917543:WND917543 WWY917543:WWZ917543 AQ983079:AR983079 KM983079:KN983079 UI983079:UJ983079 AEE983079:AEF983079 AOA983079:AOB983079 AXW983079:AXX983079 BHS983079:BHT983079 BRO983079:BRP983079 CBK983079:CBL983079 CLG983079:CLH983079 CVC983079:CVD983079 DEY983079:DEZ983079 DOU983079:DOV983079 DYQ983079:DYR983079 EIM983079:EIN983079 ESI983079:ESJ983079 FCE983079:FCF983079 FMA983079:FMB983079 FVW983079:FVX983079 GFS983079:GFT983079 GPO983079:GPP983079 GZK983079:GZL983079 HJG983079:HJH983079 HTC983079:HTD983079 ICY983079:ICZ983079 IMU983079:IMV983079 IWQ983079:IWR983079 JGM983079:JGN983079 JQI983079:JQJ983079 KAE983079:KAF983079 KKA983079:KKB983079 KTW983079:KTX983079 LDS983079:LDT983079 LNO983079:LNP983079 LXK983079:LXL983079 MHG983079:MHH983079 MRC983079:MRD983079 NAY983079:NAZ983079 NKU983079:NKV983079 NUQ983079:NUR983079 OEM983079:OEN983079 OOI983079:OOJ983079 OYE983079:OYF983079 PIA983079:PIB983079 PRW983079:PRX983079 QBS983079:QBT983079 QLO983079:QLP983079 QVK983079:QVL983079 RFG983079:RFH983079 RPC983079:RPD983079 RYY983079:RYZ983079 SIU983079:SIV983079 SSQ983079:SSR983079 TCM983079:TCN983079 TMI983079:TMJ983079 TWE983079:TWF983079 UGA983079:UGB983079 UPW983079:UPX983079 UZS983079:UZT983079 VJO983079:VJP983079 VTK983079:VTL983079 WDG983079:WDH983079 WNC983079:WND983079 WWY983079:WWZ983079 AR22 KN22 UJ22 AEF22 AOB22 AXX22 BHT22 BRP22 CBL22 CLH22 CVD22 DEZ22 DOV22 DYR22 EIN22 ESJ22 FCF22 FMB22 FVX22 GFT22 GPP22 GZL22 HJH22 HTD22 ICZ22 IMV22 IWR22 JGN22 JQJ22 KAF22 KKB22 KTX22 LDT22 LNP22 LXL22 MHH22 MRD22 NAZ22 NKV22 NUR22 OEN22 OOJ22 OYF22 PIB22 PRX22 QBT22 QLP22 QVL22 RFH22 RPD22 RYZ22 SIV22 SSR22 TCN22 TMJ22 TWF22 UGB22 UPX22 UZT22 VJP22 VTL22 WDH22 WND22 WWZ22 AR65558 KN65558 UJ65558 AEF65558 AOB65558 AXX65558 BHT65558 BRP65558 CBL65558 CLH65558 CVD65558 DEZ65558 DOV65558 DYR65558 EIN65558 ESJ65558 FCF65558 FMB65558 FVX65558 GFT65558 GPP65558 GZL65558 HJH65558 HTD65558 ICZ65558 IMV65558 IWR65558 JGN65558 JQJ65558 KAF65558 KKB65558 KTX65558 LDT65558 LNP65558 LXL65558 MHH65558 MRD65558 NAZ65558 NKV65558 NUR65558 OEN65558 OOJ65558 OYF65558 PIB65558 PRX65558 QBT65558 QLP65558 QVL65558 RFH65558 RPD65558 RYZ65558 SIV65558 SSR65558 TCN65558 TMJ65558 TWF65558 UGB65558 UPX65558 UZT65558 VJP65558 VTL65558 WDH65558 WND65558 WWZ65558 AR131094 KN131094 UJ131094 AEF131094 AOB131094 AXX131094 BHT131094 BRP131094 CBL131094 CLH131094 CVD131094 DEZ131094 DOV131094 DYR131094 EIN131094 ESJ131094 FCF131094 FMB131094 FVX131094 GFT131094 GPP131094 GZL131094 HJH131094 HTD131094 ICZ131094 IMV131094 IWR131094 JGN131094 JQJ131094 KAF131094 KKB131094 KTX131094 LDT131094 LNP131094 LXL131094 MHH131094 MRD131094 NAZ131094 NKV131094 NUR131094 OEN131094 OOJ131094 OYF131094 PIB131094 PRX131094 QBT131094 QLP131094 QVL131094 RFH131094 RPD131094 RYZ131094 SIV131094 SSR131094 TCN131094 TMJ131094 TWF131094 UGB131094 UPX131094 UZT131094 VJP131094 VTL131094 WDH131094 WND131094 WWZ131094 AR196630 KN196630 UJ196630 AEF196630 AOB196630 AXX196630 BHT196630 BRP196630 CBL196630 CLH196630 CVD196630 DEZ196630 DOV196630 DYR196630 EIN196630 ESJ196630 FCF196630 FMB196630 FVX196630 GFT196630 GPP196630 GZL196630 HJH196630 HTD196630 ICZ196630 IMV196630 IWR196630 JGN196630 JQJ196630 KAF196630 KKB196630 KTX196630 LDT196630 LNP196630 LXL196630 MHH196630 MRD196630 NAZ196630 NKV196630 NUR196630 OEN196630 OOJ196630 OYF196630 PIB196630 PRX196630 QBT196630 QLP196630 QVL196630 RFH196630 RPD196630 RYZ196630 SIV196630 SSR196630 TCN196630 TMJ196630 TWF196630 UGB196630 UPX196630 UZT196630 VJP196630 VTL196630 WDH196630 WND196630 WWZ196630 AR262166 KN262166 UJ262166 AEF262166 AOB262166 AXX262166 BHT262166 BRP262166 CBL262166 CLH262166 CVD262166 DEZ262166 DOV262166 DYR262166 EIN262166 ESJ262166 FCF262166 FMB262166 FVX262166 GFT262166 GPP262166 GZL262166 HJH262166 HTD262166 ICZ262166 IMV262166 IWR262166 JGN262166 JQJ262166 KAF262166 KKB262166 KTX262166 LDT262166 LNP262166 LXL262166 MHH262166 MRD262166 NAZ262166 NKV262166 NUR262166 OEN262166 OOJ262166 OYF262166 PIB262166 PRX262166 QBT262166 QLP262166 QVL262166 RFH262166 RPD262166 RYZ262166 SIV262166 SSR262166 TCN262166 TMJ262166 TWF262166 UGB262166 UPX262166 UZT262166 VJP262166 VTL262166 WDH262166 WND262166 WWZ262166 AR327702 KN327702 UJ327702 AEF327702 AOB327702 AXX327702 BHT327702 BRP327702 CBL327702 CLH327702 CVD327702 DEZ327702 DOV327702 DYR327702 EIN327702 ESJ327702 FCF327702 FMB327702 FVX327702 GFT327702 GPP327702 GZL327702 HJH327702 HTD327702 ICZ327702 IMV327702 IWR327702 JGN327702 JQJ327702 KAF327702 KKB327702 KTX327702 LDT327702 LNP327702 LXL327702 MHH327702 MRD327702 NAZ327702 NKV327702 NUR327702 OEN327702 OOJ327702 OYF327702 PIB327702 PRX327702 QBT327702 QLP327702 QVL327702 RFH327702 RPD327702 RYZ327702 SIV327702 SSR327702 TCN327702 TMJ327702 TWF327702 UGB327702 UPX327702 UZT327702 VJP327702 VTL327702 WDH327702 WND327702 WWZ327702 AR393238 KN393238 UJ393238 AEF393238 AOB393238 AXX393238 BHT393238 BRP393238 CBL393238 CLH393238 CVD393238 DEZ393238 DOV393238 DYR393238 EIN393238 ESJ393238 FCF393238 FMB393238 FVX393238 GFT393238 GPP393238 GZL393238 HJH393238 HTD393238 ICZ393238 IMV393238 IWR393238 JGN393238 JQJ393238 KAF393238 KKB393238 KTX393238 LDT393238 LNP393238 LXL393238 MHH393238 MRD393238 NAZ393238 NKV393238 NUR393238 OEN393238 OOJ393238 OYF393238 PIB393238 PRX393238 QBT393238 QLP393238 QVL393238 RFH393238 RPD393238 RYZ393238 SIV393238 SSR393238 TCN393238 TMJ393238 TWF393238 UGB393238 UPX393238 UZT393238 VJP393238 VTL393238 WDH393238 WND393238 WWZ393238 AR458774 KN458774 UJ458774 AEF458774 AOB458774 AXX458774 BHT458774 BRP458774 CBL458774 CLH458774 CVD458774 DEZ458774 DOV458774 DYR458774 EIN458774 ESJ458774 FCF458774 FMB458774 FVX458774 GFT458774 GPP458774 GZL458774 HJH458774 HTD458774 ICZ458774 IMV458774 IWR458774 JGN458774 JQJ458774 KAF458774 KKB458774 KTX458774 LDT458774 LNP458774 LXL458774 MHH458774 MRD458774 NAZ458774 NKV458774 NUR458774 OEN458774 OOJ458774 OYF458774 PIB458774 PRX458774 QBT458774 QLP458774 QVL458774 RFH458774 RPD458774 RYZ458774 SIV458774 SSR458774 TCN458774 TMJ458774 TWF458774 UGB458774 UPX458774 UZT458774 VJP458774 VTL458774 WDH458774 WND458774 WWZ458774 AR524310 KN524310 UJ524310 AEF524310 AOB524310 AXX524310 BHT524310 BRP524310 CBL524310 CLH524310 CVD524310 DEZ524310 DOV524310 DYR524310 EIN524310 ESJ524310 FCF524310 FMB524310 FVX524310 GFT524310 GPP524310 GZL524310 HJH524310 HTD524310 ICZ524310 IMV524310 IWR524310 JGN524310 JQJ524310 KAF524310 KKB524310 KTX524310 LDT524310 LNP524310 LXL524310 MHH524310 MRD524310 NAZ524310 NKV524310 NUR524310 OEN524310 OOJ524310 OYF524310 PIB524310 PRX524310 QBT524310 QLP524310 QVL524310 RFH524310 RPD524310 RYZ524310 SIV524310 SSR524310 TCN524310 TMJ524310 TWF524310 UGB524310 UPX524310 UZT524310 VJP524310 VTL524310 WDH524310 WND524310 WWZ524310 AR589846 KN589846 UJ589846 AEF589846 AOB589846 AXX589846 BHT589846 BRP589846 CBL589846 CLH589846 CVD589846 DEZ589846 DOV589846 DYR589846 EIN589846 ESJ589846 FCF589846 FMB589846 FVX589846 GFT589846 GPP589846 GZL589846 HJH589846 HTD589846 ICZ589846 IMV589846 IWR589846 JGN589846 JQJ589846 KAF589846 KKB589846 KTX589846 LDT589846 LNP589846 LXL589846 MHH589846 MRD589846 NAZ589846 NKV589846 NUR589846 OEN589846 OOJ589846 OYF589846 PIB589846 PRX589846 QBT589846 QLP589846 QVL589846 RFH589846 RPD589846 RYZ589846 SIV589846 SSR589846 TCN589846 TMJ589846 TWF589846 UGB589846 UPX589846 UZT589846 VJP589846 VTL589846 WDH589846 WND589846 WWZ589846 AR655382 KN655382 UJ655382 AEF655382 AOB655382 AXX655382 BHT655382 BRP655382 CBL655382 CLH655382 CVD655382 DEZ655382 DOV655382 DYR655382 EIN655382 ESJ655382 FCF655382 FMB655382 FVX655382 GFT655382 GPP655382 GZL655382 HJH655382 HTD655382 ICZ655382 IMV655382 IWR655382 JGN655382 JQJ655382 KAF655382 KKB655382 KTX655382 LDT655382 LNP655382 LXL655382 MHH655382 MRD655382 NAZ655382 NKV655382 NUR655382 OEN655382 OOJ655382 OYF655382 PIB655382 PRX655382 QBT655382 QLP655382 QVL655382 RFH655382 RPD655382 RYZ655382 SIV655382 SSR655382 TCN655382 TMJ655382 TWF655382 UGB655382 UPX655382 UZT655382 VJP655382 VTL655382 WDH655382 WND655382 WWZ655382 AR720918 KN720918 UJ720918 AEF720918 AOB720918 AXX720918 BHT720918 BRP720918 CBL720918 CLH720918 CVD720918 DEZ720918 DOV720918 DYR720918 EIN720918 ESJ720918 FCF720918 FMB720918 FVX720918 GFT720918 GPP720918 GZL720918 HJH720918 HTD720918 ICZ720918 IMV720918 IWR720918 JGN720918 JQJ720918 KAF720918 KKB720918 KTX720918 LDT720918 LNP720918 LXL720918 MHH720918 MRD720918 NAZ720918 NKV720918 NUR720918 OEN720918 OOJ720918 OYF720918 PIB720918 PRX720918 QBT720918 QLP720918 QVL720918 RFH720918 RPD720918 RYZ720918 SIV720918 SSR720918 TCN720918 TMJ720918 TWF720918 UGB720918 UPX720918 UZT720918 VJP720918 VTL720918 WDH720918 WND720918 WWZ720918 AR786454 KN786454 UJ786454 AEF786454 AOB786454 AXX786454 BHT786454 BRP786454 CBL786454 CLH786454 CVD786454 DEZ786454 DOV786454 DYR786454 EIN786454 ESJ786454 FCF786454 FMB786454 FVX786454 GFT786454 GPP786454 GZL786454 HJH786454 HTD786454 ICZ786454 IMV786454 IWR786454 JGN786454 JQJ786454 KAF786454 KKB786454 KTX786454 LDT786454 LNP786454 LXL786454 MHH786454 MRD786454 NAZ786454 NKV786454 NUR786454 OEN786454 OOJ786454 OYF786454 PIB786454 PRX786454 QBT786454 QLP786454 QVL786454 RFH786454 RPD786454 RYZ786454 SIV786454 SSR786454 TCN786454 TMJ786454 TWF786454 UGB786454 UPX786454 UZT786454 VJP786454 VTL786454 WDH786454 WND786454 WWZ786454 AR851990 KN851990 UJ851990 AEF851990 AOB851990 AXX851990 BHT851990 BRP851990 CBL851990 CLH851990 CVD851990 DEZ851990 DOV851990 DYR851990 EIN851990 ESJ851990 FCF851990 FMB851990 FVX851990 GFT851990 GPP851990 GZL851990 HJH851990 HTD851990 ICZ851990 IMV851990 IWR851990 JGN851990 JQJ851990 KAF851990 KKB851990 KTX851990 LDT851990 LNP851990 LXL851990 MHH851990 MRD851990 NAZ851990 NKV851990 NUR851990 OEN851990 OOJ851990 OYF851990 PIB851990 PRX851990 QBT851990 QLP851990 QVL851990 RFH851990 RPD851990 RYZ851990 SIV851990 SSR851990 TCN851990 TMJ851990 TWF851990 UGB851990 UPX851990 UZT851990 VJP851990 VTL851990 WDH851990 WND851990 WWZ851990 AR917526 KN917526 UJ917526 AEF917526 AOB917526 AXX917526 BHT917526 BRP917526 CBL917526 CLH917526 CVD917526 DEZ917526 DOV917526 DYR917526 EIN917526 ESJ917526 FCF917526 FMB917526 FVX917526 GFT917526 GPP917526 GZL917526 HJH917526 HTD917526 ICZ917526 IMV917526 IWR917526 JGN917526 JQJ917526 KAF917526 KKB917526 KTX917526 LDT917526 LNP917526 LXL917526 MHH917526 MRD917526 NAZ917526 NKV917526 NUR917526 OEN917526 OOJ917526 OYF917526 PIB917526 PRX917526 QBT917526 QLP917526 QVL917526 RFH917526 RPD917526 RYZ917526 SIV917526 SSR917526 TCN917526 TMJ917526 TWF917526 UGB917526 UPX917526 UZT917526 VJP917526 VTL917526 WDH917526 WND917526 WWZ917526 AR983062 KN983062 UJ983062 AEF983062 AOB983062 AXX983062 BHT983062 BRP983062 CBL983062 CLH983062 CVD983062 DEZ983062 DOV983062 DYR983062 EIN983062 ESJ983062 FCF983062 FMB983062 FVX983062 GFT983062 GPP983062 GZL983062 HJH983062 HTD983062 ICZ983062 IMV983062 IWR983062 JGN983062 JQJ983062 KAF983062 KKB983062 KTX983062 LDT983062 LNP983062 LXL983062 MHH983062 MRD983062 NAZ983062 NKV983062 NUR983062 OEN983062 OOJ983062 OYF983062 PIB983062 PRX983062 QBT983062 QLP983062 QVL983062 RFH983062 RPD983062 RYZ983062 SIV983062 SSR983062 TCN983062 TMJ983062 TWF983062 UGB983062 UPX983062 UZT983062 VJP983062 VTL983062 WDH983062 WND983062 WWZ983062 AQ21:AQ26 KM21:KM26 UI21:UI26 AEE21:AEE26 AOA21:AOA26 AXW21:AXW26 BHS21:BHS26 BRO21:BRO26 CBK21:CBK26 CLG21:CLG26 CVC21:CVC26 DEY21:DEY26 DOU21:DOU26 DYQ21:DYQ26 EIM21:EIM26 ESI21:ESI26 FCE21:FCE26 FMA21:FMA26 FVW21:FVW26 GFS21:GFS26 GPO21:GPO26 GZK21:GZK26 HJG21:HJG26 HTC21:HTC26 ICY21:ICY26 IMU21:IMU26 IWQ21:IWQ26 JGM21:JGM26 JQI21:JQI26 KAE21:KAE26 KKA21:KKA26 KTW21:KTW26 LDS21:LDS26 LNO21:LNO26 LXK21:LXK26 MHG21:MHG26 MRC21:MRC26 NAY21:NAY26 NKU21:NKU26 NUQ21:NUQ26 OEM21:OEM26 OOI21:OOI26 OYE21:OYE26 PIA21:PIA26 PRW21:PRW26 QBS21:QBS26 QLO21:QLO26 QVK21:QVK26 RFG21:RFG26 RPC21:RPC26 RYY21:RYY26 SIU21:SIU26 SSQ21:SSQ26 TCM21:TCM26 TMI21:TMI26 TWE21:TWE26 UGA21:UGA26 UPW21:UPW26 UZS21:UZS26 VJO21:VJO26 VTK21:VTK26 WDG21:WDG26 WNC21:WNC26 WWY21:WWY26 AQ65557:AQ65562 KM65557:KM65562 UI65557:UI65562 AEE65557:AEE65562 AOA65557:AOA65562 AXW65557:AXW65562 BHS65557:BHS65562 BRO65557:BRO65562 CBK65557:CBK65562 CLG65557:CLG65562 CVC65557:CVC65562 DEY65557:DEY65562 DOU65557:DOU65562 DYQ65557:DYQ65562 EIM65557:EIM65562 ESI65557:ESI65562 FCE65557:FCE65562 FMA65557:FMA65562 FVW65557:FVW65562 GFS65557:GFS65562 GPO65557:GPO65562 GZK65557:GZK65562 HJG65557:HJG65562 HTC65557:HTC65562 ICY65557:ICY65562 IMU65557:IMU65562 IWQ65557:IWQ65562 JGM65557:JGM65562 JQI65557:JQI65562 KAE65557:KAE65562 KKA65557:KKA65562 KTW65557:KTW65562 LDS65557:LDS65562 LNO65557:LNO65562 LXK65557:LXK65562 MHG65557:MHG65562 MRC65557:MRC65562 NAY65557:NAY65562 NKU65557:NKU65562 NUQ65557:NUQ65562 OEM65557:OEM65562 OOI65557:OOI65562 OYE65557:OYE65562 PIA65557:PIA65562 PRW65557:PRW65562 QBS65557:QBS65562 QLO65557:QLO65562 QVK65557:QVK65562 RFG65557:RFG65562 RPC65557:RPC65562 RYY65557:RYY65562 SIU65557:SIU65562 SSQ65557:SSQ65562 TCM65557:TCM65562 TMI65557:TMI65562 TWE65557:TWE65562 UGA65557:UGA65562 UPW65557:UPW65562 UZS65557:UZS65562 VJO65557:VJO65562 VTK65557:VTK65562 WDG65557:WDG65562 WNC65557:WNC65562 WWY65557:WWY65562 AQ131093:AQ131098 KM131093:KM131098 UI131093:UI131098 AEE131093:AEE131098 AOA131093:AOA131098 AXW131093:AXW131098 BHS131093:BHS131098 BRO131093:BRO131098 CBK131093:CBK131098 CLG131093:CLG131098 CVC131093:CVC131098 DEY131093:DEY131098 DOU131093:DOU131098 DYQ131093:DYQ131098 EIM131093:EIM131098 ESI131093:ESI131098 FCE131093:FCE131098 FMA131093:FMA131098 FVW131093:FVW131098 GFS131093:GFS131098 GPO131093:GPO131098 GZK131093:GZK131098 HJG131093:HJG131098 HTC131093:HTC131098 ICY131093:ICY131098 IMU131093:IMU131098 IWQ131093:IWQ131098 JGM131093:JGM131098 JQI131093:JQI131098 KAE131093:KAE131098 KKA131093:KKA131098 KTW131093:KTW131098 LDS131093:LDS131098 LNO131093:LNO131098 LXK131093:LXK131098 MHG131093:MHG131098 MRC131093:MRC131098 NAY131093:NAY131098 NKU131093:NKU131098 NUQ131093:NUQ131098 OEM131093:OEM131098 OOI131093:OOI131098 OYE131093:OYE131098 PIA131093:PIA131098 PRW131093:PRW131098 QBS131093:QBS131098 QLO131093:QLO131098 QVK131093:QVK131098 RFG131093:RFG131098 RPC131093:RPC131098 RYY131093:RYY131098 SIU131093:SIU131098 SSQ131093:SSQ131098 TCM131093:TCM131098 TMI131093:TMI131098 TWE131093:TWE131098 UGA131093:UGA131098 UPW131093:UPW131098 UZS131093:UZS131098 VJO131093:VJO131098 VTK131093:VTK131098 WDG131093:WDG131098 WNC131093:WNC131098 WWY131093:WWY131098 AQ196629:AQ196634 KM196629:KM196634 UI196629:UI196634 AEE196629:AEE196634 AOA196629:AOA196634 AXW196629:AXW196634 BHS196629:BHS196634 BRO196629:BRO196634 CBK196629:CBK196634 CLG196629:CLG196634 CVC196629:CVC196634 DEY196629:DEY196634 DOU196629:DOU196634 DYQ196629:DYQ196634 EIM196629:EIM196634 ESI196629:ESI196634 FCE196629:FCE196634 FMA196629:FMA196634 FVW196629:FVW196634 GFS196629:GFS196634 GPO196629:GPO196634 GZK196629:GZK196634 HJG196629:HJG196634 HTC196629:HTC196634 ICY196629:ICY196634 IMU196629:IMU196634 IWQ196629:IWQ196634 JGM196629:JGM196634 JQI196629:JQI196634 KAE196629:KAE196634 KKA196629:KKA196634 KTW196629:KTW196634 LDS196629:LDS196634 LNO196629:LNO196634 LXK196629:LXK196634 MHG196629:MHG196634 MRC196629:MRC196634 NAY196629:NAY196634 NKU196629:NKU196634 NUQ196629:NUQ196634 OEM196629:OEM196634 OOI196629:OOI196634 OYE196629:OYE196634 PIA196629:PIA196634 PRW196629:PRW196634 QBS196629:QBS196634 QLO196629:QLO196634 QVK196629:QVK196634 RFG196629:RFG196634 RPC196629:RPC196634 RYY196629:RYY196634 SIU196629:SIU196634 SSQ196629:SSQ196634 TCM196629:TCM196634 TMI196629:TMI196634 TWE196629:TWE196634 UGA196629:UGA196634 UPW196629:UPW196634 UZS196629:UZS196634 VJO196629:VJO196634 VTK196629:VTK196634 WDG196629:WDG196634 WNC196629:WNC196634 WWY196629:WWY196634 AQ262165:AQ262170 KM262165:KM262170 UI262165:UI262170 AEE262165:AEE262170 AOA262165:AOA262170 AXW262165:AXW262170 BHS262165:BHS262170 BRO262165:BRO262170 CBK262165:CBK262170 CLG262165:CLG262170 CVC262165:CVC262170 DEY262165:DEY262170 DOU262165:DOU262170 DYQ262165:DYQ262170 EIM262165:EIM262170 ESI262165:ESI262170 FCE262165:FCE262170 FMA262165:FMA262170 FVW262165:FVW262170 GFS262165:GFS262170 GPO262165:GPO262170 GZK262165:GZK262170 HJG262165:HJG262170 HTC262165:HTC262170 ICY262165:ICY262170 IMU262165:IMU262170 IWQ262165:IWQ262170 JGM262165:JGM262170 JQI262165:JQI262170 KAE262165:KAE262170 KKA262165:KKA262170 KTW262165:KTW262170 LDS262165:LDS262170 LNO262165:LNO262170 LXK262165:LXK262170 MHG262165:MHG262170 MRC262165:MRC262170 NAY262165:NAY262170 NKU262165:NKU262170 NUQ262165:NUQ262170 OEM262165:OEM262170 OOI262165:OOI262170 OYE262165:OYE262170 PIA262165:PIA262170 PRW262165:PRW262170 QBS262165:QBS262170 QLO262165:QLO262170 QVK262165:QVK262170 RFG262165:RFG262170 RPC262165:RPC262170 RYY262165:RYY262170 SIU262165:SIU262170 SSQ262165:SSQ262170 TCM262165:TCM262170 TMI262165:TMI262170 TWE262165:TWE262170 UGA262165:UGA262170 UPW262165:UPW262170 UZS262165:UZS262170 VJO262165:VJO262170 VTK262165:VTK262170 WDG262165:WDG262170 WNC262165:WNC262170 WWY262165:WWY262170 AQ327701:AQ327706 KM327701:KM327706 UI327701:UI327706 AEE327701:AEE327706 AOA327701:AOA327706 AXW327701:AXW327706 BHS327701:BHS327706 BRO327701:BRO327706 CBK327701:CBK327706 CLG327701:CLG327706 CVC327701:CVC327706 DEY327701:DEY327706 DOU327701:DOU327706 DYQ327701:DYQ327706 EIM327701:EIM327706 ESI327701:ESI327706 FCE327701:FCE327706 FMA327701:FMA327706 FVW327701:FVW327706 GFS327701:GFS327706 GPO327701:GPO327706 GZK327701:GZK327706 HJG327701:HJG327706 HTC327701:HTC327706 ICY327701:ICY327706 IMU327701:IMU327706 IWQ327701:IWQ327706 JGM327701:JGM327706 JQI327701:JQI327706 KAE327701:KAE327706 KKA327701:KKA327706 KTW327701:KTW327706 LDS327701:LDS327706 LNO327701:LNO327706 LXK327701:LXK327706 MHG327701:MHG327706 MRC327701:MRC327706 NAY327701:NAY327706 NKU327701:NKU327706 NUQ327701:NUQ327706 OEM327701:OEM327706 OOI327701:OOI327706 OYE327701:OYE327706 PIA327701:PIA327706 PRW327701:PRW327706 QBS327701:QBS327706 QLO327701:QLO327706 QVK327701:QVK327706 RFG327701:RFG327706 RPC327701:RPC327706 RYY327701:RYY327706 SIU327701:SIU327706 SSQ327701:SSQ327706 TCM327701:TCM327706 TMI327701:TMI327706 TWE327701:TWE327706 UGA327701:UGA327706 UPW327701:UPW327706 UZS327701:UZS327706 VJO327701:VJO327706 VTK327701:VTK327706 WDG327701:WDG327706 WNC327701:WNC327706 WWY327701:WWY327706 AQ393237:AQ393242 KM393237:KM393242 UI393237:UI393242 AEE393237:AEE393242 AOA393237:AOA393242 AXW393237:AXW393242 BHS393237:BHS393242 BRO393237:BRO393242 CBK393237:CBK393242 CLG393237:CLG393242 CVC393237:CVC393242 DEY393237:DEY393242 DOU393237:DOU393242 DYQ393237:DYQ393242 EIM393237:EIM393242 ESI393237:ESI393242 FCE393237:FCE393242 FMA393237:FMA393242 FVW393237:FVW393242 GFS393237:GFS393242 GPO393237:GPO393242 GZK393237:GZK393242 HJG393237:HJG393242 HTC393237:HTC393242 ICY393237:ICY393242 IMU393237:IMU393242 IWQ393237:IWQ393242 JGM393237:JGM393242 JQI393237:JQI393242 KAE393237:KAE393242 KKA393237:KKA393242 KTW393237:KTW393242 LDS393237:LDS393242 LNO393237:LNO393242 LXK393237:LXK393242 MHG393237:MHG393242 MRC393237:MRC393242 NAY393237:NAY393242 NKU393237:NKU393242 NUQ393237:NUQ393242 OEM393237:OEM393242 OOI393237:OOI393242 OYE393237:OYE393242 PIA393237:PIA393242 PRW393237:PRW393242 QBS393237:QBS393242 QLO393237:QLO393242 QVK393237:QVK393242 RFG393237:RFG393242 RPC393237:RPC393242 RYY393237:RYY393242 SIU393237:SIU393242 SSQ393237:SSQ393242 TCM393237:TCM393242 TMI393237:TMI393242 TWE393237:TWE393242 UGA393237:UGA393242 UPW393237:UPW393242 UZS393237:UZS393242 VJO393237:VJO393242 VTK393237:VTK393242 WDG393237:WDG393242 WNC393237:WNC393242 WWY393237:WWY393242 AQ458773:AQ458778 KM458773:KM458778 UI458773:UI458778 AEE458773:AEE458778 AOA458773:AOA458778 AXW458773:AXW458778 BHS458773:BHS458778 BRO458773:BRO458778 CBK458773:CBK458778 CLG458773:CLG458778 CVC458773:CVC458778 DEY458773:DEY458778 DOU458773:DOU458778 DYQ458773:DYQ458778 EIM458773:EIM458778 ESI458773:ESI458778 FCE458773:FCE458778 FMA458773:FMA458778 FVW458773:FVW458778 GFS458773:GFS458778 GPO458773:GPO458778 GZK458773:GZK458778 HJG458773:HJG458778 HTC458773:HTC458778 ICY458773:ICY458778 IMU458773:IMU458778 IWQ458773:IWQ458778 JGM458773:JGM458778 JQI458773:JQI458778 KAE458773:KAE458778 KKA458773:KKA458778 KTW458773:KTW458778 LDS458773:LDS458778 LNO458773:LNO458778 LXK458773:LXK458778 MHG458773:MHG458778 MRC458773:MRC458778 NAY458773:NAY458778 NKU458773:NKU458778 NUQ458773:NUQ458778 OEM458773:OEM458778 OOI458773:OOI458778 OYE458773:OYE458778 PIA458773:PIA458778 PRW458773:PRW458778 QBS458773:QBS458778 QLO458773:QLO458778 QVK458773:QVK458778 RFG458773:RFG458778 RPC458773:RPC458778 RYY458773:RYY458778 SIU458773:SIU458778 SSQ458773:SSQ458778 TCM458773:TCM458778 TMI458773:TMI458778 TWE458773:TWE458778 UGA458773:UGA458778 UPW458773:UPW458778 UZS458773:UZS458778 VJO458773:VJO458778 VTK458773:VTK458778 WDG458773:WDG458778 WNC458773:WNC458778 WWY458773:WWY458778 AQ524309:AQ524314 KM524309:KM524314 UI524309:UI524314 AEE524309:AEE524314 AOA524309:AOA524314 AXW524309:AXW524314 BHS524309:BHS524314 BRO524309:BRO524314 CBK524309:CBK524314 CLG524309:CLG524314 CVC524309:CVC524314 DEY524309:DEY524314 DOU524309:DOU524314 DYQ524309:DYQ524314 EIM524309:EIM524314 ESI524309:ESI524314 FCE524309:FCE524314 FMA524309:FMA524314 FVW524309:FVW524314 GFS524309:GFS524314 GPO524309:GPO524314 GZK524309:GZK524314 HJG524309:HJG524314 HTC524309:HTC524314 ICY524309:ICY524314 IMU524309:IMU524314 IWQ524309:IWQ524314 JGM524309:JGM524314 JQI524309:JQI524314 KAE524309:KAE524314 KKA524309:KKA524314 KTW524309:KTW524314 LDS524309:LDS524314 LNO524309:LNO524314 LXK524309:LXK524314 MHG524309:MHG524314 MRC524309:MRC524314 NAY524309:NAY524314 NKU524309:NKU524314 NUQ524309:NUQ524314 OEM524309:OEM524314 OOI524309:OOI524314 OYE524309:OYE524314 PIA524309:PIA524314 PRW524309:PRW524314 QBS524309:QBS524314 QLO524309:QLO524314 QVK524309:QVK524314 RFG524309:RFG524314 RPC524309:RPC524314 RYY524309:RYY524314 SIU524309:SIU524314 SSQ524309:SSQ524314 TCM524309:TCM524314 TMI524309:TMI524314 TWE524309:TWE524314 UGA524309:UGA524314 UPW524309:UPW524314 UZS524309:UZS524314 VJO524309:VJO524314 VTK524309:VTK524314 WDG524309:WDG524314 WNC524309:WNC524314 WWY524309:WWY524314 AQ589845:AQ589850 KM589845:KM589850 UI589845:UI589850 AEE589845:AEE589850 AOA589845:AOA589850 AXW589845:AXW589850 BHS589845:BHS589850 BRO589845:BRO589850 CBK589845:CBK589850 CLG589845:CLG589850 CVC589845:CVC589850 DEY589845:DEY589850 DOU589845:DOU589850 DYQ589845:DYQ589850 EIM589845:EIM589850 ESI589845:ESI589850 FCE589845:FCE589850 FMA589845:FMA589850 FVW589845:FVW589850 GFS589845:GFS589850 GPO589845:GPO589850 GZK589845:GZK589850 HJG589845:HJG589850 HTC589845:HTC589850 ICY589845:ICY589850 IMU589845:IMU589850 IWQ589845:IWQ589850 JGM589845:JGM589850 JQI589845:JQI589850 KAE589845:KAE589850 KKA589845:KKA589850 KTW589845:KTW589850 LDS589845:LDS589850 LNO589845:LNO589850 LXK589845:LXK589850 MHG589845:MHG589850 MRC589845:MRC589850 NAY589845:NAY589850 NKU589845:NKU589850 NUQ589845:NUQ589850 OEM589845:OEM589850 OOI589845:OOI589850 OYE589845:OYE589850 PIA589845:PIA589850 PRW589845:PRW589850 QBS589845:QBS589850 QLO589845:QLO589850 QVK589845:QVK589850 RFG589845:RFG589850 RPC589845:RPC589850 RYY589845:RYY589850 SIU589845:SIU589850 SSQ589845:SSQ589850 TCM589845:TCM589850 TMI589845:TMI589850 TWE589845:TWE589850 UGA589845:UGA589850 UPW589845:UPW589850 UZS589845:UZS589850 VJO589845:VJO589850 VTK589845:VTK589850 WDG589845:WDG589850 WNC589845:WNC589850 WWY589845:WWY589850 AQ655381:AQ655386 KM655381:KM655386 UI655381:UI655386 AEE655381:AEE655386 AOA655381:AOA655386 AXW655381:AXW655386 BHS655381:BHS655386 BRO655381:BRO655386 CBK655381:CBK655386 CLG655381:CLG655386 CVC655381:CVC655386 DEY655381:DEY655386 DOU655381:DOU655386 DYQ655381:DYQ655386 EIM655381:EIM655386 ESI655381:ESI655386 FCE655381:FCE655386 FMA655381:FMA655386 FVW655381:FVW655386 GFS655381:GFS655386 GPO655381:GPO655386 GZK655381:GZK655386 HJG655381:HJG655386 HTC655381:HTC655386 ICY655381:ICY655386 IMU655381:IMU655386 IWQ655381:IWQ655386 JGM655381:JGM655386 JQI655381:JQI655386 KAE655381:KAE655386 KKA655381:KKA655386 KTW655381:KTW655386 LDS655381:LDS655386 LNO655381:LNO655386 LXK655381:LXK655386 MHG655381:MHG655386 MRC655381:MRC655386 NAY655381:NAY655386 NKU655381:NKU655386 NUQ655381:NUQ655386 OEM655381:OEM655386 OOI655381:OOI655386 OYE655381:OYE655386 PIA655381:PIA655386 PRW655381:PRW655386 QBS655381:QBS655386 QLO655381:QLO655386 QVK655381:QVK655386 RFG655381:RFG655386 RPC655381:RPC655386 RYY655381:RYY655386 SIU655381:SIU655386 SSQ655381:SSQ655386 TCM655381:TCM655386 TMI655381:TMI655386 TWE655381:TWE655386 UGA655381:UGA655386 UPW655381:UPW655386 UZS655381:UZS655386 VJO655381:VJO655386 VTK655381:VTK655386 WDG655381:WDG655386 WNC655381:WNC655386 WWY655381:WWY655386 AQ720917:AQ720922 KM720917:KM720922 UI720917:UI720922 AEE720917:AEE720922 AOA720917:AOA720922 AXW720917:AXW720922 BHS720917:BHS720922 BRO720917:BRO720922 CBK720917:CBK720922 CLG720917:CLG720922 CVC720917:CVC720922 DEY720917:DEY720922 DOU720917:DOU720922 DYQ720917:DYQ720922 EIM720917:EIM720922 ESI720917:ESI720922 FCE720917:FCE720922 FMA720917:FMA720922 FVW720917:FVW720922 GFS720917:GFS720922 GPO720917:GPO720922 GZK720917:GZK720922 HJG720917:HJG720922 HTC720917:HTC720922 ICY720917:ICY720922 IMU720917:IMU720922 IWQ720917:IWQ720922 JGM720917:JGM720922 JQI720917:JQI720922 KAE720917:KAE720922 KKA720917:KKA720922 KTW720917:KTW720922 LDS720917:LDS720922 LNO720917:LNO720922 LXK720917:LXK720922 MHG720917:MHG720922 MRC720917:MRC720922 NAY720917:NAY720922 NKU720917:NKU720922 NUQ720917:NUQ720922 OEM720917:OEM720922 OOI720917:OOI720922 OYE720917:OYE720922 PIA720917:PIA720922 PRW720917:PRW720922 QBS720917:QBS720922 QLO720917:QLO720922 QVK720917:QVK720922 RFG720917:RFG720922 RPC720917:RPC720922 RYY720917:RYY720922 SIU720917:SIU720922 SSQ720917:SSQ720922 TCM720917:TCM720922 TMI720917:TMI720922 TWE720917:TWE720922 UGA720917:UGA720922 UPW720917:UPW720922 UZS720917:UZS720922 VJO720917:VJO720922 VTK720917:VTK720922 WDG720917:WDG720922 WNC720917:WNC720922 WWY720917:WWY720922 AQ786453:AQ786458 KM786453:KM786458 UI786453:UI786458 AEE786453:AEE786458 AOA786453:AOA786458 AXW786453:AXW786458 BHS786453:BHS786458 BRO786453:BRO786458 CBK786453:CBK786458 CLG786453:CLG786458 CVC786453:CVC786458 DEY786453:DEY786458 DOU786453:DOU786458 DYQ786453:DYQ786458 EIM786453:EIM786458 ESI786453:ESI786458 FCE786453:FCE786458 FMA786453:FMA786458 FVW786453:FVW786458 GFS786453:GFS786458 GPO786453:GPO786458 GZK786453:GZK786458 HJG786453:HJG786458 HTC786453:HTC786458 ICY786453:ICY786458 IMU786453:IMU786458 IWQ786453:IWQ786458 JGM786453:JGM786458 JQI786453:JQI786458 KAE786453:KAE786458 KKA786453:KKA786458 KTW786453:KTW786458 LDS786453:LDS786458 LNO786453:LNO786458 LXK786453:LXK786458 MHG786453:MHG786458 MRC786453:MRC786458 NAY786453:NAY786458 NKU786453:NKU786458 NUQ786453:NUQ786458 OEM786453:OEM786458 OOI786453:OOI786458 OYE786453:OYE786458 PIA786453:PIA786458 PRW786453:PRW786458 QBS786453:QBS786458 QLO786453:QLO786458 QVK786453:QVK786458 RFG786453:RFG786458 RPC786453:RPC786458 RYY786453:RYY786458 SIU786453:SIU786458 SSQ786453:SSQ786458 TCM786453:TCM786458 TMI786453:TMI786458 TWE786453:TWE786458 UGA786453:UGA786458 UPW786453:UPW786458 UZS786453:UZS786458 VJO786453:VJO786458 VTK786453:VTK786458 WDG786453:WDG786458 WNC786453:WNC786458 WWY786453:WWY786458 AQ851989:AQ851994 KM851989:KM851994 UI851989:UI851994 AEE851989:AEE851994 AOA851989:AOA851994 AXW851989:AXW851994 BHS851989:BHS851994 BRO851989:BRO851994 CBK851989:CBK851994 CLG851989:CLG851994 CVC851989:CVC851994 DEY851989:DEY851994 DOU851989:DOU851994 DYQ851989:DYQ851994 EIM851989:EIM851994 ESI851989:ESI851994 FCE851989:FCE851994 FMA851989:FMA851994 FVW851989:FVW851994 GFS851989:GFS851994 GPO851989:GPO851994 GZK851989:GZK851994 HJG851989:HJG851994 HTC851989:HTC851994 ICY851989:ICY851994 IMU851989:IMU851994 IWQ851989:IWQ851994 JGM851989:JGM851994 JQI851989:JQI851994 KAE851989:KAE851994 KKA851989:KKA851994 KTW851989:KTW851994 LDS851989:LDS851994 LNO851989:LNO851994 LXK851989:LXK851994 MHG851989:MHG851994 MRC851989:MRC851994 NAY851989:NAY851994 NKU851989:NKU851994 NUQ851989:NUQ851994 OEM851989:OEM851994 OOI851989:OOI851994 OYE851989:OYE851994 PIA851989:PIA851994 PRW851989:PRW851994 QBS851989:QBS851994 QLO851989:QLO851994 QVK851989:QVK851994 RFG851989:RFG851994 RPC851989:RPC851994 RYY851989:RYY851994 SIU851989:SIU851994 SSQ851989:SSQ851994 TCM851989:TCM851994 TMI851989:TMI851994 TWE851989:TWE851994 UGA851989:UGA851994 UPW851989:UPW851994 UZS851989:UZS851994 VJO851989:VJO851994 VTK851989:VTK851994 WDG851989:WDG851994 WNC851989:WNC851994 WWY851989:WWY851994 AQ917525:AQ917530 KM917525:KM917530 UI917525:UI917530 AEE917525:AEE917530 AOA917525:AOA917530 AXW917525:AXW917530 BHS917525:BHS917530 BRO917525:BRO917530 CBK917525:CBK917530 CLG917525:CLG917530 CVC917525:CVC917530 DEY917525:DEY917530 DOU917525:DOU917530 DYQ917525:DYQ917530 EIM917525:EIM917530 ESI917525:ESI917530 FCE917525:FCE917530 FMA917525:FMA917530 FVW917525:FVW917530 GFS917525:GFS917530 GPO917525:GPO917530 GZK917525:GZK917530 HJG917525:HJG917530 HTC917525:HTC917530 ICY917525:ICY917530 IMU917525:IMU917530 IWQ917525:IWQ917530 JGM917525:JGM917530 JQI917525:JQI917530 KAE917525:KAE917530 KKA917525:KKA917530 KTW917525:KTW917530 LDS917525:LDS917530 LNO917525:LNO917530 LXK917525:LXK917530 MHG917525:MHG917530 MRC917525:MRC917530 NAY917525:NAY917530 NKU917525:NKU917530 NUQ917525:NUQ917530 OEM917525:OEM917530 OOI917525:OOI917530 OYE917525:OYE917530 PIA917525:PIA917530 PRW917525:PRW917530 QBS917525:QBS917530 QLO917525:QLO917530 QVK917525:QVK917530 RFG917525:RFG917530 RPC917525:RPC917530 RYY917525:RYY917530 SIU917525:SIU917530 SSQ917525:SSQ917530 TCM917525:TCM917530 TMI917525:TMI917530 TWE917525:TWE917530 UGA917525:UGA917530 UPW917525:UPW917530 UZS917525:UZS917530 VJO917525:VJO917530 VTK917525:VTK917530 WDG917525:WDG917530 WNC917525:WNC917530 WWY917525:WWY917530 AQ983061:AQ983066 KM983061:KM983066 UI983061:UI983066 AEE983061:AEE983066 AOA983061:AOA983066 AXW983061:AXW983066 BHS983061:BHS983066 BRO983061:BRO983066 CBK983061:CBK983066 CLG983061:CLG983066 CVC983061:CVC983066 DEY983061:DEY983066 DOU983061:DOU983066 DYQ983061:DYQ983066 EIM983061:EIM983066 ESI983061:ESI983066 FCE983061:FCE983066 FMA983061:FMA983066 FVW983061:FVW983066 GFS983061:GFS983066 GPO983061:GPO983066 GZK983061:GZK983066 HJG983061:HJG983066 HTC983061:HTC983066 ICY983061:ICY983066 IMU983061:IMU983066 IWQ983061:IWQ983066 JGM983061:JGM983066 JQI983061:JQI983066 KAE983061:KAE983066 KKA983061:KKA983066 KTW983061:KTW983066 LDS983061:LDS983066 LNO983061:LNO983066 LXK983061:LXK983066 MHG983061:MHG983066 MRC983061:MRC983066 NAY983061:NAY983066 NKU983061:NKU983066 NUQ983061:NUQ983066 OEM983061:OEM983066 OOI983061:OOI983066 OYE983061:OYE983066 PIA983061:PIA983066 PRW983061:PRW983066 QBS983061:QBS983066 QLO983061:QLO983066 QVK983061:QVK983066 RFG983061:RFG983066 RPC983061:RPC983066 RYY983061:RYY983066 SIU983061:SIU983066 SSQ983061:SSQ983066 TCM983061:TCM983066 TMI983061:TMI983066 TWE983061:TWE983066 UGA983061:UGA983066 UPW983061:UPW983066 UZS983061:UZS983066 VJO983061:VJO983066 VTK983061:VTK983066 WDG983061:WDG983066 WNC983061:WNC983066 WWY983061:WWY983066">
      <formula1>#REF!</formula1>
    </dataValidation>
  </dataValidations>
  <pageMargins left="0.70866141732283472" right="0.70866141732283472" top="0.74803149606299213" bottom="0.74803149606299213" header="0.31496062992125984" footer="0.31496062992125984"/>
  <pageSetup paperSize="9" scale="51" orientation="landscape" verticalDpi="0" r:id="rId1"/>
  <headerFooter>
    <oddFooter>&amp;LОтдел СЭР села ЯНИИСХ</oddFooter>
  </headerFooter>
  <colBreaks count="2" manualBreakCount="2">
    <brk id="31" max="39" man="1"/>
    <brk id="53" max="39"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F45"/>
  <sheetViews>
    <sheetView tabSelected="1" view="pageBreakPreview" zoomScale="90" zoomScaleNormal="100" zoomScaleSheetLayoutView="90" workbookViewId="0">
      <selection activeCell="I25" sqref="I24:I25"/>
    </sheetView>
  </sheetViews>
  <sheetFormatPr defaultRowHeight="12.75" x14ac:dyDescent="0.2"/>
  <cols>
    <col min="1" max="1" width="45.42578125" customWidth="1"/>
    <col min="2" max="2" width="15.7109375" customWidth="1"/>
    <col min="3" max="3" width="14.7109375" customWidth="1"/>
    <col min="4" max="4" width="12.140625" customWidth="1"/>
    <col min="5" max="5" width="13.85546875" bestFit="1" customWidth="1"/>
    <col min="6" max="6" width="15.5703125" bestFit="1" customWidth="1"/>
  </cols>
  <sheetData>
    <row r="1" spans="1:4" x14ac:dyDescent="0.2">
      <c r="A1" s="218" t="s">
        <v>664</v>
      </c>
      <c r="B1" s="218"/>
      <c r="C1" s="218"/>
      <c r="D1" s="214"/>
    </row>
    <row r="2" spans="1:4" x14ac:dyDescent="0.2">
      <c r="A2" s="218"/>
      <c r="B2" s="218"/>
      <c r="C2" s="218"/>
      <c r="D2" s="214"/>
    </row>
    <row r="3" spans="1:4" x14ac:dyDescent="0.2">
      <c r="A3" s="210"/>
      <c r="B3" s="210"/>
      <c r="C3" s="210"/>
      <c r="D3" s="214"/>
    </row>
    <row r="4" spans="1:4" x14ac:dyDescent="0.2">
      <c r="A4" s="218" t="s">
        <v>528</v>
      </c>
      <c r="B4" s="218"/>
      <c r="C4" s="218"/>
      <c r="D4" s="214"/>
    </row>
    <row r="5" spans="1:4" x14ac:dyDescent="0.2">
      <c r="A5" s="218" t="s">
        <v>529</v>
      </c>
      <c r="B5" s="219"/>
      <c r="C5" s="219"/>
      <c r="D5" s="219"/>
    </row>
    <row r="6" spans="1:4" x14ac:dyDescent="0.2">
      <c r="A6" s="218" t="s">
        <v>530</v>
      </c>
      <c r="B6" s="315">
        <f>зерно!D6</f>
        <v>300</v>
      </c>
      <c r="C6" s="315"/>
      <c r="D6" s="315"/>
    </row>
    <row r="7" spans="1:4" x14ac:dyDescent="0.2">
      <c r="A7" s="218" t="s">
        <v>531</v>
      </c>
      <c r="B7" s="315">
        <f>зерно!D7</f>
        <v>150</v>
      </c>
      <c r="C7" s="315"/>
      <c r="D7" s="315"/>
    </row>
    <row r="8" spans="1:4" x14ac:dyDescent="0.2">
      <c r="A8" s="214" t="s">
        <v>352</v>
      </c>
      <c r="B8" s="315">
        <f>зерно!I6</f>
        <v>11.8</v>
      </c>
      <c r="C8" s="315"/>
      <c r="D8" s="315"/>
    </row>
    <row r="9" spans="1:4" x14ac:dyDescent="0.2">
      <c r="A9" s="222" t="s">
        <v>356</v>
      </c>
      <c r="B9" s="316">
        <f>зерно!E9</f>
        <v>1770</v>
      </c>
      <c r="C9" s="316"/>
      <c r="D9" s="316"/>
    </row>
    <row r="10" spans="1:4" x14ac:dyDescent="0.2">
      <c r="A10" s="222" t="s">
        <v>533</v>
      </c>
      <c r="B10" s="316">
        <f>зерно!E11</f>
        <v>354</v>
      </c>
      <c r="C10" s="316"/>
      <c r="D10" s="316"/>
    </row>
    <row r="11" spans="1:4" x14ac:dyDescent="0.2">
      <c r="A11" s="222" t="s">
        <v>559</v>
      </c>
      <c r="B11" s="316">
        <f>зерно!E12</f>
        <v>35.4</v>
      </c>
      <c r="C11" s="316"/>
      <c r="D11" s="316"/>
    </row>
    <row r="12" spans="1:4" x14ac:dyDescent="0.2">
      <c r="A12" s="223" t="s">
        <v>655</v>
      </c>
      <c r="B12" s="316">
        <f>зерно!E13</f>
        <v>1451.4</v>
      </c>
      <c r="C12" s="316"/>
      <c r="D12" s="316"/>
    </row>
    <row r="13" spans="1:4" x14ac:dyDescent="0.2">
      <c r="A13" s="533"/>
      <c r="B13" s="533"/>
      <c r="C13" s="533"/>
      <c r="D13" s="533"/>
    </row>
    <row r="14" spans="1:4" x14ac:dyDescent="0.2">
      <c r="A14" s="317"/>
      <c r="B14" s="318" t="s">
        <v>29</v>
      </c>
      <c r="C14" s="318" t="s">
        <v>334</v>
      </c>
      <c r="D14" s="318" t="s">
        <v>338</v>
      </c>
    </row>
    <row r="15" spans="1:4" x14ac:dyDescent="0.2">
      <c r="A15" s="319" t="s">
        <v>351</v>
      </c>
      <c r="B15" s="329">
        <f>зерно!AL41+зерно!AM41</f>
        <v>1194885.8478181567</v>
      </c>
      <c r="C15" s="320">
        <f>B15/$B$6</f>
        <v>3982.9528260605225</v>
      </c>
      <c r="D15" s="320">
        <f t="shared" ref="D15:D32" si="0">B15/$B$32%</f>
        <v>23.140765694203811</v>
      </c>
    </row>
    <row r="16" spans="1:4" x14ac:dyDescent="0.2">
      <c r="A16" s="321" t="s">
        <v>348</v>
      </c>
      <c r="B16" s="330">
        <f>зерно!AW41</f>
        <v>900000</v>
      </c>
      <c r="C16" s="320">
        <f t="shared" ref="C16:C32" si="1">B16/$B$6</f>
        <v>3000</v>
      </c>
      <c r="D16" s="320">
        <f t="shared" si="0"/>
        <v>17.429856720466351</v>
      </c>
    </row>
    <row r="17" spans="1:6" x14ac:dyDescent="0.2">
      <c r="A17" s="321" t="s">
        <v>349</v>
      </c>
      <c r="B17" s="330">
        <f>зерно!BA41</f>
        <v>1263750</v>
      </c>
      <c r="C17" s="320">
        <f t="shared" si="1"/>
        <v>4212.5</v>
      </c>
      <c r="D17" s="320">
        <f t="shared" si="0"/>
        <v>24.474423811654834</v>
      </c>
    </row>
    <row r="18" spans="1:6" x14ac:dyDescent="0.2">
      <c r="A18" s="321" t="s">
        <v>560</v>
      </c>
      <c r="B18" s="330">
        <f>зерно!BE41</f>
        <v>393750</v>
      </c>
      <c r="C18" s="320">
        <f t="shared" si="1"/>
        <v>1312.5</v>
      </c>
      <c r="D18" s="320">
        <f t="shared" si="0"/>
        <v>7.6255623152040277</v>
      </c>
    </row>
    <row r="19" spans="1:6" x14ac:dyDescent="0.2">
      <c r="A19" s="321" t="s">
        <v>350</v>
      </c>
      <c r="B19" s="330">
        <f>B20+B23</f>
        <v>344938.5598266382</v>
      </c>
      <c r="C19" s="320">
        <f t="shared" si="1"/>
        <v>1149.7951994221273</v>
      </c>
      <c r="D19" s="320">
        <f t="shared" si="0"/>
        <v>6.6802551946025712</v>
      </c>
    </row>
    <row r="20" spans="1:6" x14ac:dyDescent="0.2">
      <c r="A20" s="322" t="s">
        <v>332</v>
      </c>
      <c r="B20" s="331">
        <f>B21+B22</f>
        <v>254690.63353298578</v>
      </c>
      <c r="C20" s="320">
        <f>B20/$B$6</f>
        <v>848.96877844328594</v>
      </c>
      <c r="D20" s="323">
        <f t="shared" si="0"/>
        <v>4.932468056138605</v>
      </c>
    </row>
    <row r="21" spans="1:6" x14ac:dyDescent="0.2">
      <c r="A21" s="324" t="s">
        <v>339</v>
      </c>
      <c r="B21" s="331">
        <f>зерно!BK41</f>
        <v>250431.79124404746</v>
      </c>
      <c r="C21" s="320">
        <f t="shared" si="1"/>
        <v>834.77263748015821</v>
      </c>
      <c r="D21" s="323">
        <f t="shared" si="0"/>
        <v>4.8499891551483181</v>
      </c>
    </row>
    <row r="22" spans="1:6" x14ac:dyDescent="0.2">
      <c r="A22" s="324" t="s">
        <v>340</v>
      </c>
      <c r="B22" s="331">
        <f>зерно!BM41</f>
        <v>4258.8422889383137</v>
      </c>
      <c r="C22" s="320">
        <f t="shared" si="1"/>
        <v>14.196140963127712</v>
      </c>
      <c r="D22" s="323">
        <f t="shared" si="0"/>
        <v>8.2478900990286402E-2</v>
      </c>
    </row>
    <row r="23" spans="1:6" x14ac:dyDescent="0.2">
      <c r="A23" s="322" t="s">
        <v>333</v>
      </c>
      <c r="B23" s="331">
        <f>B24+B25</f>
        <v>90247.926293652417</v>
      </c>
      <c r="C23" s="320">
        <f t="shared" si="1"/>
        <v>300.82642097884138</v>
      </c>
      <c r="D23" s="323">
        <f t="shared" si="0"/>
        <v>1.7477871384639661</v>
      </c>
    </row>
    <row r="24" spans="1:6" x14ac:dyDescent="0.2">
      <c r="A24" s="324" t="s">
        <v>339</v>
      </c>
      <c r="B24" s="331">
        <f>зерно!BO41+зерно!BQ41+зерно!BS41</f>
        <v>58153.94015166106</v>
      </c>
      <c r="C24" s="320">
        <f t="shared" si="1"/>
        <v>193.84646717220355</v>
      </c>
      <c r="D24" s="323">
        <f t="shared" si="0"/>
        <v>1.1262387161933638</v>
      </c>
    </row>
    <row r="25" spans="1:6" x14ac:dyDescent="0.2">
      <c r="A25" s="324" t="s">
        <v>340</v>
      </c>
      <c r="B25" s="331">
        <f>зерно!BT41</f>
        <v>32093.986141991361</v>
      </c>
      <c r="C25" s="320">
        <f t="shared" si="1"/>
        <v>106.97995380663787</v>
      </c>
      <c r="D25" s="323">
        <f t="shared" si="0"/>
        <v>0.62154842227060225</v>
      </c>
    </row>
    <row r="26" spans="1:6" x14ac:dyDescent="0.2">
      <c r="A26" s="322" t="s">
        <v>331</v>
      </c>
      <c r="B26" s="331">
        <f>зерно!AS41</f>
        <v>592945.47500976</v>
      </c>
      <c r="C26" s="320">
        <f t="shared" si="1"/>
        <v>1976.4849166992001</v>
      </c>
      <c r="D26" s="323">
        <f t="shared" si="0"/>
        <v>11.483282969409975</v>
      </c>
    </row>
    <row r="27" spans="1:6" x14ac:dyDescent="0.2">
      <c r="A27" s="322" t="s">
        <v>563</v>
      </c>
      <c r="B27" s="331">
        <f>зерно!BI41</f>
        <v>574.32959999999991</v>
      </c>
      <c r="C27" s="320">
        <f t="shared" si="1"/>
        <v>1.9144319999999997</v>
      </c>
      <c r="D27" s="323">
        <f t="shared" si="0"/>
        <v>1.1122758487025276E-2</v>
      </c>
    </row>
    <row r="28" spans="1:6" x14ac:dyDescent="0.2">
      <c r="A28" s="321" t="s">
        <v>341</v>
      </c>
      <c r="B28" s="330">
        <f>B29</f>
        <v>200000</v>
      </c>
      <c r="C28" s="320">
        <f t="shared" si="1"/>
        <v>666.66666666666663</v>
      </c>
      <c r="D28" s="320">
        <f t="shared" si="0"/>
        <v>3.8733014934369665</v>
      </c>
    </row>
    <row r="29" spans="1:6" x14ac:dyDescent="0.2">
      <c r="A29" s="324" t="s">
        <v>360</v>
      </c>
      <c r="B29" s="347">
        <f>(B6*100*4/1000*100000/15)*25%</f>
        <v>200000</v>
      </c>
      <c r="C29" s="320">
        <f t="shared" si="1"/>
        <v>666.66666666666663</v>
      </c>
      <c r="D29" s="323">
        <f t="shared" si="0"/>
        <v>3.8733014934369665</v>
      </c>
    </row>
    <row r="30" spans="1:6" x14ac:dyDescent="0.2">
      <c r="A30" s="321" t="s">
        <v>342</v>
      </c>
      <c r="B30" s="348">
        <f>B15+B16+B17+B18+B19+B26+B27+B28</f>
        <v>4890844.212254555</v>
      </c>
      <c r="C30" s="320">
        <f>B30/$B$6</f>
        <v>16302.814040848516</v>
      </c>
      <c r="D30" s="320">
        <f t="shared" si="0"/>
        <v>94.718570957465559</v>
      </c>
      <c r="F30" s="346"/>
    </row>
    <row r="31" spans="1:6" x14ac:dyDescent="0.2">
      <c r="A31" s="321" t="s">
        <v>343</v>
      </c>
      <c r="B31" s="348">
        <f>(B30-B16-B17)*10%</f>
        <v>272709.42122545553</v>
      </c>
      <c r="C31" s="320">
        <f t="shared" si="1"/>
        <v>909.03140408485172</v>
      </c>
      <c r="D31" s="320">
        <f t="shared" si="0"/>
        <v>5.2814290425344383</v>
      </c>
      <c r="E31" s="346"/>
      <c r="F31" s="346"/>
    </row>
    <row r="32" spans="1:6" x14ac:dyDescent="0.2">
      <c r="A32" s="321" t="s">
        <v>344</v>
      </c>
      <c r="B32" s="327">
        <f>B30+B31</f>
        <v>5163553.6334800106</v>
      </c>
      <c r="C32" s="320">
        <f t="shared" si="1"/>
        <v>17211.845444933369</v>
      </c>
      <c r="D32" s="320">
        <f t="shared" si="0"/>
        <v>100</v>
      </c>
    </row>
    <row r="33" spans="1:5" x14ac:dyDescent="0.2">
      <c r="A33" s="322" t="s">
        <v>345</v>
      </c>
      <c r="B33" s="328">
        <f>B32/B7</f>
        <v>34423.690889866739</v>
      </c>
      <c r="C33" s="323"/>
      <c r="D33" s="323"/>
    </row>
    <row r="34" spans="1:5" x14ac:dyDescent="0.2">
      <c r="A34" s="322" t="s">
        <v>561</v>
      </c>
      <c r="B34" s="328">
        <f>B32/B9</f>
        <v>2917.2619398192151</v>
      </c>
      <c r="C34" s="323"/>
      <c r="D34" s="323"/>
      <c r="E34" s="346"/>
    </row>
    <row r="35" spans="1:5" x14ac:dyDescent="0.2">
      <c r="A35" s="322" t="s">
        <v>657</v>
      </c>
      <c r="B35" s="328">
        <f>B32/B12</f>
        <v>3557.6365119746524</v>
      </c>
      <c r="C35" s="323"/>
      <c r="D35" s="323"/>
      <c r="E35" s="346"/>
    </row>
    <row r="36" spans="1:5" x14ac:dyDescent="0.2">
      <c r="A36" s="322" t="s">
        <v>562</v>
      </c>
      <c r="B36" s="328">
        <f>B11*B35/B10</f>
        <v>355.76365119746521</v>
      </c>
      <c r="C36" s="323"/>
      <c r="D36" s="323"/>
      <c r="E36" s="346"/>
    </row>
    <row r="37" spans="1:5" x14ac:dyDescent="0.2">
      <c r="A37" s="322" t="s">
        <v>346</v>
      </c>
      <c r="B37" s="323">
        <f>зерно!O41+зерно!P41</f>
        <v>2431.721751183728</v>
      </c>
      <c r="C37" s="323"/>
      <c r="D37" s="323"/>
    </row>
    <row r="38" spans="1:5" x14ac:dyDescent="0.2">
      <c r="A38" s="324" t="s">
        <v>334</v>
      </c>
      <c r="B38" s="323">
        <f>B37/B6</f>
        <v>8.1057391706124271</v>
      </c>
      <c r="C38" s="323"/>
      <c r="D38" s="323"/>
    </row>
    <row r="39" spans="1:5" x14ac:dyDescent="0.2">
      <c r="A39" s="324" t="s">
        <v>335</v>
      </c>
      <c r="B39" s="323">
        <f>B37/B9</f>
        <v>1.3738540967139705</v>
      </c>
      <c r="C39" s="323"/>
      <c r="D39" s="323"/>
    </row>
    <row r="40" spans="1:5" x14ac:dyDescent="0.2">
      <c r="A40" s="322" t="s">
        <v>353</v>
      </c>
      <c r="B40" s="323">
        <f>(зерно!AH41+зерно!AI41)/B37</f>
        <v>375.95593947786585</v>
      </c>
      <c r="C40" s="323"/>
      <c r="D40" s="323"/>
    </row>
    <row r="41" spans="1:5" x14ac:dyDescent="0.2">
      <c r="A41" s="324" t="s">
        <v>336</v>
      </c>
      <c r="B41" s="323">
        <f>зерно!AH41/зерно!O41</f>
        <v>600.69864706664987</v>
      </c>
      <c r="C41" s="323"/>
      <c r="D41" s="323"/>
    </row>
    <row r="42" spans="1:5" x14ac:dyDescent="0.2">
      <c r="A42" s="325" t="s">
        <v>337</v>
      </c>
      <c r="B42" s="323">
        <f>зерно!AI41/зерно!P41</f>
        <v>313.63512923589622</v>
      </c>
      <c r="C42" s="323"/>
      <c r="D42" s="323"/>
    </row>
    <row r="43" spans="1:5" x14ac:dyDescent="0.2">
      <c r="A43" s="322" t="s">
        <v>347</v>
      </c>
      <c r="B43" s="323">
        <f>B40*'Исходные данные'!$B$6</f>
        <v>61813.422382485776</v>
      </c>
      <c r="C43" s="323"/>
      <c r="D43" s="323"/>
    </row>
    <row r="44" spans="1:5" x14ac:dyDescent="0.2">
      <c r="A44" s="324" t="s">
        <v>336</v>
      </c>
      <c r="B44" s="323">
        <f>B41*'Исходные данные'!$B$6</f>
        <v>98764.869221875007</v>
      </c>
      <c r="C44" s="326"/>
      <c r="D44" s="326"/>
    </row>
    <row r="45" spans="1:5" x14ac:dyDescent="0.2">
      <c r="A45" s="325" t="s">
        <v>337</v>
      </c>
      <c r="B45" s="323">
        <f>B42*'Исходные данные'!$B$6</f>
        <v>51566.842498535269</v>
      </c>
      <c r="C45" s="326"/>
      <c r="D45" s="326"/>
    </row>
  </sheetData>
  <mergeCells count="1">
    <mergeCell ref="A13:D13"/>
  </mergeCells>
  <pageMargins left="0.7" right="0.7" top="0.75" bottom="0.75" header="0.3" footer="0.3"/>
  <pageSetup paperSize="9" orientation="portrait" verticalDpi="0" r:id="rId1"/>
  <headerFooter>
    <oddFooter>&amp;LОтдел СЭР села ЯНИИСХ</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pageSetUpPr fitToPage="1"/>
  </sheetPr>
  <dimension ref="A1:BU37"/>
  <sheetViews>
    <sheetView topLeftCell="A13" workbookViewId="0">
      <selection activeCell="M40" sqref="M40"/>
    </sheetView>
  </sheetViews>
  <sheetFormatPr defaultRowHeight="11.25" x14ac:dyDescent="0.2"/>
  <cols>
    <col min="1" max="1" width="3.85546875" style="15" customWidth="1"/>
    <col min="2" max="2" width="26.85546875" style="13" customWidth="1"/>
    <col min="3" max="3" width="3.42578125" style="13" customWidth="1"/>
    <col min="4" max="4" width="7.28515625" style="13" customWidth="1"/>
    <col min="5" max="5" width="9.7109375" style="13" customWidth="1"/>
    <col min="6" max="6" width="6.85546875" style="15" customWidth="1"/>
    <col min="7" max="7" width="6.140625" style="13" customWidth="1"/>
    <col min="8" max="8" width="7" style="13" customWidth="1"/>
    <col min="9" max="9" width="6.140625" style="13" customWidth="1"/>
    <col min="10" max="10" width="5.42578125" style="13" customWidth="1"/>
    <col min="11" max="15" width="6.140625" style="13" customWidth="1"/>
    <col min="16" max="16" width="7.140625" style="13" customWidth="1"/>
    <col min="17" max="17" width="6.140625" style="18" customWidth="1"/>
    <col min="18" max="21" width="6.140625" style="13" customWidth="1"/>
    <col min="22" max="22" width="8.28515625" style="13" customWidth="1"/>
    <col min="23" max="23" width="6.140625" style="13" customWidth="1"/>
    <col min="24" max="26" width="8.28515625" style="13" customWidth="1"/>
    <col min="27" max="27" width="6.7109375" style="13" customWidth="1"/>
    <col min="28" max="29" width="8.28515625" style="13" customWidth="1"/>
    <col min="30" max="30" width="6.85546875" style="13" customWidth="1"/>
    <col min="31" max="31" width="8.28515625" style="13" customWidth="1"/>
    <col min="32" max="32" width="6.140625" style="13" customWidth="1"/>
    <col min="33" max="33" width="8.28515625" style="13" customWidth="1"/>
    <col min="34" max="35" width="6.5703125" style="13" customWidth="1"/>
    <col min="36" max="39" width="8.28515625" style="13" customWidth="1"/>
    <col min="40" max="41" width="6.140625" style="13" customWidth="1"/>
    <col min="42" max="42" width="7.28515625" style="16" customWidth="1"/>
    <col min="43" max="44" width="8.7109375" style="43" customWidth="1"/>
    <col min="45" max="45" width="9.5703125" style="16" customWidth="1"/>
    <col min="46" max="46" width="8.42578125" style="13" customWidth="1"/>
    <col min="47" max="48" width="7.42578125" style="16" customWidth="1"/>
    <col min="49" max="49" width="8.42578125" style="16" customWidth="1"/>
    <col min="50" max="52" width="7.42578125" style="16" customWidth="1"/>
    <col min="53" max="53" width="8.7109375" style="16" customWidth="1"/>
    <col min="54" max="68" width="7.42578125" style="16" customWidth="1"/>
    <col min="69" max="69" width="8.85546875" style="16" customWidth="1"/>
    <col min="70" max="71" width="7.42578125" style="16" customWidth="1"/>
    <col min="72" max="72" width="9" style="17" customWidth="1"/>
    <col min="73" max="16384" width="9.140625" style="13"/>
  </cols>
  <sheetData>
    <row r="1" spans="1:73" s="110" customFormat="1" ht="15" x14ac:dyDescent="0.2">
      <c r="B1" s="47" t="s">
        <v>54</v>
      </c>
      <c r="E1" s="111"/>
      <c r="G1" s="112"/>
      <c r="Q1" s="113"/>
      <c r="AP1" s="114"/>
      <c r="AQ1" s="115"/>
      <c r="AR1" s="115"/>
      <c r="AS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6"/>
    </row>
    <row r="2" spans="1:73" s="110" customFormat="1" ht="15" x14ac:dyDescent="0.2">
      <c r="B2" s="47" t="s">
        <v>57</v>
      </c>
      <c r="E2" s="111"/>
      <c r="G2" s="112"/>
      <c r="Q2" s="113"/>
      <c r="AP2" s="114"/>
      <c r="AQ2" s="114"/>
      <c r="AR2" s="114"/>
      <c r="AS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6"/>
    </row>
    <row r="3" spans="1:73" s="1" customFormat="1" ht="12.75" x14ac:dyDescent="0.2">
      <c r="B3" s="92"/>
      <c r="E3" s="2"/>
      <c r="G3" s="92"/>
      <c r="Q3" s="3"/>
      <c r="AP3" s="4"/>
      <c r="AQ3" s="4"/>
      <c r="AR3" s="4"/>
      <c r="AS3" s="4"/>
      <c r="AU3" s="4"/>
      <c r="AV3" s="4"/>
      <c r="AW3" s="4"/>
      <c r="AX3" s="4"/>
      <c r="AY3" s="4"/>
      <c r="AZ3" s="4"/>
      <c r="BA3" s="4"/>
      <c r="BB3" s="4"/>
      <c r="BC3" s="4"/>
      <c r="BD3" s="4"/>
      <c r="BE3" s="4"/>
      <c r="BF3" s="4"/>
      <c r="BG3" s="4"/>
      <c r="BH3" s="4"/>
      <c r="BI3" s="4"/>
      <c r="BJ3" s="4"/>
      <c r="BK3" s="4"/>
      <c r="BL3" s="4"/>
      <c r="BM3" s="4"/>
      <c r="BN3" s="4"/>
      <c r="BO3" s="4"/>
      <c r="BP3" s="4"/>
      <c r="BQ3" s="4"/>
      <c r="BR3" s="4"/>
      <c r="BS3" s="4"/>
      <c r="BT3" s="5"/>
    </row>
    <row r="4" spans="1:73" s="1" customFormat="1" ht="12.75" customHeight="1" x14ac:dyDescent="0.2">
      <c r="B4" s="46" t="s">
        <v>71</v>
      </c>
      <c r="E4" s="2"/>
      <c r="G4" s="46"/>
      <c r="L4" s="46"/>
      <c r="Q4" s="3"/>
      <c r="AP4" s="4"/>
      <c r="AQ4" s="4"/>
      <c r="AR4" s="4"/>
      <c r="AS4" s="4"/>
      <c r="AU4" s="4"/>
      <c r="AV4" s="4"/>
      <c r="AW4" s="4"/>
      <c r="AX4" s="4"/>
      <c r="AY4" s="4"/>
      <c r="AZ4" s="4"/>
      <c r="BA4" s="4"/>
      <c r="BB4" s="4"/>
      <c r="BC4" s="4"/>
      <c r="BD4" s="4"/>
      <c r="BE4" s="4"/>
      <c r="BF4" s="4"/>
      <c r="BG4" s="4"/>
      <c r="BH4" s="4"/>
      <c r="BI4" s="4"/>
      <c r="BJ4" s="4"/>
      <c r="BK4" s="4"/>
      <c r="BL4" s="4"/>
      <c r="BM4" s="4"/>
      <c r="BN4" s="4"/>
      <c r="BO4" s="4"/>
      <c r="BP4" s="4"/>
      <c r="BQ4" s="4"/>
      <c r="BR4" s="4"/>
      <c r="BS4" s="4"/>
      <c r="BT4" s="5"/>
    </row>
    <row r="5" spans="1:73" s="1" customFormat="1" ht="12.75" customHeight="1" x14ac:dyDescent="0.2">
      <c r="B5" s="46" t="s">
        <v>363</v>
      </c>
      <c r="E5" s="2"/>
      <c r="G5" s="46"/>
      <c r="L5" s="46"/>
      <c r="Q5" s="3"/>
      <c r="AP5" s="4"/>
      <c r="AQ5" s="4"/>
      <c r="AR5" s="4"/>
      <c r="AS5" s="4"/>
      <c r="AU5" s="4"/>
      <c r="AV5" s="4"/>
      <c r="AW5" s="4"/>
      <c r="AX5" s="4"/>
      <c r="AY5" s="4"/>
      <c r="AZ5" s="4"/>
      <c r="BA5" s="4"/>
      <c r="BB5" s="4"/>
      <c r="BC5" s="4"/>
      <c r="BD5" s="4"/>
      <c r="BE5" s="4"/>
      <c r="BF5" s="4"/>
      <c r="BG5" s="4"/>
      <c r="BH5" s="4"/>
      <c r="BI5" s="4"/>
      <c r="BJ5" s="4"/>
      <c r="BK5" s="4"/>
      <c r="BL5" s="4"/>
      <c r="BM5" s="4"/>
      <c r="BN5" s="4"/>
      <c r="BO5" s="4"/>
      <c r="BP5" s="4"/>
      <c r="BQ5" s="4"/>
      <c r="BR5" s="4"/>
      <c r="BS5" s="4"/>
      <c r="BT5" s="5"/>
    </row>
    <row r="6" spans="1:73" s="1" customFormat="1" ht="12.75" customHeight="1" x14ac:dyDescent="0.2">
      <c r="B6" s="46" t="s">
        <v>361</v>
      </c>
      <c r="D6" s="1">
        <v>100</v>
      </c>
      <c r="E6" s="2"/>
      <c r="F6" s="1" t="s">
        <v>357</v>
      </c>
      <c r="G6" s="46"/>
      <c r="I6" s="1">
        <v>50</v>
      </c>
      <c r="L6" s="46"/>
      <c r="Q6" s="3"/>
      <c r="AP6" s="4"/>
      <c r="AQ6" s="4"/>
      <c r="AR6" s="4"/>
      <c r="AS6" s="4"/>
      <c r="AU6" s="4"/>
      <c r="AV6" s="4"/>
      <c r="AW6" s="4"/>
      <c r="AX6" s="4"/>
      <c r="AY6" s="4"/>
      <c r="AZ6" s="4"/>
      <c r="BA6" s="4"/>
      <c r="BB6" s="4"/>
      <c r="BC6" s="4"/>
      <c r="BD6" s="4"/>
      <c r="BE6" s="4"/>
      <c r="BF6" s="4"/>
      <c r="BG6" s="4"/>
      <c r="BH6" s="4"/>
      <c r="BI6" s="4"/>
      <c r="BJ6" s="4"/>
      <c r="BK6" s="4"/>
      <c r="BL6" s="4"/>
      <c r="BM6" s="4"/>
      <c r="BN6" s="4"/>
      <c r="BO6" s="4"/>
      <c r="BP6" s="4"/>
      <c r="BQ6" s="4"/>
      <c r="BR6" s="4"/>
      <c r="BS6" s="4"/>
      <c r="BT6" s="5"/>
    </row>
    <row r="7" spans="1:73" s="97" customFormat="1" ht="12.75" customHeight="1" x14ac:dyDescent="0.2">
      <c r="B7" s="45" t="s">
        <v>364</v>
      </c>
      <c r="C7" s="13"/>
      <c r="D7" s="13">
        <f>D6*I6</f>
        <v>5000</v>
      </c>
      <c r="E7" s="14"/>
      <c r="F7" s="7"/>
      <c r="G7" s="95"/>
      <c r="K7" s="1"/>
      <c r="L7" s="1"/>
      <c r="N7" s="1"/>
      <c r="Q7" s="98"/>
      <c r="AP7" s="99"/>
      <c r="AQ7" s="99"/>
      <c r="AR7" s="99"/>
      <c r="AS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100"/>
    </row>
    <row r="8" spans="1:73" s="97" customFormat="1" ht="12.75" customHeight="1" x14ac:dyDescent="0.2">
      <c r="B8" s="45" t="s">
        <v>365</v>
      </c>
      <c r="D8" s="13">
        <f>D7*0.85</f>
        <v>4250</v>
      </c>
      <c r="E8" s="96"/>
      <c r="F8" s="1"/>
      <c r="G8" s="95"/>
      <c r="K8" s="1"/>
      <c r="L8" s="1"/>
      <c r="N8" s="1"/>
      <c r="Q8" s="98"/>
      <c r="AP8" s="99"/>
      <c r="AQ8" s="100"/>
      <c r="AR8" s="99"/>
      <c r="AS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100"/>
    </row>
    <row r="9" spans="1:73" s="97" customFormat="1" ht="12.75" customHeight="1" x14ac:dyDescent="0.2">
      <c r="A9" s="45"/>
      <c r="C9" s="13"/>
      <c r="D9" s="96"/>
      <c r="E9" s="1"/>
      <c r="F9" s="95"/>
      <c r="K9" s="1"/>
      <c r="L9" s="1"/>
      <c r="N9" s="1"/>
      <c r="Q9" s="98"/>
      <c r="AP9" s="99"/>
      <c r="AQ9" s="100"/>
      <c r="AR9" s="99"/>
      <c r="AS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100"/>
    </row>
    <row r="10" spans="1:73" s="6" customFormat="1" ht="39.75" customHeight="1" x14ac:dyDescent="0.2">
      <c r="A10" s="534" t="s">
        <v>55</v>
      </c>
      <c r="B10" s="535" t="s">
        <v>51</v>
      </c>
      <c r="C10" s="535"/>
      <c r="D10" s="535"/>
      <c r="E10" s="535"/>
      <c r="F10" s="534" t="s">
        <v>15</v>
      </c>
      <c r="G10" s="534" t="s">
        <v>34</v>
      </c>
      <c r="H10" s="535" t="s">
        <v>30</v>
      </c>
      <c r="I10" s="535"/>
      <c r="J10" s="534" t="s">
        <v>33</v>
      </c>
      <c r="K10" s="534" t="s">
        <v>39</v>
      </c>
      <c r="L10" s="534" t="s">
        <v>38</v>
      </c>
      <c r="M10" s="535" t="s">
        <v>35</v>
      </c>
      <c r="N10" s="535"/>
      <c r="O10" s="535" t="s">
        <v>315</v>
      </c>
      <c r="P10" s="535"/>
      <c r="Q10" s="535" t="s">
        <v>314</v>
      </c>
      <c r="R10" s="535"/>
      <c r="S10" s="535"/>
      <c r="T10" s="535"/>
      <c r="U10" s="535" t="s">
        <v>316</v>
      </c>
      <c r="V10" s="535"/>
      <c r="W10" s="535" t="s">
        <v>317</v>
      </c>
      <c r="X10" s="535"/>
      <c r="Y10" s="535" t="s">
        <v>318</v>
      </c>
      <c r="Z10" s="535"/>
      <c r="AA10" s="535" t="s">
        <v>319</v>
      </c>
      <c r="AB10" s="535"/>
      <c r="AC10" s="543" t="s">
        <v>425</v>
      </c>
      <c r="AD10" s="544"/>
      <c r="AE10" s="545"/>
      <c r="AF10" s="535" t="s">
        <v>163</v>
      </c>
      <c r="AG10" s="535"/>
      <c r="AH10" s="535" t="s">
        <v>320</v>
      </c>
      <c r="AI10" s="535"/>
      <c r="AJ10" s="535" t="s">
        <v>321</v>
      </c>
      <c r="AK10" s="535"/>
      <c r="AL10" s="535" t="s">
        <v>322</v>
      </c>
      <c r="AM10" s="535"/>
      <c r="AN10" s="535" t="s">
        <v>13</v>
      </c>
      <c r="AO10" s="535"/>
      <c r="AP10" s="535"/>
      <c r="AQ10" s="535"/>
      <c r="AR10" s="535"/>
      <c r="AS10" s="535"/>
      <c r="AT10" s="535" t="s">
        <v>186</v>
      </c>
      <c r="AU10" s="535"/>
      <c r="AV10" s="535"/>
      <c r="AW10" s="535"/>
      <c r="AX10" s="535" t="s">
        <v>329</v>
      </c>
      <c r="AY10" s="535"/>
      <c r="AZ10" s="535"/>
      <c r="BA10" s="535"/>
      <c r="BB10" s="537" t="s">
        <v>394</v>
      </c>
      <c r="BC10" s="538"/>
      <c r="BD10" s="538"/>
      <c r="BE10" s="539"/>
      <c r="BF10" s="535" t="s">
        <v>44</v>
      </c>
      <c r="BG10" s="535"/>
      <c r="BH10" s="535"/>
      <c r="BI10" s="535"/>
      <c r="BJ10" s="535" t="s">
        <v>312</v>
      </c>
      <c r="BK10" s="535"/>
      <c r="BL10" s="535"/>
      <c r="BM10" s="535"/>
      <c r="BN10" s="535"/>
      <c r="BO10" s="535"/>
      <c r="BP10" s="535"/>
      <c r="BQ10" s="535" t="s">
        <v>48</v>
      </c>
      <c r="BR10" s="535"/>
      <c r="BS10" s="535" t="s">
        <v>326</v>
      </c>
      <c r="BT10" s="549" t="s">
        <v>58</v>
      </c>
      <c r="BU10" s="549"/>
    </row>
    <row r="11" spans="1:73" s="6" customFormat="1" ht="40.5" customHeight="1" x14ac:dyDescent="0.2">
      <c r="A11" s="534"/>
      <c r="B11" s="535"/>
      <c r="C11" s="535"/>
      <c r="D11" s="535"/>
      <c r="E11" s="535"/>
      <c r="F11" s="534"/>
      <c r="G11" s="534"/>
      <c r="H11" s="535"/>
      <c r="I11" s="535"/>
      <c r="J11" s="534"/>
      <c r="K11" s="534"/>
      <c r="L11" s="534"/>
      <c r="M11" s="535"/>
      <c r="N11" s="535"/>
      <c r="O11" s="535"/>
      <c r="P11" s="535"/>
      <c r="Q11" s="535"/>
      <c r="R11" s="535"/>
      <c r="S11" s="535"/>
      <c r="T11" s="535"/>
      <c r="U11" s="535"/>
      <c r="V11" s="535"/>
      <c r="W11" s="535"/>
      <c r="X11" s="535"/>
      <c r="Y11" s="535"/>
      <c r="Z11" s="535"/>
      <c r="AA11" s="535"/>
      <c r="AB11" s="535"/>
      <c r="AC11" s="546"/>
      <c r="AD11" s="547"/>
      <c r="AE11" s="548"/>
      <c r="AF11" s="535"/>
      <c r="AG11" s="535"/>
      <c r="AH11" s="535"/>
      <c r="AI11" s="535"/>
      <c r="AJ11" s="535"/>
      <c r="AK11" s="535"/>
      <c r="AL11" s="535"/>
      <c r="AM11" s="535"/>
      <c r="AN11" s="535"/>
      <c r="AO11" s="535"/>
      <c r="AP11" s="535"/>
      <c r="AQ11" s="535"/>
      <c r="AR11" s="535"/>
      <c r="AS11" s="535"/>
      <c r="AT11" s="535"/>
      <c r="AU11" s="535"/>
      <c r="AV11" s="535"/>
      <c r="AW11" s="535"/>
      <c r="AX11" s="535"/>
      <c r="AY11" s="535"/>
      <c r="AZ11" s="535"/>
      <c r="BA11" s="535"/>
      <c r="BB11" s="540"/>
      <c r="BC11" s="541"/>
      <c r="BD11" s="541"/>
      <c r="BE11" s="542"/>
      <c r="BF11" s="535"/>
      <c r="BG11" s="535"/>
      <c r="BH11" s="535"/>
      <c r="BI11" s="535"/>
      <c r="BJ11" s="535"/>
      <c r="BK11" s="535"/>
      <c r="BL11" s="535"/>
      <c r="BM11" s="535"/>
      <c r="BN11" s="535"/>
      <c r="BO11" s="535"/>
      <c r="BP11" s="535"/>
      <c r="BQ11" s="535"/>
      <c r="BR11" s="535"/>
      <c r="BS11" s="535"/>
      <c r="BT11" s="549"/>
      <c r="BU11" s="549"/>
    </row>
    <row r="12" spans="1:73" s="6" customFormat="1" ht="39.75" customHeight="1" x14ac:dyDescent="0.2">
      <c r="A12" s="534"/>
      <c r="B12" s="535" t="s">
        <v>12</v>
      </c>
      <c r="C12" s="535" t="s">
        <v>40</v>
      </c>
      <c r="D12" s="535"/>
      <c r="E12" s="535"/>
      <c r="F12" s="534"/>
      <c r="G12" s="534"/>
      <c r="H12" s="534" t="s">
        <v>31</v>
      </c>
      <c r="I12" s="534" t="s">
        <v>32</v>
      </c>
      <c r="J12" s="534"/>
      <c r="K12" s="534"/>
      <c r="L12" s="534"/>
      <c r="M12" s="534" t="s">
        <v>36</v>
      </c>
      <c r="N12" s="534" t="s">
        <v>37</v>
      </c>
      <c r="O12" s="477">
        <v>7</v>
      </c>
      <c r="P12" s="477"/>
      <c r="Q12" s="535" t="s">
        <v>36</v>
      </c>
      <c r="R12" s="535"/>
      <c r="S12" s="535" t="s">
        <v>37</v>
      </c>
      <c r="T12" s="535"/>
      <c r="U12" s="534" t="s">
        <v>16</v>
      </c>
      <c r="V12" s="534" t="s">
        <v>17</v>
      </c>
      <c r="W12" s="550"/>
      <c r="X12" s="550"/>
      <c r="Y12" s="71">
        <v>0.1</v>
      </c>
      <c r="Z12" s="71">
        <v>0.05</v>
      </c>
      <c r="AA12" s="556"/>
      <c r="AB12" s="556"/>
      <c r="AC12" s="552" t="s">
        <v>18</v>
      </c>
      <c r="AD12" s="552" t="s">
        <v>16</v>
      </c>
      <c r="AE12" s="552" t="s">
        <v>17</v>
      </c>
      <c r="AF12" s="556">
        <f ca="1">(((((AD37/O37)*167)/29*(52/12)))/((AD37/O37)*167))</f>
        <v>0.14942528735632182</v>
      </c>
      <c r="AG12" s="556"/>
      <c r="AH12" s="534" t="s">
        <v>16</v>
      </c>
      <c r="AI12" s="534" t="s">
        <v>17</v>
      </c>
      <c r="AJ12" s="556">
        <v>0.3</v>
      </c>
      <c r="AK12" s="556"/>
      <c r="AL12" s="534" t="s">
        <v>16</v>
      </c>
      <c r="AM12" s="534" t="s">
        <v>17</v>
      </c>
      <c r="AN12" s="551" t="s">
        <v>328</v>
      </c>
      <c r="AO12" s="534" t="s">
        <v>42</v>
      </c>
      <c r="AP12" s="509" t="s">
        <v>49</v>
      </c>
      <c r="AQ12" s="509" t="s">
        <v>43</v>
      </c>
      <c r="AR12" s="509" t="s">
        <v>323</v>
      </c>
      <c r="AS12" s="509" t="s">
        <v>324</v>
      </c>
      <c r="AT12" s="551" t="s">
        <v>213</v>
      </c>
      <c r="AU12" s="509" t="s">
        <v>187</v>
      </c>
      <c r="AV12" s="509" t="s">
        <v>325</v>
      </c>
      <c r="AW12" s="509" t="s">
        <v>324</v>
      </c>
      <c r="AX12" s="551" t="s">
        <v>213</v>
      </c>
      <c r="AY12" s="509" t="s">
        <v>187</v>
      </c>
      <c r="AZ12" s="509" t="s">
        <v>325</v>
      </c>
      <c r="BA12" s="509" t="s">
        <v>324</v>
      </c>
      <c r="BB12" s="551" t="s">
        <v>404</v>
      </c>
      <c r="BC12" s="509" t="s">
        <v>405</v>
      </c>
      <c r="BD12" s="509" t="s">
        <v>406</v>
      </c>
      <c r="BE12" s="509" t="s">
        <v>324</v>
      </c>
      <c r="BF12" s="549" t="s">
        <v>45</v>
      </c>
      <c r="BG12" s="549"/>
      <c r="BH12" s="549" t="s">
        <v>46</v>
      </c>
      <c r="BI12" s="549"/>
      <c r="BJ12" s="549" t="s">
        <v>307</v>
      </c>
      <c r="BK12" s="549"/>
      <c r="BL12" s="549" t="s">
        <v>308</v>
      </c>
      <c r="BM12" s="549"/>
      <c r="BN12" s="549" t="s">
        <v>309</v>
      </c>
      <c r="BO12" s="549"/>
      <c r="BP12" s="534" t="s">
        <v>310</v>
      </c>
      <c r="BQ12" s="509" t="s">
        <v>311</v>
      </c>
      <c r="BR12" s="509" t="s">
        <v>327</v>
      </c>
      <c r="BS12" s="535"/>
      <c r="BT12" s="509" t="s">
        <v>50</v>
      </c>
      <c r="BU12" s="509" t="s">
        <v>14</v>
      </c>
    </row>
    <row r="13" spans="1:73" s="6" customFormat="1" ht="48" customHeight="1" x14ac:dyDescent="0.2">
      <c r="A13" s="534"/>
      <c r="B13" s="535"/>
      <c r="C13" s="534" t="s">
        <v>41</v>
      </c>
      <c r="D13" s="534" t="s">
        <v>53</v>
      </c>
      <c r="E13" s="534" t="s">
        <v>52</v>
      </c>
      <c r="F13" s="534"/>
      <c r="G13" s="534"/>
      <c r="H13" s="534"/>
      <c r="I13" s="534"/>
      <c r="J13" s="534"/>
      <c r="K13" s="534"/>
      <c r="L13" s="534"/>
      <c r="M13" s="534"/>
      <c r="N13" s="534"/>
      <c r="O13" s="534" t="s">
        <v>36</v>
      </c>
      <c r="P13" s="534" t="s">
        <v>37</v>
      </c>
      <c r="Q13" s="536" t="s">
        <v>19</v>
      </c>
      <c r="R13" s="534" t="s">
        <v>20</v>
      </c>
      <c r="S13" s="536" t="s">
        <v>19</v>
      </c>
      <c r="T13" s="534" t="s">
        <v>20</v>
      </c>
      <c r="U13" s="534"/>
      <c r="V13" s="534"/>
      <c r="W13" s="534" t="s">
        <v>16</v>
      </c>
      <c r="X13" s="534" t="s">
        <v>17</v>
      </c>
      <c r="Y13" s="534" t="s">
        <v>172</v>
      </c>
      <c r="Z13" s="534" t="s">
        <v>173</v>
      </c>
      <c r="AA13" s="534" t="s">
        <v>16</v>
      </c>
      <c r="AB13" s="534" t="s">
        <v>17</v>
      </c>
      <c r="AC13" s="553"/>
      <c r="AD13" s="553"/>
      <c r="AE13" s="553"/>
      <c r="AF13" s="534" t="s">
        <v>16</v>
      </c>
      <c r="AG13" s="534" t="s">
        <v>17</v>
      </c>
      <c r="AH13" s="534"/>
      <c r="AI13" s="534"/>
      <c r="AJ13" s="534" t="s">
        <v>16</v>
      </c>
      <c r="AK13" s="534" t="s">
        <v>17</v>
      </c>
      <c r="AL13" s="534"/>
      <c r="AM13" s="534"/>
      <c r="AN13" s="551"/>
      <c r="AO13" s="534"/>
      <c r="AP13" s="509"/>
      <c r="AQ13" s="509"/>
      <c r="AR13" s="509"/>
      <c r="AS13" s="509"/>
      <c r="AT13" s="551"/>
      <c r="AU13" s="509"/>
      <c r="AV13" s="509"/>
      <c r="AW13" s="509"/>
      <c r="AX13" s="551"/>
      <c r="AY13" s="509"/>
      <c r="AZ13" s="509"/>
      <c r="BA13" s="509"/>
      <c r="BB13" s="551"/>
      <c r="BC13" s="509"/>
      <c r="BD13" s="509"/>
      <c r="BE13" s="509"/>
      <c r="BF13" s="509" t="s">
        <v>47</v>
      </c>
      <c r="BG13" s="509" t="s">
        <v>313</v>
      </c>
      <c r="BH13" s="509" t="s">
        <v>47</v>
      </c>
      <c r="BI13" s="509" t="s">
        <v>313</v>
      </c>
      <c r="BJ13" s="509" t="s">
        <v>306</v>
      </c>
      <c r="BK13" s="509" t="s">
        <v>313</v>
      </c>
      <c r="BL13" s="509" t="s">
        <v>306</v>
      </c>
      <c r="BM13" s="509" t="s">
        <v>313</v>
      </c>
      <c r="BN13" s="509" t="s">
        <v>306</v>
      </c>
      <c r="BO13" s="509" t="s">
        <v>313</v>
      </c>
      <c r="BP13" s="534"/>
      <c r="BQ13" s="509"/>
      <c r="BR13" s="509"/>
      <c r="BS13" s="535"/>
      <c r="BT13" s="509"/>
      <c r="BU13" s="509"/>
    </row>
    <row r="14" spans="1:73" s="6" customFormat="1" ht="76.5" customHeight="1" x14ac:dyDescent="0.2">
      <c r="A14" s="534"/>
      <c r="B14" s="535"/>
      <c r="C14" s="534"/>
      <c r="D14" s="534"/>
      <c r="E14" s="534"/>
      <c r="F14" s="534"/>
      <c r="G14" s="534"/>
      <c r="H14" s="534"/>
      <c r="I14" s="534"/>
      <c r="J14" s="534"/>
      <c r="K14" s="534"/>
      <c r="L14" s="534"/>
      <c r="M14" s="534"/>
      <c r="N14" s="534"/>
      <c r="O14" s="534"/>
      <c r="P14" s="534"/>
      <c r="Q14" s="536"/>
      <c r="R14" s="534"/>
      <c r="S14" s="536"/>
      <c r="T14" s="534"/>
      <c r="U14" s="534"/>
      <c r="V14" s="534"/>
      <c r="W14" s="534"/>
      <c r="X14" s="534"/>
      <c r="Y14" s="534"/>
      <c r="Z14" s="534"/>
      <c r="AA14" s="534"/>
      <c r="AB14" s="534"/>
      <c r="AC14" s="554"/>
      <c r="AD14" s="554"/>
      <c r="AE14" s="554"/>
      <c r="AF14" s="534"/>
      <c r="AG14" s="534"/>
      <c r="AH14" s="534"/>
      <c r="AI14" s="534"/>
      <c r="AJ14" s="534"/>
      <c r="AK14" s="534"/>
      <c r="AL14" s="534"/>
      <c r="AM14" s="534"/>
      <c r="AN14" s="551"/>
      <c r="AO14" s="534"/>
      <c r="AP14" s="509"/>
      <c r="AQ14" s="509"/>
      <c r="AR14" s="509"/>
      <c r="AS14" s="509"/>
      <c r="AT14" s="551"/>
      <c r="AU14" s="509"/>
      <c r="AV14" s="509"/>
      <c r="AW14" s="509"/>
      <c r="AX14" s="551"/>
      <c r="AY14" s="509"/>
      <c r="AZ14" s="509"/>
      <c r="BA14" s="509"/>
      <c r="BB14" s="551"/>
      <c r="BC14" s="509"/>
      <c r="BD14" s="509"/>
      <c r="BE14" s="509"/>
      <c r="BF14" s="509"/>
      <c r="BG14" s="509"/>
      <c r="BH14" s="509"/>
      <c r="BI14" s="509"/>
      <c r="BJ14" s="509"/>
      <c r="BK14" s="509"/>
      <c r="BL14" s="509"/>
      <c r="BM14" s="509"/>
      <c r="BN14" s="509"/>
      <c r="BO14" s="509"/>
      <c r="BP14" s="534"/>
      <c r="BQ14" s="509"/>
      <c r="BR14" s="509"/>
      <c r="BS14" s="535"/>
      <c r="BT14" s="509"/>
      <c r="BU14" s="509"/>
    </row>
    <row r="15" spans="1:73" x14ac:dyDescent="0.2">
      <c r="A15" s="20">
        <f>COLUMN(A15)</f>
        <v>1</v>
      </c>
      <c r="B15" s="555">
        <f>COLUMN(B15)</f>
        <v>2</v>
      </c>
      <c r="C15" s="555"/>
      <c r="D15" s="555"/>
      <c r="E15" s="555"/>
      <c r="F15" s="20">
        <v>3</v>
      </c>
      <c r="G15" s="20">
        <f t="shared" ref="G15:BQ15" si="0">F15+1</f>
        <v>4</v>
      </c>
      <c r="H15" s="20">
        <f t="shared" si="0"/>
        <v>5</v>
      </c>
      <c r="I15" s="20">
        <f t="shared" si="0"/>
        <v>6</v>
      </c>
      <c r="J15" s="20">
        <f t="shared" si="0"/>
        <v>7</v>
      </c>
      <c r="K15" s="20">
        <f t="shared" si="0"/>
        <v>8</v>
      </c>
      <c r="L15" s="20">
        <f t="shared" si="0"/>
        <v>9</v>
      </c>
      <c r="M15" s="20">
        <f t="shared" si="0"/>
        <v>10</v>
      </c>
      <c r="N15" s="20">
        <f t="shared" si="0"/>
        <v>11</v>
      </c>
      <c r="O15" s="20">
        <f t="shared" si="0"/>
        <v>12</v>
      </c>
      <c r="P15" s="20">
        <f t="shared" si="0"/>
        <v>13</v>
      </c>
      <c r="Q15" s="20">
        <f t="shared" si="0"/>
        <v>14</v>
      </c>
      <c r="R15" s="20">
        <f t="shared" si="0"/>
        <v>15</v>
      </c>
      <c r="S15" s="20">
        <f t="shared" si="0"/>
        <v>16</v>
      </c>
      <c r="T15" s="20">
        <f t="shared" si="0"/>
        <v>17</v>
      </c>
      <c r="U15" s="20">
        <f t="shared" si="0"/>
        <v>18</v>
      </c>
      <c r="V15" s="20">
        <f t="shared" si="0"/>
        <v>19</v>
      </c>
      <c r="W15" s="20">
        <f t="shared" si="0"/>
        <v>20</v>
      </c>
      <c r="X15" s="20">
        <f t="shared" si="0"/>
        <v>21</v>
      </c>
      <c r="Y15" s="20">
        <f t="shared" si="0"/>
        <v>22</v>
      </c>
      <c r="Z15" s="20">
        <f t="shared" si="0"/>
        <v>23</v>
      </c>
      <c r="AA15" s="20">
        <f t="shared" si="0"/>
        <v>24</v>
      </c>
      <c r="AB15" s="20">
        <f t="shared" si="0"/>
        <v>25</v>
      </c>
      <c r="AC15" s="20">
        <f t="shared" si="0"/>
        <v>26</v>
      </c>
      <c r="AD15" s="20">
        <f t="shared" si="0"/>
        <v>27</v>
      </c>
      <c r="AE15" s="20">
        <f t="shared" si="0"/>
        <v>28</v>
      </c>
      <c r="AF15" s="20">
        <f t="shared" si="0"/>
        <v>29</v>
      </c>
      <c r="AG15" s="20">
        <f t="shared" si="0"/>
        <v>30</v>
      </c>
      <c r="AH15" s="20">
        <f t="shared" si="0"/>
        <v>31</v>
      </c>
      <c r="AI15" s="20">
        <f t="shared" si="0"/>
        <v>32</v>
      </c>
      <c r="AJ15" s="20">
        <f t="shared" si="0"/>
        <v>33</v>
      </c>
      <c r="AK15" s="20">
        <f t="shared" si="0"/>
        <v>34</v>
      </c>
      <c r="AL15" s="20">
        <f t="shared" si="0"/>
        <v>35</v>
      </c>
      <c r="AM15" s="20">
        <f t="shared" si="0"/>
        <v>36</v>
      </c>
      <c r="AN15" s="20">
        <f t="shared" si="0"/>
        <v>37</v>
      </c>
      <c r="AO15" s="20">
        <f t="shared" si="0"/>
        <v>38</v>
      </c>
      <c r="AP15" s="20">
        <f t="shared" si="0"/>
        <v>39</v>
      </c>
      <c r="AQ15" s="20">
        <f t="shared" si="0"/>
        <v>40</v>
      </c>
      <c r="AR15" s="20">
        <f t="shared" si="0"/>
        <v>41</v>
      </c>
      <c r="AS15" s="20">
        <f t="shared" si="0"/>
        <v>42</v>
      </c>
      <c r="AT15" s="20">
        <f t="shared" si="0"/>
        <v>43</v>
      </c>
      <c r="AU15" s="20">
        <f t="shared" si="0"/>
        <v>44</v>
      </c>
      <c r="AV15" s="20">
        <f t="shared" si="0"/>
        <v>45</v>
      </c>
      <c r="AW15" s="20">
        <f t="shared" si="0"/>
        <v>46</v>
      </c>
      <c r="AX15" s="20">
        <f t="shared" si="0"/>
        <v>47</v>
      </c>
      <c r="AY15" s="20">
        <f t="shared" si="0"/>
        <v>48</v>
      </c>
      <c r="AZ15" s="20">
        <f t="shared" si="0"/>
        <v>49</v>
      </c>
      <c r="BA15" s="20">
        <f t="shared" si="0"/>
        <v>50</v>
      </c>
      <c r="BB15" s="20">
        <f t="shared" si="0"/>
        <v>51</v>
      </c>
      <c r="BC15" s="20">
        <f t="shared" si="0"/>
        <v>52</v>
      </c>
      <c r="BD15" s="20">
        <f>BC15+1</f>
        <v>53</v>
      </c>
      <c r="BE15" s="20">
        <f>BD15+1</f>
        <v>54</v>
      </c>
      <c r="BF15" s="20">
        <f>BE15+1</f>
        <v>55</v>
      </c>
      <c r="BG15" s="20">
        <f t="shared" si="0"/>
        <v>56</v>
      </c>
      <c r="BH15" s="20">
        <f t="shared" si="0"/>
        <v>57</v>
      </c>
      <c r="BI15" s="20">
        <f t="shared" si="0"/>
        <v>58</v>
      </c>
      <c r="BJ15" s="20">
        <f t="shared" si="0"/>
        <v>59</v>
      </c>
      <c r="BK15" s="20">
        <f t="shared" si="0"/>
        <v>60</v>
      </c>
      <c r="BL15" s="20">
        <f t="shared" si="0"/>
        <v>61</v>
      </c>
      <c r="BM15" s="20">
        <f t="shared" si="0"/>
        <v>62</v>
      </c>
      <c r="BN15" s="20">
        <f t="shared" si="0"/>
        <v>63</v>
      </c>
      <c r="BO15" s="20">
        <f t="shared" si="0"/>
        <v>64</v>
      </c>
      <c r="BP15" s="20">
        <f t="shared" si="0"/>
        <v>65</v>
      </c>
      <c r="BQ15" s="20">
        <f t="shared" si="0"/>
        <v>66</v>
      </c>
      <c r="BR15" s="20">
        <f>BQ15+1</f>
        <v>67</v>
      </c>
      <c r="BS15" s="20">
        <f>BR15+1</f>
        <v>68</v>
      </c>
      <c r="BT15" s="20">
        <f>BS15+1</f>
        <v>69</v>
      </c>
      <c r="BU15" s="20">
        <f>BT15+1</f>
        <v>70</v>
      </c>
    </row>
    <row r="16" spans="1:73" s="7" customFormat="1" ht="12.75" customHeight="1" x14ac:dyDescent="0.2">
      <c r="A16" s="21"/>
      <c r="B16" s="477" t="s">
        <v>56</v>
      </c>
      <c r="C16" s="477"/>
      <c r="D16" s="477"/>
      <c r="E16" s="477"/>
      <c r="F16" s="22"/>
      <c r="G16" s="23"/>
      <c r="H16" s="23"/>
      <c r="I16" s="23"/>
      <c r="J16" s="23"/>
      <c r="K16" s="23"/>
      <c r="L16" s="23"/>
      <c r="M16" s="23"/>
      <c r="N16" s="23"/>
      <c r="O16" s="23"/>
      <c r="P16" s="23"/>
      <c r="Q16" s="24"/>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5"/>
      <c r="AQ16" s="26"/>
      <c r="AR16" s="26"/>
      <c r="AS16" s="25"/>
      <c r="AT16" s="23"/>
      <c r="AU16" s="25"/>
      <c r="AV16" s="25"/>
      <c r="AW16" s="25"/>
      <c r="AX16" s="25"/>
      <c r="AY16" s="25"/>
      <c r="AZ16" s="25"/>
      <c r="BA16" s="25"/>
      <c r="BB16" s="25"/>
      <c r="BC16" s="25"/>
      <c r="BD16" s="25"/>
      <c r="BE16" s="20"/>
      <c r="BF16" s="25"/>
      <c r="BG16" s="25"/>
      <c r="BH16" s="25"/>
      <c r="BI16" s="25"/>
      <c r="BJ16" s="25"/>
      <c r="BK16" s="25"/>
      <c r="BL16" s="25"/>
      <c r="BM16" s="25"/>
      <c r="BN16" s="25"/>
      <c r="BO16" s="25"/>
      <c r="BP16" s="25"/>
      <c r="BQ16" s="25"/>
      <c r="BR16" s="25"/>
      <c r="BS16" s="25"/>
      <c r="BT16" s="25"/>
      <c r="BU16" s="23"/>
    </row>
    <row r="17" spans="1:73" ht="22.5" x14ac:dyDescent="0.2">
      <c r="A17" s="20">
        <v>1</v>
      </c>
      <c r="B17" s="27" t="s">
        <v>410</v>
      </c>
      <c r="C17" s="29">
        <v>1.9841269841269842</v>
      </c>
      <c r="D17" s="30" t="s">
        <v>183</v>
      </c>
      <c r="E17" s="31" t="s">
        <v>113</v>
      </c>
      <c r="F17" s="28" t="s">
        <v>106</v>
      </c>
      <c r="G17" s="29">
        <v>100</v>
      </c>
      <c r="H17" s="168">
        <v>42628</v>
      </c>
      <c r="I17" s="168">
        <v>42633</v>
      </c>
      <c r="J17" s="173">
        <f t="shared" ref="J17:J27" si="1">I17-H17</f>
        <v>5</v>
      </c>
      <c r="K17" s="32">
        <v>10.08</v>
      </c>
      <c r="L17" s="33">
        <f t="shared" ref="L17:L27" si="2">G17/K17</f>
        <v>9.9206349206349209</v>
      </c>
      <c r="M17" s="34">
        <v>2</v>
      </c>
      <c r="N17" s="34"/>
      <c r="O17" s="35">
        <f t="shared" ref="O17:O27" si="3">IF(M17=0,0,L17*$O$12)</f>
        <v>69.444444444444443</v>
      </c>
      <c r="P17" s="35">
        <f t="shared" ref="P17:P27" si="4">IF(N17=0,0,L17*$O$12)</f>
        <v>0</v>
      </c>
      <c r="Q17" s="34">
        <v>5</v>
      </c>
      <c r="R17" s="78">
        <f>'Исходные данные'!$G$22</f>
        <v>197.57121135326915</v>
      </c>
      <c r="S17" s="34"/>
      <c r="T17" s="78">
        <f>IF(AND(N17&gt;0,P17&gt;0),SUMIF('Исходные данные'!$C$14:$J$30,S17,'Исходные данные'!$C$34:$J$41),IF(N17=0,0,IF(S17=0,"РОТ")))</f>
        <v>0</v>
      </c>
      <c r="U17" s="125">
        <f>O17*R17*'Исходные данные'!$C$39%</f>
        <v>0</v>
      </c>
      <c r="V17" s="125">
        <f>P17*T17*'Исходные данные'!$C$40%</f>
        <v>0</v>
      </c>
      <c r="W17" s="125">
        <f>O17*R17*$W$12</f>
        <v>0</v>
      </c>
      <c r="X17" s="126">
        <f>P17*T17*$W$12</f>
        <v>0</v>
      </c>
      <c r="Y17" s="125">
        <f>(O17*R17+U17+W17)*$Y$12</f>
        <v>1372.0223010643692</v>
      </c>
      <c r="Z17" s="126">
        <f>(P17*T17+V17+X17)*$Z$12</f>
        <v>0</v>
      </c>
      <c r="AA17" s="125">
        <f>(O17*R17+U17)*$AA$12</f>
        <v>0</v>
      </c>
      <c r="AB17" s="126">
        <f>(P17*T17+V17)*$AA$12</f>
        <v>0</v>
      </c>
      <c r="AC17" s="124">
        <v>2.5</v>
      </c>
      <c r="AD17" s="125">
        <f>(O17*R17+U17+W17+Y17+AA17)*AC17</f>
        <v>37730.613279270154</v>
      </c>
      <c r="AE17" s="125">
        <f>(P17*T17+V17+X17+Z17+AB17)*AC17</f>
        <v>0</v>
      </c>
      <c r="AF17" s="35">
        <f t="shared" ref="AF17:AG27" ca="1" si="5">AD17*$AF$12</f>
        <v>5637.9077313851949</v>
      </c>
      <c r="AG17" s="70">
        <f t="shared" ca="1" si="5"/>
        <v>0</v>
      </c>
      <c r="AH17" s="35">
        <f ca="1">AD17+AF17</f>
        <v>43368.52101065535</v>
      </c>
      <c r="AI17" s="35">
        <f t="shared" ref="AI17:AI27" ca="1" si="6">AE17+AG17</f>
        <v>0</v>
      </c>
      <c r="AJ17" s="35">
        <f ca="1">AH17*$AJ$12</f>
        <v>13010.556303196605</v>
      </c>
      <c r="AK17" s="70">
        <f t="shared" ref="AK17:AK27" ca="1" si="7">AI17*$AJ$12</f>
        <v>0</v>
      </c>
      <c r="AL17" s="35">
        <f t="shared" ref="AL17:AL27" ca="1" si="8">AH17+AJ17</f>
        <v>56379.077313851958</v>
      </c>
      <c r="AM17" s="70">
        <f t="shared" ref="AM17:AM27" ca="1" si="9">AK17+AI17</f>
        <v>0</v>
      </c>
      <c r="AN17" s="32">
        <v>9.5238095238095237</v>
      </c>
      <c r="AO17" s="33">
        <f>'Исходные данные'!$C$55</f>
        <v>0.84</v>
      </c>
      <c r="AP17" s="74">
        <f>(G17*AN17)*AO17/100</f>
        <v>8</v>
      </c>
      <c r="AQ17" s="33" t="s">
        <v>153</v>
      </c>
      <c r="AR17" s="78" t="e">
        <f>'Исходные данные'!#REF!</f>
        <v>#REF!</v>
      </c>
      <c r="AS17" s="36" t="e">
        <f>AP17*AR17</f>
        <v>#REF!</v>
      </c>
      <c r="AT17" s="32"/>
      <c r="AU17" s="36"/>
      <c r="AV17" s="36"/>
      <c r="AW17" s="36"/>
      <c r="AX17" s="36"/>
      <c r="AY17" s="36"/>
      <c r="AZ17" s="36"/>
      <c r="BA17" s="36"/>
      <c r="BB17" s="36"/>
      <c r="BC17" s="36"/>
      <c r="BD17" s="36"/>
      <c r="BE17" s="20"/>
      <c r="BF17" s="36">
        <f>аморт!$G$12</f>
        <v>61.781971818181816</v>
      </c>
      <c r="BG17" s="36">
        <f>BF17*L17</f>
        <v>612.9163870851371</v>
      </c>
      <c r="BH17" s="36">
        <f>аморт!G70</f>
        <v>45.238095238095241</v>
      </c>
      <c r="BI17" s="36">
        <f>BH17*L17</f>
        <v>448.790627362056</v>
      </c>
      <c r="BJ17" s="38">
        <v>84.5</v>
      </c>
      <c r="BK17" s="36">
        <f t="shared" ref="BK17:BK27" si="10">BJ17*BU17</f>
        <v>9724.206349206348</v>
      </c>
      <c r="BL17" s="38">
        <v>9.4</v>
      </c>
      <c r="BM17" s="36">
        <f t="shared" ref="BM17:BM27" si="11">BL17*BU17</f>
        <v>1081.7460317460318</v>
      </c>
      <c r="BN17" s="38">
        <f>6.7*1.045*1.054</f>
        <v>7.3795810000000008</v>
      </c>
      <c r="BO17" s="36">
        <f t="shared" ref="BO17:BO27" si="12">BN17*BU17</f>
        <v>849.2374960317461</v>
      </c>
      <c r="BP17" s="36">
        <f>аморт!$C$70*10%/аморт!$E$70*L17*7</f>
        <v>92361.111111111124</v>
      </c>
      <c r="BQ17" s="36" t="e">
        <f t="shared" ref="BQ17:BQ27" ca="1" si="13">AL17+AM17+AS17+AW17+BA17+BE17+BG17+BI17+BK17+BM17+BO17+BP17</f>
        <v>#REF!</v>
      </c>
      <c r="BR17" s="36" t="e">
        <f t="shared" ref="BR17:BR27" ca="1" si="14">BQ17/$D$6</f>
        <v>#REF!</v>
      </c>
      <c r="BS17" s="38">
        <f t="shared" ref="BS17:BS27" si="15">(O17+P17)/$D$6</f>
        <v>0.69444444444444442</v>
      </c>
      <c r="BT17" s="38">
        <v>11.6</v>
      </c>
      <c r="BU17" s="39">
        <f>BT17*L17</f>
        <v>115.07936507936508</v>
      </c>
    </row>
    <row r="18" spans="1:73" x14ac:dyDescent="0.2">
      <c r="A18" s="20">
        <f t="shared" ref="A18:A27" si="16">A17+1</f>
        <v>2</v>
      </c>
      <c r="B18" s="27" t="s">
        <v>418</v>
      </c>
      <c r="C18" s="29">
        <v>1</v>
      </c>
      <c r="D18" s="30" t="s">
        <v>183</v>
      </c>
      <c r="E18" s="31" t="s">
        <v>422</v>
      </c>
      <c r="F18" s="28" t="s">
        <v>106</v>
      </c>
      <c r="G18" s="29">
        <f>G17</f>
        <v>100</v>
      </c>
      <c r="H18" s="168">
        <v>42510</v>
      </c>
      <c r="I18" s="168">
        <v>42515</v>
      </c>
      <c r="J18" s="173">
        <f t="shared" si="1"/>
        <v>5</v>
      </c>
      <c r="K18" s="32">
        <v>28.8</v>
      </c>
      <c r="L18" s="33">
        <f t="shared" si="2"/>
        <v>3.4722222222222223</v>
      </c>
      <c r="M18" s="34">
        <v>2</v>
      </c>
      <c r="N18" s="34"/>
      <c r="O18" s="35">
        <f t="shared" si="3"/>
        <v>24.305555555555557</v>
      </c>
      <c r="P18" s="35">
        <f t="shared" si="4"/>
        <v>0</v>
      </c>
      <c r="Q18" s="34">
        <v>4</v>
      </c>
      <c r="R18" s="78">
        <f>'Исходные данные'!$F$22</f>
        <v>173.86266599087685</v>
      </c>
      <c r="S18" s="34"/>
      <c r="T18" s="78">
        <f>IF(AND(N18&gt;0,P18&gt;0),SUMIF('Исходные данные'!$C$14:$J$30,S18,'Исходные данные'!$C$34:$J$41),IF(N18=0,0,IF(S18=0,"РОТ")))</f>
        <v>0</v>
      </c>
      <c r="U18" s="125">
        <f>O18*R18*'Исходные данные'!$C$39%</f>
        <v>0</v>
      </c>
      <c r="V18" s="125">
        <f>P18*T18*'Исходные данные'!$C$40%</f>
        <v>0</v>
      </c>
      <c r="W18" s="125">
        <f t="shared" ref="W18:W27" si="17">O18*R18*$W$12</f>
        <v>0</v>
      </c>
      <c r="X18" s="126">
        <f t="shared" ref="X18:X27" si="18">P18*T18*$W$12</f>
        <v>0</v>
      </c>
      <c r="Y18" s="125">
        <f t="shared" ref="Y18:Y27" si="19">(O18*R18+U18+W18)*$Y$12</f>
        <v>422.58286872782577</v>
      </c>
      <c r="Z18" s="126">
        <f t="shared" ref="Z18:Z27" si="20">(P18*T18+V18+X18)*$Z$12</f>
        <v>0</v>
      </c>
      <c r="AA18" s="125">
        <f t="shared" ref="AA18:AA27" si="21">(O18*R18+U18)*$AA$12</f>
        <v>0</v>
      </c>
      <c r="AB18" s="126">
        <f t="shared" ref="AB18:AB27" si="22">(P18*T18+V18)*$AA$12</f>
        <v>0</v>
      </c>
      <c r="AC18" s="124">
        <v>2.5</v>
      </c>
      <c r="AD18" s="125">
        <f t="shared" ref="AD18:AD27" si="23">(O18*R18+U18+W18+Y18+AA18)*AC18</f>
        <v>11621.028890015206</v>
      </c>
      <c r="AE18" s="125">
        <f t="shared" ref="AE18:AE27" si="24">(P18*T18+V18+X18+Z18+AB18)*AC18</f>
        <v>0</v>
      </c>
      <c r="AF18" s="35">
        <f t="shared" ca="1" si="5"/>
        <v>1736.4755812666399</v>
      </c>
      <c r="AG18" s="70">
        <f t="shared" ca="1" si="5"/>
        <v>0</v>
      </c>
      <c r="AH18" s="35">
        <f t="shared" ref="AH18:AH27" ca="1" si="25">AD18+AF18</f>
        <v>13357.504471281845</v>
      </c>
      <c r="AI18" s="35">
        <f t="shared" ca="1" si="6"/>
        <v>0</v>
      </c>
      <c r="AJ18" s="35">
        <f t="shared" ref="AJ18:AJ27" ca="1" si="26">AH18*$AJ$12</f>
        <v>4007.2513413845536</v>
      </c>
      <c r="AK18" s="70">
        <f t="shared" ca="1" si="7"/>
        <v>0</v>
      </c>
      <c r="AL18" s="35">
        <f t="shared" ca="1" si="8"/>
        <v>17364.755812666401</v>
      </c>
      <c r="AM18" s="70">
        <f t="shared" ca="1" si="9"/>
        <v>0</v>
      </c>
      <c r="AN18" s="32">
        <v>9.5238095238095237</v>
      </c>
      <c r="AO18" s="33">
        <f>'Исходные данные'!$C$55</f>
        <v>0.84</v>
      </c>
      <c r="AP18" s="74">
        <f>(G18*AN18)*AO18/100</f>
        <v>8</v>
      </c>
      <c r="AQ18" s="33" t="s">
        <v>153</v>
      </c>
      <c r="AR18" s="78" t="e">
        <f>AR17</f>
        <v>#REF!</v>
      </c>
      <c r="AS18" s="36" t="e">
        <f t="shared" ref="AS18:AS27" si="27">AP18*AR18</f>
        <v>#REF!</v>
      </c>
      <c r="AT18" s="32"/>
      <c r="AU18" s="36"/>
      <c r="AV18" s="36"/>
      <c r="AW18" s="36"/>
      <c r="AX18" s="36"/>
      <c r="AY18" s="36"/>
      <c r="AZ18" s="36"/>
      <c r="BA18" s="36"/>
      <c r="BB18" s="36"/>
      <c r="BC18" s="36"/>
      <c r="BD18" s="36"/>
      <c r="BE18" s="20"/>
      <c r="BF18" s="36">
        <f>аморт!$G$12</f>
        <v>61.781971818181816</v>
      </c>
      <c r="BG18" s="36">
        <f>BF18*L18</f>
        <v>214.52073547979799</v>
      </c>
      <c r="BH18" s="36">
        <f>аморт!G33</f>
        <v>97.41305263157895</v>
      </c>
      <c r="BI18" s="36">
        <f>BH18*L18</f>
        <v>338.23976608187138</v>
      </c>
      <c r="BJ18" s="38">
        <v>84.5</v>
      </c>
      <c r="BK18" s="36">
        <f t="shared" si="10"/>
        <v>3403.4722222222222</v>
      </c>
      <c r="BL18" s="38">
        <v>9.4</v>
      </c>
      <c r="BM18" s="36">
        <f t="shared" si="11"/>
        <v>378.61111111111114</v>
      </c>
      <c r="BN18" s="38">
        <f>6.7*1.045*1.054</f>
        <v>7.3795810000000008</v>
      </c>
      <c r="BO18" s="36">
        <f t="shared" si="12"/>
        <v>297.23312361111113</v>
      </c>
      <c r="BP18" s="36">
        <f>аморт!$C$33*10%/аморт!$E$33*L18*7</f>
        <v>11246.472222222223</v>
      </c>
      <c r="BQ18" s="36" t="e">
        <f t="shared" ca="1" si="13"/>
        <v>#REF!</v>
      </c>
      <c r="BR18" s="36" t="e">
        <f t="shared" ca="1" si="14"/>
        <v>#REF!</v>
      </c>
      <c r="BS18" s="38">
        <f t="shared" si="15"/>
        <v>0.24305555555555558</v>
      </c>
      <c r="BT18" s="38">
        <v>11.6</v>
      </c>
      <c r="BU18" s="39">
        <f>BT18*L18</f>
        <v>40.277777777777779</v>
      </c>
    </row>
    <row r="19" spans="1:73" x14ac:dyDescent="0.2">
      <c r="A19" s="20">
        <f t="shared" si="16"/>
        <v>3</v>
      </c>
      <c r="B19" s="27" t="s">
        <v>419</v>
      </c>
      <c r="C19" s="29">
        <v>1</v>
      </c>
      <c r="D19" s="30" t="s">
        <v>183</v>
      </c>
      <c r="E19" s="31" t="s">
        <v>415</v>
      </c>
      <c r="F19" s="28" t="s">
        <v>106</v>
      </c>
      <c r="G19" s="29">
        <f>D6</f>
        <v>100</v>
      </c>
      <c r="H19" s="168">
        <v>42515</v>
      </c>
      <c r="I19" s="168">
        <v>42522</v>
      </c>
      <c r="J19" s="173">
        <f t="shared" si="1"/>
        <v>7</v>
      </c>
      <c r="K19" s="32">
        <v>32</v>
      </c>
      <c r="L19" s="33">
        <f t="shared" si="2"/>
        <v>3.125</v>
      </c>
      <c r="M19" s="34">
        <v>2</v>
      </c>
      <c r="N19" s="34"/>
      <c r="O19" s="35">
        <f t="shared" si="3"/>
        <v>21.875</v>
      </c>
      <c r="P19" s="35">
        <f t="shared" si="4"/>
        <v>0</v>
      </c>
      <c r="Q19" s="34">
        <v>4</v>
      </c>
      <c r="R19" s="78">
        <f>'Исходные данные'!$F$22</f>
        <v>173.86266599087685</v>
      </c>
      <c r="S19" s="34"/>
      <c r="T19" s="78">
        <f>IF(AND(N19&gt;0,P19&gt;0),SUMIF('Исходные данные'!$C$14:$J$30,S19,'Исходные данные'!$C$34:$J$41),IF(N19=0,0,IF(S19=0,"РОТ")))</f>
        <v>0</v>
      </c>
      <c r="U19" s="125">
        <f>O19*R19*'Исходные данные'!$C$39%</f>
        <v>0</v>
      </c>
      <c r="V19" s="125">
        <f>P19*T19*'Исходные данные'!$C$40%</f>
        <v>0</v>
      </c>
      <c r="W19" s="125">
        <f t="shared" si="17"/>
        <v>0</v>
      </c>
      <c r="X19" s="126">
        <f t="shared" si="18"/>
        <v>0</v>
      </c>
      <c r="Y19" s="125">
        <f t="shared" si="19"/>
        <v>380.32458185504311</v>
      </c>
      <c r="Z19" s="126">
        <f t="shared" si="20"/>
        <v>0</v>
      </c>
      <c r="AA19" s="125">
        <f t="shared" si="21"/>
        <v>0</v>
      </c>
      <c r="AB19" s="126">
        <f t="shared" si="22"/>
        <v>0</v>
      </c>
      <c r="AC19" s="124">
        <v>2.5</v>
      </c>
      <c r="AD19" s="125">
        <f t="shared" si="23"/>
        <v>10458.926001013686</v>
      </c>
      <c r="AE19" s="125">
        <f t="shared" si="24"/>
        <v>0</v>
      </c>
      <c r="AF19" s="35">
        <f t="shared" ca="1" si="5"/>
        <v>1562.8280231399758</v>
      </c>
      <c r="AG19" s="70">
        <f t="shared" ca="1" si="5"/>
        <v>0</v>
      </c>
      <c r="AH19" s="35">
        <f t="shared" ca="1" si="25"/>
        <v>12021.754024153663</v>
      </c>
      <c r="AI19" s="35">
        <f t="shared" ca="1" si="6"/>
        <v>0</v>
      </c>
      <c r="AJ19" s="35">
        <f t="shared" ca="1" si="26"/>
        <v>3606.5262072460987</v>
      </c>
      <c r="AK19" s="70">
        <f t="shared" ca="1" si="7"/>
        <v>0</v>
      </c>
      <c r="AL19" s="35">
        <f t="shared" ca="1" si="8"/>
        <v>15628.280231399762</v>
      </c>
      <c r="AM19" s="70">
        <f t="shared" ca="1" si="9"/>
        <v>0</v>
      </c>
      <c r="AN19" s="32">
        <v>9.5238095238095237</v>
      </c>
      <c r="AO19" s="33">
        <f>'Исходные данные'!$C$55</f>
        <v>0.84</v>
      </c>
      <c r="AP19" s="74">
        <f>(G19*AN19)*AO19/100</f>
        <v>8</v>
      </c>
      <c r="AQ19" s="33" t="s">
        <v>152</v>
      </c>
      <c r="AR19" s="78" t="e">
        <f>AR17</f>
        <v>#REF!</v>
      </c>
      <c r="AS19" s="36" t="e">
        <f t="shared" si="27"/>
        <v>#REF!</v>
      </c>
      <c r="AT19" s="32"/>
      <c r="AU19" s="36"/>
      <c r="AV19" s="36"/>
      <c r="AW19" s="36"/>
      <c r="AX19" s="36"/>
      <c r="AY19" s="36"/>
      <c r="AZ19" s="36"/>
      <c r="BA19" s="36"/>
      <c r="BB19" s="36"/>
      <c r="BC19" s="36"/>
      <c r="BD19" s="36"/>
      <c r="BE19" s="20"/>
      <c r="BF19" s="36">
        <f>аморт!$G$12</f>
        <v>61.781971818181816</v>
      </c>
      <c r="BG19" s="36">
        <f>BF19*L19</f>
        <v>193.06866193181818</v>
      </c>
      <c r="BH19" s="36">
        <f>аморт!G52</f>
        <v>50.50391891891892</v>
      </c>
      <c r="BI19" s="36">
        <f>BH19*L19</f>
        <v>157.82474662162161</v>
      </c>
      <c r="BJ19" s="38">
        <v>84.5</v>
      </c>
      <c r="BK19" s="36">
        <f t="shared" si="10"/>
        <v>3063.125</v>
      </c>
      <c r="BL19" s="38">
        <v>9.4</v>
      </c>
      <c r="BM19" s="36">
        <f t="shared" si="11"/>
        <v>340.75</v>
      </c>
      <c r="BN19" s="38">
        <f>6.7*1.045*1.054</f>
        <v>7.3795810000000008</v>
      </c>
      <c r="BO19" s="36">
        <f t="shared" si="12"/>
        <v>267.50981125000004</v>
      </c>
      <c r="BP19" s="36">
        <f>аморт!$C$52*10%/аморт!$E$52*L19*7</f>
        <v>13080.514999999999</v>
      </c>
      <c r="BQ19" s="36" t="e">
        <f t="shared" ca="1" si="13"/>
        <v>#REF!</v>
      </c>
      <c r="BR19" s="36" t="e">
        <f t="shared" ca="1" si="14"/>
        <v>#REF!</v>
      </c>
      <c r="BS19" s="38">
        <f t="shared" si="15"/>
        <v>0.21875</v>
      </c>
      <c r="BT19" s="38">
        <v>11.6</v>
      </c>
      <c r="BU19" s="39">
        <f>BT19*L19</f>
        <v>36.25</v>
      </c>
    </row>
    <row r="20" spans="1:73" x14ac:dyDescent="0.2">
      <c r="A20" s="20">
        <f t="shared" si="16"/>
        <v>4</v>
      </c>
      <c r="B20" s="27" t="s">
        <v>420</v>
      </c>
      <c r="C20" s="29">
        <v>1</v>
      </c>
      <c r="D20" s="30" t="s">
        <v>105</v>
      </c>
      <c r="E20" s="31" t="s">
        <v>482</v>
      </c>
      <c r="F20" s="28" t="s">
        <v>106</v>
      </c>
      <c r="G20" s="29">
        <f>D6</f>
        <v>100</v>
      </c>
      <c r="H20" s="168">
        <v>42536</v>
      </c>
      <c r="I20" s="168">
        <v>42542</v>
      </c>
      <c r="J20" s="173">
        <f t="shared" si="1"/>
        <v>6</v>
      </c>
      <c r="K20" s="32">
        <v>33.6</v>
      </c>
      <c r="L20" s="33">
        <f t="shared" si="2"/>
        <v>2.9761904761904763</v>
      </c>
      <c r="M20" s="34">
        <v>2</v>
      </c>
      <c r="N20" s="34"/>
      <c r="O20" s="35">
        <f t="shared" si="3"/>
        <v>20.833333333333336</v>
      </c>
      <c r="P20" s="35">
        <f t="shared" si="4"/>
        <v>0</v>
      </c>
      <c r="Q20" s="34">
        <v>4</v>
      </c>
      <c r="R20" s="78">
        <f>'Исходные данные'!$F$22</f>
        <v>173.86266599087685</v>
      </c>
      <c r="S20" s="34"/>
      <c r="T20" s="78">
        <f>IF(AND(N20&gt;0,P20&gt;0),SUMIF('Исходные данные'!$C$14:$J$30,S20,'Исходные данные'!$C$34:$J$41),IF(N20=0,0,IF(S20=0,"РОТ")))</f>
        <v>0</v>
      </c>
      <c r="U20" s="125">
        <f>O20*R20*'Исходные данные'!$C$39%</f>
        <v>0</v>
      </c>
      <c r="V20" s="125">
        <f>P20*T20*'Исходные данные'!$C$40%</f>
        <v>0</v>
      </c>
      <c r="W20" s="125">
        <f t="shared" si="17"/>
        <v>0</v>
      </c>
      <c r="X20" s="126">
        <f t="shared" si="18"/>
        <v>0</v>
      </c>
      <c r="Y20" s="125">
        <f t="shared" si="19"/>
        <v>362.21388748099349</v>
      </c>
      <c r="Z20" s="126">
        <f t="shared" si="20"/>
        <v>0</v>
      </c>
      <c r="AA20" s="125">
        <f t="shared" si="21"/>
        <v>0</v>
      </c>
      <c r="AB20" s="126">
        <f t="shared" si="22"/>
        <v>0</v>
      </c>
      <c r="AC20" s="124">
        <v>2.5</v>
      </c>
      <c r="AD20" s="125">
        <f t="shared" si="23"/>
        <v>9960.8819057273213</v>
      </c>
      <c r="AE20" s="125">
        <f t="shared" si="24"/>
        <v>0</v>
      </c>
      <c r="AF20" s="35">
        <f t="shared" ca="1" si="5"/>
        <v>1488.4076410856915</v>
      </c>
      <c r="AG20" s="70">
        <f t="shared" ca="1" si="5"/>
        <v>0</v>
      </c>
      <c r="AH20" s="35">
        <f t="shared" ca="1" si="25"/>
        <v>11449.289546813012</v>
      </c>
      <c r="AI20" s="35">
        <f t="shared" ca="1" si="6"/>
        <v>0</v>
      </c>
      <c r="AJ20" s="35">
        <f t="shared" ca="1" si="26"/>
        <v>3434.7868640439033</v>
      </c>
      <c r="AK20" s="70">
        <f t="shared" ca="1" si="7"/>
        <v>0</v>
      </c>
      <c r="AL20" s="35">
        <f t="shared" ca="1" si="8"/>
        <v>14884.076410856915</v>
      </c>
      <c r="AM20" s="70">
        <f t="shared" ca="1" si="9"/>
        <v>0</v>
      </c>
      <c r="AN20" s="32">
        <v>2.2999999999999998</v>
      </c>
      <c r="AO20" s="33">
        <f>'Исходные данные'!$C$55</f>
        <v>0.84</v>
      </c>
      <c r="AP20" s="74">
        <f>(G20*AN20)*AO20/100</f>
        <v>1.9319999999999995</v>
      </c>
      <c r="AQ20" s="33" t="s">
        <v>152</v>
      </c>
      <c r="AR20" s="78" t="e">
        <f>AR17</f>
        <v>#REF!</v>
      </c>
      <c r="AS20" s="36" t="e">
        <f t="shared" si="27"/>
        <v>#REF!</v>
      </c>
      <c r="AT20" s="32"/>
      <c r="AU20" s="36"/>
      <c r="AV20" s="36"/>
      <c r="AW20" s="36"/>
      <c r="AX20" s="36"/>
      <c r="AY20" s="36"/>
      <c r="AZ20" s="36"/>
      <c r="BA20" s="36"/>
      <c r="BB20" s="36"/>
      <c r="BC20" s="36"/>
      <c r="BD20" s="36"/>
      <c r="BE20" s="20"/>
      <c r="BF20" s="36">
        <f>аморт!$G$11</f>
        <v>181.91312849162011</v>
      </c>
      <c r="BG20" s="36">
        <f>BF20*L20</f>
        <v>541.40812051077421</v>
      </c>
      <c r="BH20" s="36">
        <f>аморт!G34</f>
        <v>97.41305263157895</v>
      </c>
      <c r="BI20" s="36">
        <f>BH20*L20</f>
        <v>289.9197994987469</v>
      </c>
      <c r="BJ20" s="38">
        <v>82.4</v>
      </c>
      <c r="BK20" s="36">
        <f t="shared" si="10"/>
        <v>1250.7142857142858</v>
      </c>
      <c r="BL20" s="38">
        <v>13.9</v>
      </c>
      <c r="BM20" s="36">
        <f t="shared" si="11"/>
        <v>210.98214285714286</v>
      </c>
      <c r="BN20" s="38">
        <f>4.8*1.045*1.054</f>
        <v>5.2868639999999996</v>
      </c>
      <c r="BO20" s="36">
        <f t="shared" si="12"/>
        <v>80.247042857142858</v>
      </c>
      <c r="BP20" s="36">
        <f>аморт!$C$23*10%/аморт!$E$23*L20*7</f>
        <v>22881.337500000001</v>
      </c>
      <c r="BQ20" s="36" t="e">
        <f t="shared" ca="1" si="13"/>
        <v>#REF!</v>
      </c>
      <c r="BR20" s="36" t="e">
        <f t="shared" ca="1" si="14"/>
        <v>#REF!</v>
      </c>
      <c r="BS20" s="38">
        <f t="shared" si="15"/>
        <v>0.20833333333333337</v>
      </c>
      <c r="BT20" s="38">
        <v>5.0999999999999996</v>
      </c>
      <c r="BU20" s="39">
        <f>BT20*L20</f>
        <v>15.178571428571429</v>
      </c>
    </row>
    <row r="21" spans="1:73" x14ac:dyDescent="0.2">
      <c r="A21" s="20">
        <f t="shared" si="16"/>
        <v>5</v>
      </c>
      <c r="B21" s="27" t="s">
        <v>22</v>
      </c>
      <c r="C21" s="29">
        <v>1</v>
      </c>
      <c r="D21" s="478" t="s">
        <v>118</v>
      </c>
      <c r="E21" s="479"/>
      <c r="F21" s="28" t="s">
        <v>109</v>
      </c>
      <c r="G21" s="36">
        <f>AU27</f>
        <v>18</v>
      </c>
      <c r="H21" s="168">
        <v>42536</v>
      </c>
      <c r="I21" s="168">
        <v>42542</v>
      </c>
      <c r="J21" s="173">
        <f t="shared" si="1"/>
        <v>6</v>
      </c>
      <c r="K21" s="32">
        <v>3</v>
      </c>
      <c r="L21" s="33">
        <f t="shared" si="2"/>
        <v>6</v>
      </c>
      <c r="M21" s="34"/>
      <c r="N21" s="34">
        <v>1</v>
      </c>
      <c r="O21" s="35">
        <f t="shared" si="3"/>
        <v>0</v>
      </c>
      <c r="P21" s="35">
        <f t="shared" si="4"/>
        <v>42</v>
      </c>
      <c r="Q21" s="34">
        <v>2</v>
      </c>
      <c r="R21" s="78">
        <f>IF(AND(O21&gt;0,Q21&gt;0),SUMIF('Исходные данные'!$C$14:H18,Q21,'Исходные данные'!$C$18:$H$18),IF(O21=0,0,IF(Q21=0,"РОТ")))</f>
        <v>0</v>
      </c>
      <c r="S21" s="34">
        <v>2</v>
      </c>
      <c r="T21" s="78">
        <f ca="1">IF(AND(N21&gt;0,P21&gt;0),SUMIF('Исходные данные'!$C$14:$J$30,S21,'Исходные данные'!$C$34:$J$41),IF(N21=0,0,IF(S21=0,"РОТ")))</f>
        <v>105.700598073999</v>
      </c>
      <c r="U21" s="125">
        <f>O21*R21*'Исходные данные'!$C$39%</f>
        <v>0</v>
      </c>
      <c r="V21" s="125">
        <f ca="1">P21*T21*'Исходные данные'!$C$40%</f>
        <v>0</v>
      </c>
      <c r="W21" s="125">
        <f t="shared" si="17"/>
        <v>0</v>
      </c>
      <c r="X21" s="126">
        <f t="shared" ca="1" si="18"/>
        <v>0</v>
      </c>
      <c r="Y21" s="125">
        <f t="shared" si="19"/>
        <v>0</v>
      </c>
      <c r="Z21" s="126">
        <f t="shared" ca="1" si="20"/>
        <v>221.97125595539794</v>
      </c>
      <c r="AA21" s="125">
        <f t="shared" si="21"/>
        <v>0</v>
      </c>
      <c r="AB21" s="126">
        <f t="shared" ca="1" si="22"/>
        <v>0</v>
      </c>
      <c r="AC21" s="124">
        <v>2.5</v>
      </c>
      <c r="AD21" s="125">
        <f t="shared" si="23"/>
        <v>0</v>
      </c>
      <c r="AE21" s="125">
        <f t="shared" ca="1" si="24"/>
        <v>11653.490937658391</v>
      </c>
      <c r="AF21" s="35">
        <f t="shared" ca="1" si="5"/>
        <v>0</v>
      </c>
      <c r="AG21" s="70">
        <f t="shared" ca="1" si="5"/>
        <v>1741.3262320638974</v>
      </c>
      <c r="AH21" s="35">
        <f t="shared" ca="1" si="25"/>
        <v>0</v>
      </c>
      <c r="AI21" s="35">
        <f t="shared" ca="1" si="6"/>
        <v>13394.817169722288</v>
      </c>
      <c r="AJ21" s="35">
        <f t="shared" ca="1" si="26"/>
        <v>0</v>
      </c>
      <c r="AK21" s="70">
        <f t="shared" ca="1" si="7"/>
        <v>4018.4451509166861</v>
      </c>
      <c r="AL21" s="35">
        <f t="shared" ca="1" si="8"/>
        <v>0</v>
      </c>
      <c r="AM21" s="70">
        <f t="shared" ca="1" si="9"/>
        <v>17413.262320638973</v>
      </c>
      <c r="AN21" s="32"/>
      <c r="AO21" s="33">
        <f>'Исходные данные'!$C$55</f>
        <v>0.84</v>
      </c>
      <c r="AP21" s="74"/>
      <c r="AQ21" s="33"/>
      <c r="AR21" s="78"/>
      <c r="AS21" s="36"/>
      <c r="AT21" s="32"/>
      <c r="AU21" s="36"/>
      <c r="AV21" s="36"/>
      <c r="AW21" s="36"/>
      <c r="AX21" s="36"/>
      <c r="AY21" s="36"/>
      <c r="AZ21" s="36"/>
      <c r="BA21" s="36"/>
      <c r="BB21" s="36"/>
      <c r="BC21" s="36"/>
      <c r="BD21" s="36"/>
      <c r="BE21" s="20"/>
      <c r="BF21" s="36"/>
      <c r="BG21" s="36"/>
      <c r="BH21" s="80"/>
      <c r="BI21" s="36"/>
      <c r="BJ21" s="38"/>
      <c r="BK21" s="36"/>
      <c r="BL21" s="38"/>
      <c r="BM21" s="36"/>
      <c r="BN21" s="38"/>
      <c r="BO21" s="36"/>
      <c r="BP21" s="36"/>
      <c r="BQ21" s="36">
        <f t="shared" ca="1" si="13"/>
        <v>17413.262320638973</v>
      </c>
      <c r="BR21" s="36">
        <f t="shared" ca="1" si="14"/>
        <v>174.13262320638972</v>
      </c>
      <c r="BS21" s="38">
        <f t="shared" si="15"/>
        <v>0.42</v>
      </c>
      <c r="BT21" s="38"/>
      <c r="BU21" s="39"/>
    </row>
    <row r="22" spans="1:73" ht="22.5" x14ac:dyDescent="0.2">
      <c r="A22" s="20">
        <f t="shared" si="16"/>
        <v>6</v>
      </c>
      <c r="B22" s="27" t="s">
        <v>487</v>
      </c>
      <c r="C22" s="29">
        <v>1</v>
      </c>
      <c r="D22" s="30" t="s">
        <v>105</v>
      </c>
      <c r="E22" s="31" t="s">
        <v>115</v>
      </c>
      <c r="F22" s="28" t="s">
        <v>109</v>
      </c>
      <c r="G22" s="36">
        <f>G21</f>
        <v>18</v>
      </c>
      <c r="H22" s="168">
        <v>42536</v>
      </c>
      <c r="I22" s="168">
        <v>42542</v>
      </c>
      <c r="J22" s="173">
        <f t="shared" si="1"/>
        <v>6</v>
      </c>
      <c r="K22" s="32">
        <v>3</v>
      </c>
      <c r="L22" s="33">
        <f t="shared" si="2"/>
        <v>6</v>
      </c>
      <c r="M22" s="34">
        <v>1</v>
      </c>
      <c r="N22" s="34">
        <v>1</v>
      </c>
      <c r="O22" s="35">
        <f t="shared" si="3"/>
        <v>42</v>
      </c>
      <c r="P22" s="35">
        <f t="shared" si="4"/>
        <v>42</v>
      </c>
      <c r="Q22" s="34">
        <v>2</v>
      </c>
      <c r="R22" s="78">
        <f ca="1">IF(AND(O22&gt;0,Q22&gt;0),SUMIF('Исходные данные'!$C$14:H27,Q22,'Исходные данные'!$C$18:$H$18),IF(O22=0,0,IF(Q22=0,"РОТ")))</f>
        <v>128.66557526609228</v>
      </c>
      <c r="S22" s="34">
        <v>2</v>
      </c>
      <c r="T22" s="78">
        <f ca="1">IF(AND(N22&gt;0,P22&gt;0),SUMIF('Исходные данные'!$C$14:$J$30,S22,'Исходные данные'!$C$34:$J$41),IF(N22=0,0,IF(S22=0,"РОТ")))</f>
        <v>105.700598073999</v>
      </c>
      <c r="U22" s="125">
        <f ca="1">O22*R22*'Исходные данные'!$C$39%</f>
        <v>0</v>
      </c>
      <c r="V22" s="125">
        <f ca="1">P22*T22*'Исходные данные'!$C$40%</f>
        <v>0</v>
      </c>
      <c r="W22" s="125">
        <f t="shared" ca="1" si="17"/>
        <v>0</v>
      </c>
      <c r="X22" s="126">
        <f t="shared" ca="1" si="18"/>
        <v>0</v>
      </c>
      <c r="Y22" s="125">
        <f t="shared" ca="1" si="19"/>
        <v>540.39541611758762</v>
      </c>
      <c r="Z22" s="126">
        <f t="shared" ca="1" si="20"/>
        <v>221.97125595539794</v>
      </c>
      <c r="AA22" s="125">
        <f t="shared" ca="1" si="21"/>
        <v>0</v>
      </c>
      <c r="AB22" s="126">
        <f t="shared" ca="1" si="22"/>
        <v>0</v>
      </c>
      <c r="AC22" s="124">
        <v>2.5</v>
      </c>
      <c r="AD22" s="125">
        <f t="shared" ca="1" si="23"/>
        <v>14860.873943233659</v>
      </c>
      <c r="AE22" s="125">
        <f t="shared" ca="1" si="24"/>
        <v>11653.490937658391</v>
      </c>
      <c r="AF22" s="35">
        <f t="shared" ca="1" si="5"/>
        <v>2220.5903593337648</v>
      </c>
      <c r="AG22" s="70">
        <f t="shared" ca="1" si="5"/>
        <v>1741.3262320638974</v>
      </c>
      <c r="AH22" s="35">
        <f t="shared" ca="1" si="25"/>
        <v>17081.464302567423</v>
      </c>
      <c r="AI22" s="35">
        <f t="shared" ca="1" si="6"/>
        <v>13394.817169722288</v>
      </c>
      <c r="AJ22" s="35">
        <f t="shared" ca="1" si="26"/>
        <v>5124.4392907702268</v>
      </c>
      <c r="AK22" s="70">
        <f t="shared" ca="1" si="7"/>
        <v>4018.4451509166861</v>
      </c>
      <c r="AL22" s="35">
        <f t="shared" ca="1" si="8"/>
        <v>22205.903593337651</v>
      </c>
      <c r="AM22" s="70">
        <f t="shared" ca="1" si="9"/>
        <v>17413.262320638973</v>
      </c>
      <c r="AN22" s="32">
        <v>0.96</v>
      </c>
      <c r="AO22" s="33">
        <f>'Исходные данные'!$C$55</f>
        <v>0.84</v>
      </c>
      <c r="AP22" s="74">
        <f>(G22*AN22)*AO22/100</f>
        <v>0.145152</v>
      </c>
      <c r="AQ22" s="33" t="s">
        <v>152</v>
      </c>
      <c r="AR22" s="78" t="e">
        <f>AR17</f>
        <v>#REF!</v>
      </c>
      <c r="AS22" s="36" t="e">
        <f t="shared" si="27"/>
        <v>#REF!</v>
      </c>
      <c r="AT22" s="32"/>
      <c r="AU22" s="36"/>
      <c r="AV22" s="36"/>
      <c r="AW22" s="36"/>
      <c r="AX22" s="36"/>
      <c r="AY22" s="36"/>
      <c r="AZ22" s="36"/>
      <c r="BA22" s="36"/>
      <c r="BB22" s="36"/>
      <c r="BC22" s="36"/>
      <c r="BD22" s="36"/>
      <c r="BE22" s="20"/>
      <c r="BF22" s="36">
        <f>аморт!$G$11</f>
        <v>181.91312849162011</v>
      </c>
      <c r="BG22" s="36">
        <f>BF22*L22</f>
        <v>1091.4787709497207</v>
      </c>
      <c r="BH22" s="80">
        <f>аморт!$G$23</f>
        <v>48.426111111111105</v>
      </c>
      <c r="BI22" s="36">
        <f>BH22*L22</f>
        <v>290.55666666666662</v>
      </c>
      <c r="BJ22" s="38">
        <v>82.4</v>
      </c>
      <c r="BK22" s="36">
        <f t="shared" si="10"/>
        <v>2521.44</v>
      </c>
      <c r="BL22" s="38">
        <v>13.9</v>
      </c>
      <c r="BM22" s="36">
        <f t="shared" si="11"/>
        <v>425.34</v>
      </c>
      <c r="BN22" s="38">
        <f>4.8*1.045*1.054</f>
        <v>5.2868639999999996</v>
      </c>
      <c r="BO22" s="36">
        <f t="shared" si="12"/>
        <v>161.77803839999999</v>
      </c>
      <c r="BP22" s="36">
        <f>аморт!$C$23*10%/аморт!$E$23*L22*7</f>
        <v>46128.776400000002</v>
      </c>
      <c r="BQ22" s="36" t="e">
        <f t="shared" ca="1" si="13"/>
        <v>#REF!</v>
      </c>
      <c r="BR22" s="36" t="e">
        <f t="shared" ca="1" si="14"/>
        <v>#REF!</v>
      </c>
      <c r="BS22" s="38">
        <f t="shared" si="15"/>
        <v>0.84</v>
      </c>
      <c r="BT22" s="38">
        <v>5.0999999999999996</v>
      </c>
      <c r="BU22" s="39">
        <f>BT22*L22</f>
        <v>30.599999999999998</v>
      </c>
    </row>
    <row r="23" spans="1:73" x14ac:dyDescent="0.2">
      <c r="A23" s="20">
        <f t="shared" si="16"/>
        <v>7</v>
      </c>
      <c r="B23" s="27" t="s">
        <v>24</v>
      </c>
      <c r="C23" s="29">
        <v>1</v>
      </c>
      <c r="D23" s="478" t="s">
        <v>118</v>
      </c>
      <c r="E23" s="479"/>
      <c r="F23" s="28" t="s">
        <v>109</v>
      </c>
      <c r="G23" s="36">
        <f>G22</f>
        <v>18</v>
      </c>
      <c r="H23" s="168">
        <v>42536</v>
      </c>
      <c r="I23" s="168">
        <v>42542</v>
      </c>
      <c r="J23" s="173">
        <f t="shared" si="1"/>
        <v>6</v>
      </c>
      <c r="K23" s="32">
        <v>3</v>
      </c>
      <c r="L23" s="33">
        <f t="shared" si="2"/>
        <v>6</v>
      </c>
      <c r="M23" s="34"/>
      <c r="N23" s="34">
        <v>1</v>
      </c>
      <c r="O23" s="35">
        <f t="shared" si="3"/>
        <v>0</v>
      </c>
      <c r="P23" s="35">
        <f t="shared" si="4"/>
        <v>42</v>
      </c>
      <c r="Q23" s="34">
        <v>2</v>
      </c>
      <c r="R23" s="78">
        <f>IF(AND(O23&gt;0,Q23&gt;0),SUMIF('Исходные данные'!$C$14:H28,Q23,'Исходные данные'!$C$18:$H$18),IF(O23=0,0,IF(Q23=0,"РОТ")))</f>
        <v>0</v>
      </c>
      <c r="S23" s="34">
        <v>2</v>
      </c>
      <c r="T23" s="78">
        <f ca="1">IF(AND(N23&gt;0,P23&gt;0),SUMIF('Исходные данные'!$C$14:$J$30,S23,'Исходные данные'!$C$34:$J$41),IF(N23=0,0,IF(S23=0,"РОТ")))</f>
        <v>105.700598073999</v>
      </c>
      <c r="U23" s="125">
        <f>O23*R23*'Исходные данные'!$C$39%</f>
        <v>0</v>
      </c>
      <c r="V23" s="125">
        <f ca="1">P23*T23*'Исходные данные'!$C$40%</f>
        <v>0</v>
      </c>
      <c r="W23" s="125">
        <f t="shared" si="17"/>
        <v>0</v>
      </c>
      <c r="X23" s="126">
        <f t="shared" ca="1" si="18"/>
        <v>0</v>
      </c>
      <c r="Y23" s="125">
        <f t="shared" si="19"/>
        <v>0</v>
      </c>
      <c r="Z23" s="126">
        <f t="shared" ca="1" si="20"/>
        <v>221.97125595539794</v>
      </c>
      <c r="AA23" s="125">
        <f t="shared" si="21"/>
        <v>0</v>
      </c>
      <c r="AB23" s="126">
        <f t="shared" ca="1" si="22"/>
        <v>0</v>
      </c>
      <c r="AC23" s="124">
        <v>2.5</v>
      </c>
      <c r="AD23" s="125">
        <f t="shared" si="23"/>
        <v>0</v>
      </c>
      <c r="AE23" s="125">
        <f t="shared" ca="1" si="24"/>
        <v>11653.490937658391</v>
      </c>
      <c r="AF23" s="35">
        <f t="shared" ca="1" si="5"/>
        <v>0</v>
      </c>
      <c r="AG23" s="70">
        <f t="shared" ca="1" si="5"/>
        <v>1741.3262320638974</v>
      </c>
      <c r="AH23" s="35">
        <f t="shared" ca="1" si="25"/>
        <v>0</v>
      </c>
      <c r="AI23" s="35">
        <f t="shared" ca="1" si="6"/>
        <v>13394.817169722288</v>
      </c>
      <c r="AJ23" s="35">
        <f t="shared" ca="1" si="26"/>
        <v>0</v>
      </c>
      <c r="AK23" s="70">
        <f t="shared" ca="1" si="7"/>
        <v>4018.4451509166861</v>
      </c>
      <c r="AL23" s="35">
        <f t="shared" ca="1" si="8"/>
        <v>0</v>
      </c>
      <c r="AM23" s="70">
        <f t="shared" ca="1" si="9"/>
        <v>17413.262320638973</v>
      </c>
      <c r="AN23" s="32"/>
      <c r="AO23" s="33"/>
      <c r="AP23" s="74"/>
      <c r="AQ23" s="33"/>
      <c r="AR23" s="78"/>
      <c r="AS23" s="36"/>
      <c r="AT23" s="32"/>
      <c r="AU23" s="36"/>
      <c r="AV23" s="36"/>
      <c r="AW23" s="36"/>
      <c r="AX23" s="36"/>
      <c r="AY23" s="36"/>
      <c r="AZ23" s="36"/>
      <c r="BA23" s="36"/>
      <c r="BB23" s="36"/>
      <c r="BC23" s="36"/>
      <c r="BD23" s="36"/>
      <c r="BE23" s="20"/>
      <c r="BF23" s="36"/>
      <c r="BG23" s="36"/>
      <c r="BH23" s="80"/>
      <c r="BI23" s="36"/>
      <c r="BJ23" s="38"/>
      <c r="BK23" s="36"/>
      <c r="BL23" s="38"/>
      <c r="BM23" s="36"/>
      <c r="BN23" s="38"/>
      <c r="BO23" s="36"/>
      <c r="BP23" s="36"/>
      <c r="BQ23" s="36">
        <f t="shared" ca="1" si="13"/>
        <v>17413.262320638973</v>
      </c>
      <c r="BR23" s="36">
        <f t="shared" ca="1" si="14"/>
        <v>174.13262320638972</v>
      </c>
      <c r="BS23" s="38">
        <f t="shared" si="15"/>
        <v>0.42</v>
      </c>
      <c r="BT23" s="38"/>
      <c r="BU23" s="39"/>
    </row>
    <row r="24" spans="1:73" ht="22.5" x14ac:dyDescent="0.2">
      <c r="A24" s="20">
        <f t="shared" si="16"/>
        <v>8</v>
      </c>
      <c r="B24" s="27" t="s">
        <v>25</v>
      </c>
      <c r="C24" s="29">
        <v>1</v>
      </c>
      <c r="D24" s="478" t="s">
        <v>118</v>
      </c>
      <c r="E24" s="479"/>
      <c r="F24" s="28" t="s">
        <v>109</v>
      </c>
      <c r="G24" s="36">
        <f>AY27</f>
        <v>50</v>
      </c>
      <c r="H24" s="168">
        <v>42536</v>
      </c>
      <c r="I24" s="168">
        <v>42542</v>
      </c>
      <c r="J24" s="173">
        <f t="shared" si="1"/>
        <v>6</v>
      </c>
      <c r="K24" s="32">
        <v>8.3333333333333339</v>
      </c>
      <c r="L24" s="33">
        <f t="shared" si="2"/>
        <v>6</v>
      </c>
      <c r="M24" s="34"/>
      <c r="N24" s="34">
        <v>1</v>
      </c>
      <c r="O24" s="35">
        <f t="shared" si="3"/>
        <v>0</v>
      </c>
      <c r="P24" s="35">
        <f t="shared" si="4"/>
        <v>42</v>
      </c>
      <c r="Q24" s="34">
        <v>2</v>
      </c>
      <c r="R24" s="78">
        <f>IF(AND(O24&gt;0,Q24&gt;0),SUMIF('Исходные данные'!$C$14:H29,Q24,'Исходные данные'!$C$18:$H$18),IF(O24=0,0,IF(Q24=0,"РОТ")))</f>
        <v>0</v>
      </c>
      <c r="S24" s="34">
        <v>2</v>
      </c>
      <c r="T24" s="78">
        <f ca="1">IF(AND(N24&gt;0,P24&gt;0),SUMIF('Исходные данные'!$C$14:$J$30,S24,'Исходные данные'!$C$34:$J$41),IF(N24=0,0,IF(S24=0,"РОТ")))</f>
        <v>105.700598073999</v>
      </c>
      <c r="U24" s="125">
        <f>O24*R24*'Исходные данные'!$C$39%</f>
        <v>0</v>
      </c>
      <c r="V24" s="125">
        <f ca="1">P24*T24*'Исходные данные'!$C$40%</f>
        <v>0</v>
      </c>
      <c r="W24" s="125">
        <f t="shared" si="17"/>
        <v>0</v>
      </c>
      <c r="X24" s="126">
        <f t="shared" ca="1" si="18"/>
        <v>0</v>
      </c>
      <c r="Y24" s="125">
        <f t="shared" si="19"/>
        <v>0</v>
      </c>
      <c r="Z24" s="126">
        <f t="shared" ca="1" si="20"/>
        <v>221.97125595539794</v>
      </c>
      <c r="AA24" s="125">
        <f t="shared" si="21"/>
        <v>0</v>
      </c>
      <c r="AB24" s="126">
        <f t="shared" ca="1" si="22"/>
        <v>0</v>
      </c>
      <c r="AC24" s="124">
        <v>2.5</v>
      </c>
      <c r="AD24" s="125">
        <f t="shared" si="23"/>
        <v>0</v>
      </c>
      <c r="AE24" s="125">
        <f t="shared" ca="1" si="24"/>
        <v>11653.490937658391</v>
      </c>
      <c r="AF24" s="35">
        <f t="shared" ca="1" si="5"/>
        <v>0</v>
      </c>
      <c r="AG24" s="70">
        <f t="shared" ca="1" si="5"/>
        <v>1741.3262320638974</v>
      </c>
      <c r="AH24" s="35">
        <f t="shared" ca="1" si="25"/>
        <v>0</v>
      </c>
      <c r="AI24" s="35">
        <f t="shared" ca="1" si="6"/>
        <v>13394.817169722288</v>
      </c>
      <c r="AJ24" s="35">
        <f t="shared" ca="1" si="26"/>
        <v>0</v>
      </c>
      <c r="AK24" s="70">
        <f t="shared" ca="1" si="7"/>
        <v>4018.4451509166861</v>
      </c>
      <c r="AL24" s="35">
        <f t="shared" ca="1" si="8"/>
        <v>0</v>
      </c>
      <c r="AM24" s="70">
        <f t="shared" ca="1" si="9"/>
        <v>17413.262320638973</v>
      </c>
      <c r="AN24" s="32"/>
      <c r="AO24" s="33"/>
      <c r="AP24" s="74"/>
      <c r="AQ24" s="33"/>
      <c r="AR24" s="78"/>
      <c r="AS24" s="36"/>
      <c r="AT24" s="32"/>
      <c r="AU24" s="36"/>
      <c r="AV24" s="36"/>
      <c r="AW24" s="36"/>
      <c r="AX24" s="36"/>
      <c r="AY24" s="36"/>
      <c r="AZ24" s="36"/>
      <c r="BA24" s="36"/>
      <c r="BB24" s="36"/>
      <c r="BC24" s="36"/>
      <c r="BD24" s="36"/>
      <c r="BE24" s="20"/>
      <c r="BF24" s="36"/>
      <c r="BG24" s="36"/>
      <c r="BH24" s="80"/>
      <c r="BI24" s="36"/>
      <c r="BJ24" s="38"/>
      <c r="BK24" s="36"/>
      <c r="BL24" s="38"/>
      <c r="BM24" s="36"/>
      <c r="BN24" s="38"/>
      <c r="BO24" s="36"/>
      <c r="BP24" s="36"/>
      <c r="BQ24" s="36">
        <f t="shared" ca="1" si="13"/>
        <v>17413.262320638973</v>
      </c>
      <c r="BR24" s="36">
        <f t="shared" ca="1" si="14"/>
        <v>174.13262320638972</v>
      </c>
      <c r="BS24" s="38">
        <f t="shared" si="15"/>
        <v>0.42</v>
      </c>
      <c r="BT24" s="38"/>
      <c r="BU24" s="39"/>
    </row>
    <row r="25" spans="1:73" ht="22.5" x14ac:dyDescent="0.2">
      <c r="A25" s="20">
        <f t="shared" si="16"/>
        <v>9</v>
      </c>
      <c r="B25" s="27" t="s">
        <v>75</v>
      </c>
      <c r="C25" s="29">
        <v>1</v>
      </c>
      <c r="D25" s="30" t="s">
        <v>105</v>
      </c>
      <c r="E25" s="31" t="s">
        <v>115</v>
      </c>
      <c r="F25" s="28" t="s">
        <v>109</v>
      </c>
      <c r="G25" s="36">
        <f>G24</f>
        <v>50</v>
      </c>
      <c r="H25" s="168">
        <v>42536</v>
      </c>
      <c r="I25" s="168">
        <v>42542</v>
      </c>
      <c r="J25" s="173">
        <f t="shared" si="1"/>
        <v>6</v>
      </c>
      <c r="K25" s="32">
        <v>8.3333333333333339</v>
      </c>
      <c r="L25" s="33">
        <f t="shared" si="2"/>
        <v>6</v>
      </c>
      <c r="M25" s="34">
        <v>1</v>
      </c>
      <c r="N25" s="34">
        <v>1</v>
      </c>
      <c r="O25" s="35">
        <f t="shared" si="3"/>
        <v>42</v>
      </c>
      <c r="P25" s="35">
        <f t="shared" si="4"/>
        <v>42</v>
      </c>
      <c r="Q25" s="34">
        <v>2</v>
      </c>
      <c r="R25" s="78">
        <f ca="1">IF(AND(O25&gt;0,Q25&gt;0),SUMIF('Исходные данные'!$C$14:H30,Q25,'Исходные данные'!$C$18:$H$18),IF(O25=0,0,IF(Q25=0,"РОТ")))</f>
        <v>128.66557526609228</v>
      </c>
      <c r="S25" s="34">
        <v>2</v>
      </c>
      <c r="T25" s="78">
        <f ca="1">IF(AND(N25&gt;0,P25&gt;0),SUMIF('Исходные данные'!$C$14:$J$30,S25,'Исходные данные'!$C$34:$J$41),IF(N25=0,0,IF(S25=0,"РОТ")))</f>
        <v>105.700598073999</v>
      </c>
      <c r="U25" s="125">
        <f ca="1">O25*R25*'Исходные данные'!$C$39%</f>
        <v>0</v>
      </c>
      <c r="V25" s="125">
        <f ca="1">P25*T25*'Исходные данные'!$C$40%</f>
        <v>0</v>
      </c>
      <c r="W25" s="125">
        <f t="shared" ca="1" si="17"/>
        <v>0</v>
      </c>
      <c r="X25" s="126">
        <f t="shared" ca="1" si="18"/>
        <v>0</v>
      </c>
      <c r="Y25" s="125">
        <f t="shared" ca="1" si="19"/>
        <v>540.39541611758762</v>
      </c>
      <c r="Z25" s="126">
        <f t="shared" ca="1" si="20"/>
        <v>221.97125595539794</v>
      </c>
      <c r="AA25" s="125">
        <f t="shared" ca="1" si="21"/>
        <v>0</v>
      </c>
      <c r="AB25" s="126">
        <f t="shared" ca="1" si="22"/>
        <v>0</v>
      </c>
      <c r="AC25" s="124">
        <v>2.5</v>
      </c>
      <c r="AD25" s="125">
        <f t="shared" ca="1" si="23"/>
        <v>14860.873943233659</v>
      </c>
      <c r="AE25" s="125">
        <f t="shared" ca="1" si="24"/>
        <v>11653.490937658391</v>
      </c>
      <c r="AF25" s="35">
        <f t="shared" ca="1" si="5"/>
        <v>2220.5903593337648</v>
      </c>
      <c r="AG25" s="70">
        <f t="shared" ca="1" si="5"/>
        <v>1741.3262320638974</v>
      </c>
      <c r="AH25" s="35">
        <f t="shared" ca="1" si="25"/>
        <v>17081.464302567423</v>
      </c>
      <c r="AI25" s="35">
        <f t="shared" ca="1" si="6"/>
        <v>13394.817169722288</v>
      </c>
      <c r="AJ25" s="35">
        <f t="shared" ca="1" si="26"/>
        <v>5124.4392907702268</v>
      </c>
      <c r="AK25" s="70">
        <f t="shared" ca="1" si="7"/>
        <v>4018.4451509166861</v>
      </c>
      <c r="AL25" s="35">
        <f t="shared" ca="1" si="8"/>
        <v>22205.903593337651</v>
      </c>
      <c r="AM25" s="70">
        <f t="shared" ca="1" si="9"/>
        <v>17413.262320638973</v>
      </c>
      <c r="AN25" s="32">
        <v>0.96</v>
      </c>
      <c r="AO25" s="33">
        <f>'Исходные данные'!$C$55</f>
        <v>0.84</v>
      </c>
      <c r="AP25" s="74">
        <f>(G25*AN25)*AO25/100</f>
        <v>0.4032</v>
      </c>
      <c r="AQ25" s="33" t="s">
        <v>152</v>
      </c>
      <c r="AR25" s="78" t="e">
        <f>AR17</f>
        <v>#REF!</v>
      </c>
      <c r="AS25" s="36" t="e">
        <f t="shared" si="27"/>
        <v>#REF!</v>
      </c>
      <c r="AT25" s="32"/>
      <c r="AU25" s="36"/>
      <c r="AV25" s="36"/>
      <c r="AW25" s="36"/>
      <c r="AX25" s="36"/>
      <c r="AY25" s="36"/>
      <c r="AZ25" s="36"/>
      <c r="BA25" s="36"/>
      <c r="BB25" s="36"/>
      <c r="BC25" s="36"/>
      <c r="BD25" s="36"/>
      <c r="BE25" s="20"/>
      <c r="BF25" s="36">
        <f>аморт!$G$11</f>
        <v>181.91312849162011</v>
      </c>
      <c r="BG25" s="36">
        <f>BF25*L25</f>
        <v>1091.4787709497207</v>
      </c>
      <c r="BH25" s="80">
        <f>аморт!$G$23</f>
        <v>48.426111111111105</v>
      </c>
      <c r="BI25" s="36">
        <f>BH25*L25</f>
        <v>290.55666666666662</v>
      </c>
      <c r="BJ25" s="38">
        <v>82.4</v>
      </c>
      <c r="BK25" s="36">
        <f t="shared" si="10"/>
        <v>2521.44</v>
      </c>
      <c r="BL25" s="38">
        <v>13.9</v>
      </c>
      <c r="BM25" s="36">
        <f t="shared" si="11"/>
        <v>425.34</v>
      </c>
      <c r="BN25" s="38">
        <f>4.8*1.045*1.054</f>
        <v>5.2868639999999996</v>
      </c>
      <c r="BO25" s="36">
        <f t="shared" si="12"/>
        <v>161.77803839999999</v>
      </c>
      <c r="BP25" s="36">
        <f>аморт!$C$23*10%/аморт!$E$23*L25*7</f>
        <v>46128.776400000002</v>
      </c>
      <c r="BQ25" s="36" t="e">
        <f t="shared" ca="1" si="13"/>
        <v>#REF!</v>
      </c>
      <c r="BR25" s="36" t="e">
        <f t="shared" ca="1" si="14"/>
        <v>#REF!</v>
      </c>
      <c r="BS25" s="38">
        <f t="shared" si="15"/>
        <v>0.84</v>
      </c>
      <c r="BT25" s="38">
        <v>5.0999999999999996</v>
      </c>
      <c r="BU25" s="39">
        <f>BT25*L25</f>
        <v>30.599999999999998</v>
      </c>
    </row>
    <row r="26" spans="1:73" ht="22.5" x14ac:dyDescent="0.2">
      <c r="A26" s="20">
        <f t="shared" si="16"/>
        <v>10</v>
      </c>
      <c r="B26" s="27" t="s">
        <v>26</v>
      </c>
      <c r="C26" s="29">
        <v>1</v>
      </c>
      <c r="D26" s="478" t="s">
        <v>118</v>
      </c>
      <c r="E26" s="479"/>
      <c r="F26" s="28" t="s">
        <v>109</v>
      </c>
      <c r="G26" s="36">
        <f>G25</f>
        <v>50</v>
      </c>
      <c r="H26" s="168">
        <v>42536</v>
      </c>
      <c r="I26" s="168">
        <v>42542</v>
      </c>
      <c r="J26" s="173">
        <f t="shared" si="1"/>
        <v>6</v>
      </c>
      <c r="K26" s="32">
        <v>8.3333333333333339</v>
      </c>
      <c r="L26" s="33">
        <f t="shared" si="2"/>
        <v>6</v>
      </c>
      <c r="M26" s="34"/>
      <c r="N26" s="34">
        <v>1</v>
      </c>
      <c r="O26" s="35">
        <f t="shared" si="3"/>
        <v>0</v>
      </c>
      <c r="P26" s="35">
        <f t="shared" si="4"/>
        <v>42</v>
      </c>
      <c r="Q26" s="34">
        <v>2</v>
      </c>
      <c r="R26" s="78">
        <f>IF(AND(O26&gt;0,Q26&gt;0),SUMIF('Исходные данные'!$C$14:H30,Q26,'Исходные данные'!$C$18:$H$18),IF(O26=0,0,IF(Q26=0,"РОТ")))</f>
        <v>0</v>
      </c>
      <c r="S26" s="34">
        <v>2</v>
      </c>
      <c r="T26" s="78">
        <f ca="1">IF(AND(N26&gt;0,P26&gt;0),SUMIF('Исходные данные'!$C$14:$J$30,S26,'Исходные данные'!$C$34:$J$41),IF(N26=0,0,IF(S26=0,"РОТ")))</f>
        <v>105.700598073999</v>
      </c>
      <c r="U26" s="125">
        <f>O26*R26*'Исходные данные'!$C$39%</f>
        <v>0</v>
      </c>
      <c r="V26" s="125">
        <f ca="1">P26*T26*'Исходные данные'!$C$40%</f>
        <v>0</v>
      </c>
      <c r="W26" s="125">
        <f t="shared" si="17"/>
        <v>0</v>
      </c>
      <c r="X26" s="126">
        <f t="shared" ca="1" si="18"/>
        <v>0</v>
      </c>
      <c r="Y26" s="125">
        <f t="shared" si="19"/>
        <v>0</v>
      </c>
      <c r="Z26" s="126">
        <f t="shared" ca="1" si="20"/>
        <v>221.97125595539794</v>
      </c>
      <c r="AA26" s="125">
        <f t="shared" si="21"/>
        <v>0</v>
      </c>
      <c r="AB26" s="126">
        <f t="shared" ca="1" si="22"/>
        <v>0</v>
      </c>
      <c r="AC26" s="124">
        <v>2.5</v>
      </c>
      <c r="AD26" s="125">
        <f t="shared" si="23"/>
        <v>0</v>
      </c>
      <c r="AE26" s="125">
        <f t="shared" ca="1" si="24"/>
        <v>11653.490937658391</v>
      </c>
      <c r="AF26" s="35">
        <f t="shared" ca="1" si="5"/>
        <v>0</v>
      </c>
      <c r="AG26" s="70">
        <f t="shared" ca="1" si="5"/>
        <v>1741.3262320638974</v>
      </c>
      <c r="AH26" s="35">
        <f t="shared" ca="1" si="25"/>
        <v>0</v>
      </c>
      <c r="AI26" s="35">
        <f t="shared" ca="1" si="6"/>
        <v>13394.817169722288</v>
      </c>
      <c r="AJ26" s="35">
        <f t="shared" ca="1" si="26"/>
        <v>0</v>
      </c>
      <c r="AK26" s="70">
        <f t="shared" ca="1" si="7"/>
        <v>4018.4451509166861</v>
      </c>
      <c r="AL26" s="35">
        <f t="shared" ca="1" si="8"/>
        <v>0</v>
      </c>
      <c r="AM26" s="70">
        <f t="shared" ca="1" si="9"/>
        <v>17413.262320638973</v>
      </c>
      <c r="AN26" s="32"/>
      <c r="AO26" s="33">
        <f>'Исходные данные'!$C$55</f>
        <v>0.84</v>
      </c>
      <c r="AP26" s="74"/>
      <c r="AQ26" s="33"/>
      <c r="AR26" s="78"/>
      <c r="AS26" s="36"/>
      <c r="AT26" s="32"/>
      <c r="AU26" s="36"/>
      <c r="AV26" s="36"/>
      <c r="AW26" s="36"/>
      <c r="AX26" s="36"/>
      <c r="AY26" s="36"/>
      <c r="AZ26" s="36"/>
      <c r="BA26" s="36"/>
      <c r="BB26" s="36"/>
      <c r="BC26" s="36"/>
      <c r="BD26" s="36"/>
      <c r="BE26" s="20"/>
      <c r="BF26" s="36"/>
      <c r="BG26" s="36"/>
      <c r="BH26" s="80"/>
      <c r="BI26" s="36"/>
      <c r="BJ26" s="38"/>
      <c r="BK26" s="36"/>
      <c r="BL26" s="38"/>
      <c r="BM26" s="36"/>
      <c r="BN26" s="38"/>
      <c r="BO26" s="36"/>
      <c r="BP26" s="36"/>
      <c r="BQ26" s="36">
        <f t="shared" ca="1" si="13"/>
        <v>17413.262320638973</v>
      </c>
      <c r="BR26" s="36">
        <f t="shared" ca="1" si="14"/>
        <v>174.13262320638972</v>
      </c>
      <c r="BS26" s="38">
        <f t="shared" si="15"/>
        <v>0.42</v>
      </c>
      <c r="BT26" s="38"/>
      <c r="BU26" s="39"/>
    </row>
    <row r="27" spans="1:73" ht="45" x14ac:dyDescent="0.2">
      <c r="A27" s="20">
        <f t="shared" si="16"/>
        <v>11</v>
      </c>
      <c r="B27" s="27" t="s">
        <v>421</v>
      </c>
      <c r="C27" s="29">
        <v>1</v>
      </c>
      <c r="D27" s="30" t="s">
        <v>183</v>
      </c>
      <c r="E27" s="181" t="s">
        <v>494</v>
      </c>
      <c r="F27" s="28" t="s">
        <v>106</v>
      </c>
      <c r="G27" s="29">
        <f>D6</f>
        <v>100</v>
      </c>
      <c r="H27" s="168">
        <f>H20</f>
        <v>42536</v>
      </c>
      <c r="I27" s="168">
        <f>I20</f>
        <v>42542</v>
      </c>
      <c r="J27" s="173">
        <f t="shared" si="1"/>
        <v>6</v>
      </c>
      <c r="K27" s="32">
        <v>14.4</v>
      </c>
      <c r="L27" s="33">
        <f t="shared" si="2"/>
        <v>6.9444444444444446</v>
      </c>
      <c r="M27" s="34">
        <v>2</v>
      </c>
      <c r="N27" s="34"/>
      <c r="O27" s="35">
        <f t="shared" si="3"/>
        <v>48.611111111111114</v>
      </c>
      <c r="P27" s="35">
        <f t="shared" si="4"/>
        <v>0</v>
      </c>
      <c r="Q27" s="34">
        <v>5</v>
      </c>
      <c r="R27" s="78">
        <f ca="1">IF(AND(O27&gt;0,Q27&gt;0),SUMIF('Исходные данные'!$C$14:H30,Q27,'Исходные данные'!$C$18:$H$18),IF(O27=0,0,IF(Q27=0,"РОТ")))</f>
        <v>179.78980233147493</v>
      </c>
      <c r="S27" s="34">
        <v>5</v>
      </c>
      <c r="T27" s="78">
        <f>IF(AND(N27&gt;0,P27&gt;0),SUMIF('Исходные данные'!$C$14:$J$30,S27,'Исходные данные'!$C$34:$J$41),IF(N27=0,0,IF(S27=0,"РОТ")))</f>
        <v>0</v>
      </c>
      <c r="U27" s="125">
        <f ca="1">O27*R27*'Исходные данные'!$C$39%</f>
        <v>0</v>
      </c>
      <c r="V27" s="125">
        <f>P27*T27*'Исходные данные'!$C$40%</f>
        <v>0</v>
      </c>
      <c r="W27" s="125">
        <f t="shared" ca="1" si="17"/>
        <v>0</v>
      </c>
      <c r="X27" s="126">
        <f t="shared" si="18"/>
        <v>0</v>
      </c>
      <c r="Y27" s="125">
        <f t="shared" ca="1" si="19"/>
        <v>873.97820577800326</v>
      </c>
      <c r="Z27" s="126">
        <f t="shared" si="20"/>
        <v>0</v>
      </c>
      <c r="AA27" s="125">
        <f t="shared" ca="1" si="21"/>
        <v>0</v>
      </c>
      <c r="AB27" s="126">
        <f t="shared" si="22"/>
        <v>0</v>
      </c>
      <c r="AC27" s="124">
        <v>2.5</v>
      </c>
      <c r="AD27" s="125">
        <f t="shared" ca="1" si="23"/>
        <v>24034.400658895087</v>
      </c>
      <c r="AE27" s="125">
        <f t="shared" si="24"/>
        <v>0</v>
      </c>
      <c r="AF27" s="35">
        <f t="shared" ca="1" si="5"/>
        <v>3591.347224892369</v>
      </c>
      <c r="AG27" s="70">
        <f t="shared" ca="1" si="5"/>
        <v>0</v>
      </c>
      <c r="AH27" s="35">
        <f t="shared" ca="1" si="25"/>
        <v>27625.747883787455</v>
      </c>
      <c r="AI27" s="35">
        <f t="shared" ca="1" si="6"/>
        <v>0</v>
      </c>
      <c r="AJ27" s="35">
        <f t="shared" ca="1" si="26"/>
        <v>8287.7243651362369</v>
      </c>
      <c r="AK27" s="70">
        <f t="shared" ca="1" si="7"/>
        <v>0</v>
      </c>
      <c r="AL27" s="35">
        <f t="shared" ca="1" si="8"/>
        <v>35913.472248923688</v>
      </c>
      <c r="AM27" s="70">
        <f t="shared" ca="1" si="9"/>
        <v>0</v>
      </c>
      <c r="AN27" s="32">
        <v>9</v>
      </c>
      <c r="AO27" s="33">
        <f>'Исходные данные'!$C$55</f>
        <v>0.84</v>
      </c>
      <c r="AP27" s="74">
        <f>(G27*AN27)*AO27/100</f>
        <v>7.56</v>
      </c>
      <c r="AQ27" s="33" t="s">
        <v>152</v>
      </c>
      <c r="AR27" s="78" t="e">
        <f>AR17</f>
        <v>#REF!</v>
      </c>
      <c r="AS27" s="36" t="e">
        <f t="shared" si="27"/>
        <v>#REF!</v>
      </c>
      <c r="AT27" s="32">
        <v>1.8</v>
      </c>
      <c r="AU27" s="36">
        <f>AT27*G27/10</f>
        <v>18</v>
      </c>
      <c r="AV27" s="74">
        <v>20</v>
      </c>
      <c r="AW27" s="36">
        <f>AU27*AV27*1000</f>
        <v>360000</v>
      </c>
      <c r="AX27" s="38">
        <v>5</v>
      </c>
      <c r="AY27" s="36">
        <f>AX27*G27/10</f>
        <v>50</v>
      </c>
      <c r="AZ27" s="38" t="e">
        <f>Нормы!#REF!</f>
        <v>#REF!</v>
      </c>
      <c r="BA27" s="36" t="e">
        <f>AY27*AZ27*1000</f>
        <v>#REF!</v>
      </c>
      <c r="BB27" s="36"/>
      <c r="BC27" s="36"/>
      <c r="BD27" s="36"/>
      <c r="BE27" s="36"/>
      <c r="BF27" s="36">
        <f>аморт!$G$11</f>
        <v>181.91312849162011</v>
      </c>
      <c r="BG27" s="36">
        <f>BF27*L27</f>
        <v>1263.2856145251396</v>
      </c>
      <c r="BH27" s="36">
        <f>аморт!G83</f>
        <v>214.94602272727272</v>
      </c>
      <c r="BI27" s="36">
        <f>BH27*L27</f>
        <v>1492.6807133838383</v>
      </c>
      <c r="BJ27" s="38">
        <v>82.4</v>
      </c>
      <c r="BK27" s="36">
        <f t="shared" si="10"/>
        <v>2918.3333333333335</v>
      </c>
      <c r="BL27" s="38">
        <v>13.9</v>
      </c>
      <c r="BM27" s="36">
        <f t="shared" si="11"/>
        <v>492.29166666666663</v>
      </c>
      <c r="BN27" s="38">
        <f>4.8*1.045*1.054</f>
        <v>5.2868639999999996</v>
      </c>
      <c r="BO27" s="36">
        <f t="shared" si="12"/>
        <v>187.24309999999997</v>
      </c>
      <c r="BP27" s="36">
        <f>аморт!$C$83*10%/аморт!$E$83*L27*7</f>
        <v>73559.305555555562</v>
      </c>
      <c r="BQ27" s="36" t="e">
        <f t="shared" ca="1" si="13"/>
        <v>#REF!</v>
      </c>
      <c r="BR27" s="36" t="e">
        <f t="shared" ca="1" si="14"/>
        <v>#REF!</v>
      </c>
      <c r="BS27" s="38">
        <f t="shared" si="15"/>
        <v>0.48611111111111116</v>
      </c>
      <c r="BT27" s="38">
        <v>5.0999999999999996</v>
      </c>
      <c r="BU27" s="39">
        <f>BT27*L27</f>
        <v>35.416666666666664</v>
      </c>
    </row>
    <row r="28" spans="1:73" s="54" customFormat="1" x14ac:dyDescent="0.2">
      <c r="A28" s="52"/>
      <c r="B28" s="53" t="s">
        <v>21</v>
      </c>
      <c r="C28" s="53"/>
      <c r="D28" s="53"/>
      <c r="E28" s="53"/>
      <c r="F28" s="55"/>
      <c r="G28" s="56"/>
      <c r="H28" s="56"/>
      <c r="I28" s="56"/>
      <c r="J28" s="65">
        <f>SUM(J17:J27)</f>
        <v>65</v>
      </c>
      <c r="K28" s="65"/>
      <c r="L28" s="65">
        <f>SUM(L17:L27)</f>
        <v>62.438492063492063</v>
      </c>
      <c r="M28" s="65">
        <f>SUM(M17:M27)</f>
        <v>12</v>
      </c>
      <c r="N28" s="65">
        <f>SUM(N17:N27)</f>
        <v>6</v>
      </c>
      <c r="O28" s="65">
        <f>SUM(O17:O27)</f>
        <v>269.06944444444446</v>
      </c>
      <c r="P28" s="65">
        <f>SUM(P17:P27)</f>
        <v>252</v>
      </c>
      <c r="Q28" s="65"/>
      <c r="R28" s="65"/>
      <c r="S28" s="65"/>
      <c r="T28" s="65"/>
      <c r="U28" s="65">
        <f t="shared" ref="U28:AM28" ca="1" si="28">SUM(U17:U27)</f>
        <v>0</v>
      </c>
      <c r="V28" s="65">
        <f t="shared" ca="1" si="28"/>
        <v>0</v>
      </c>
      <c r="W28" s="65">
        <f t="shared" ca="1" si="28"/>
        <v>0</v>
      </c>
      <c r="X28" s="65">
        <f t="shared" ca="1" si="28"/>
        <v>0</v>
      </c>
      <c r="Y28" s="65">
        <f t="shared" ca="1" si="28"/>
        <v>4491.9126771414094</v>
      </c>
      <c r="Z28" s="65">
        <f t="shared" ca="1" si="28"/>
        <v>1331.8275357323876</v>
      </c>
      <c r="AA28" s="65">
        <f t="shared" ca="1" si="28"/>
        <v>0</v>
      </c>
      <c r="AB28" s="65">
        <f t="shared" ca="1" si="28"/>
        <v>0</v>
      </c>
      <c r="AC28" s="65"/>
      <c r="AD28" s="65">
        <f t="shared" ca="1" si="28"/>
        <v>123527.59862138878</v>
      </c>
      <c r="AE28" s="65">
        <f t="shared" ca="1" si="28"/>
        <v>69920.945625950349</v>
      </c>
      <c r="AF28" s="65">
        <f t="shared" ca="1" si="28"/>
        <v>18458.146920437397</v>
      </c>
      <c r="AG28" s="65">
        <f t="shared" ca="1" si="28"/>
        <v>10447.957392383383</v>
      </c>
      <c r="AH28" s="65">
        <f t="shared" ca="1" si="28"/>
        <v>141985.74554182618</v>
      </c>
      <c r="AI28" s="65">
        <f t="shared" ca="1" si="28"/>
        <v>80368.903018333731</v>
      </c>
      <c r="AJ28" s="65">
        <f t="shared" ca="1" si="28"/>
        <v>42595.723662547854</v>
      </c>
      <c r="AK28" s="65">
        <f t="shared" ca="1" si="28"/>
        <v>24110.670905500116</v>
      </c>
      <c r="AL28" s="65">
        <f t="shared" ca="1" si="28"/>
        <v>184581.46920437401</v>
      </c>
      <c r="AM28" s="65">
        <f t="shared" ca="1" si="28"/>
        <v>104479.57392383383</v>
      </c>
      <c r="AN28" s="65"/>
      <c r="AO28" s="65"/>
      <c r="AP28" s="65">
        <f>SUM(AP17:AP27)</f>
        <v>34.040351999999999</v>
      </c>
      <c r="AQ28" s="65"/>
      <c r="AR28" s="65"/>
      <c r="AS28" s="65" t="e">
        <f>SUM(AS17:AS27)</f>
        <v>#REF!</v>
      </c>
      <c r="AT28" s="65"/>
      <c r="AU28" s="65">
        <f>SUM(AU17:AU27)</f>
        <v>18</v>
      </c>
      <c r="AV28" s="65"/>
      <c r="AW28" s="65">
        <f>SUM(AW17:AW27)</f>
        <v>360000</v>
      </c>
      <c r="AX28" s="65"/>
      <c r="AY28" s="65">
        <f>SUM(AY17:AY27)</f>
        <v>50</v>
      </c>
      <c r="AZ28" s="65"/>
      <c r="BA28" s="65" t="e">
        <f>SUM(BA17:BA27)</f>
        <v>#REF!</v>
      </c>
      <c r="BB28" s="65"/>
      <c r="BC28" s="65">
        <f>SUM(BC17:BC27)</f>
        <v>0</v>
      </c>
      <c r="BD28" s="65"/>
      <c r="BE28" s="65">
        <f>SUM(BE17:BE27)</f>
        <v>0</v>
      </c>
      <c r="BF28" s="65"/>
      <c r="BG28" s="65">
        <f>SUM(BG17:BG27)</f>
        <v>5008.1570614321081</v>
      </c>
      <c r="BH28" s="65"/>
      <c r="BI28" s="65">
        <f>SUM(BI17:BI27)</f>
        <v>3308.5689862814675</v>
      </c>
      <c r="BJ28" s="65"/>
      <c r="BK28" s="65">
        <f>SUM(BK17:BK27)</f>
        <v>25402.731190476185</v>
      </c>
      <c r="BL28" s="65"/>
      <c r="BM28" s="65">
        <f>SUM(BM17:BM27)</f>
        <v>3355.0609523809526</v>
      </c>
      <c r="BN28" s="65"/>
      <c r="BO28" s="65">
        <f>SUM(BO17:BO27)</f>
        <v>2005.0266505499999</v>
      </c>
      <c r="BP28" s="65">
        <f>SUM(BP17:BP27)</f>
        <v>305386.29418888892</v>
      </c>
      <c r="BQ28" s="65" t="e">
        <f ca="1">SUM(BQ17:BQ27)</f>
        <v>#REF!</v>
      </c>
      <c r="BR28" s="65"/>
      <c r="BS28" s="65"/>
      <c r="BT28" s="65"/>
      <c r="BU28" s="65">
        <f>SUM(BU17:BU27)</f>
        <v>303.40238095238095</v>
      </c>
    </row>
    <row r="29" spans="1:73" s="7" customFormat="1" ht="12.75" customHeight="1" x14ac:dyDescent="0.2">
      <c r="A29" s="21"/>
      <c r="B29" s="477" t="s">
        <v>65</v>
      </c>
      <c r="C29" s="477"/>
      <c r="D29" s="477"/>
      <c r="E29" s="477"/>
      <c r="F29" s="22"/>
      <c r="G29" s="23"/>
      <c r="H29" s="23"/>
      <c r="I29" s="23"/>
      <c r="J29" s="23"/>
      <c r="K29" s="23"/>
      <c r="L29" s="23"/>
      <c r="M29" s="23"/>
      <c r="N29" s="23"/>
      <c r="O29" s="23"/>
      <c r="P29" s="23"/>
      <c r="Q29" s="24"/>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5"/>
      <c r="AQ29" s="26"/>
      <c r="AR29" s="26"/>
      <c r="AS29" s="25"/>
      <c r="AT29" s="23"/>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3"/>
    </row>
    <row r="30" spans="1:73" ht="22.5" x14ac:dyDescent="0.2">
      <c r="A30" s="19">
        <v>1</v>
      </c>
      <c r="B30" s="27" t="s">
        <v>66</v>
      </c>
      <c r="C30" s="29">
        <v>1.1574074074074074</v>
      </c>
      <c r="D30" s="30" t="s">
        <v>105</v>
      </c>
      <c r="E30" s="31" t="s">
        <v>190</v>
      </c>
      <c r="F30" s="28" t="s">
        <v>106</v>
      </c>
      <c r="G30" s="29">
        <f>D6</f>
        <v>100</v>
      </c>
      <c r="H30" s="168">
        <v>42597</v>
      </c>
      <c r="I30" s="168">
        <v>42603</v>
      </c>
      <c r="J30" s="173">
        <f t="shared" ref="J30:J35" si="29">I30-H30</f>
        <v>6</v>
      </c>
      <c r="K30" s="32">
        <v>14.4</v>
      </c>
      <c r="L30" s="33">
        <f t="shared" ref="L30:L35" si="30">G30/K30</f>
        <v>6.9444444444444446</v>
      </c>
      <c r="M30" s="34">
        <v>1</v>
      </c>
      <c r="N30" s="34"/>
      <c r="O30" s="35">
        <f t="shared" ref="O30:O35" si="31">IF(M30=0,0,L30*$O$12)</f>
        <v>48.611111111111114</v>
      </c>
      <c r="P30" s="35">
        <f t="shared" ref="P30:P35" si="32">IF(N30=0,0,L30*$O$12)</f>
        <v>0</v>
      </c>
      <c r="Q30" s="34">
        <v>5</v>
      </c>
      <c r="R30" s="78">
        <f ca="1">IF(AND(O30&gt;0,Q30&gt;0),SUMIF('Исходные данные'!$C$14:H34,Q30,'Исходные данные'!$C$18:$H$18),IF(O30=0,0,IF(Q30=0,"РОТ")))</f>
        <v>179.78980233147493</v>
      </c>
      <c r="S30" s="34"/>
      <c r="T30" s="78">
        <f>IF(AND(N30&gt;0,P30&gt;0),SUMIF('Исходные данные'!$C$14:$J$30,S30,'Исходные данные'!$C$34:$J$41),IF(N30=0,0,IF(S30=0,"РОТ")))</f>
        <v>0</v>
      </c>
      <c r="U30" s="125">
        <f ca="1">O30*R30*'Исходные данные'!$C$39%</f>
        <v>0</v>
      </c>
      <c r="V30" s="125">
        <f>P30*T30*'Исходные данные'!$C$40%</f>
        <v>0</v>
      </c>
      <c r="W30" s="125">
        <f t="shared" ref="W30:W35" ca="1" si="33">O30*R30*$W$12</f>
        <v>0</v>
      </c>
      <c r="X30" s="126">
        <f t="shared" ref="X30:X35" si="34">P30*T30*$W$12</f>
        <v>0</v>
      </c>
      <c r="Y30" s="125">
        <f t="shared" ref="Y30:Y35" ca="1" si="35">(O30*R30+U30+W30)*$Y$12</f>
        <v>873.97820577800326</v>
      </c>
      <c r="Z30" s="126">
        <f t="shared" ref="Z30:Z35" si="36">(P30*T30+V30+X30)*$Z$12</f>
        <v>0</v>
      </c>
      <c r="AA30" s="125">
        <f t="shared" ref="AA30:AA35" ca="1" si="37">(O30*R30+U30)*$AA$12</f>
        <v>0</v>
      </c>
      <c r="AB30" s="126">
        <f t="shared" ref="AB30:AB35" si="38">(P30*T30+V30)*$AA$12</f>
        <v>0</v>
      </c>
      <c r="AC30" s="124">
        <v>2.5</v>
      </c>
      <c r="AD30" s="125">
        <f t="shared" ref="AD30:AD35" ca="1" si="39">(O30*R30+U30+W30+Y30+AA30)*AC30</f>
        <v>24034.400658895087</v>
      </c>
      <c r="AE30" s="125">
        <f t="shared" ref="AE30:AE35" si="40">(P30*T30+V30+X30+Z30+AB30)*AC30</f>
        <v>0</v>
      </c>
      <c r="AF30" s="35">
        <f t="shared" ref="AF30:AG34" ca="1" si="41">AD30*$AF$12</f>
        <v>3591.347224892369</v>
      </c>
      <c r="AG30" s="70">
        <f t="shared" ca="1" si="41"/>
        <v>0</v>
      </c>
      <c r="AH30" s="35">
        <f t="shared" ref="AH30:AI34" ca="1" si="42">AD30+AF30</f>
        <v>27625.747883787455</v>
      </c>
      <c r="AI30" s="35">
        <f t="shared" ca="1" si="42"/>
        <v>0</v>
      </c>
      <c r="AJ30" s="35">
        <f t="shared" ref="AJ30:AK34" ca="1" si="43">AH30*$AJ$12</f>
        <v>8287.7243651362369</v>
      </c>
      <c r="AK30" s="70">
        <f t="shared" ca="1" si="43"/>
        <v>0</v>
      </c>
      <c r="AL30" s="35">
        <f t="shared" ref="AL30:AL35" ca="1" si="44">AH30+AJ30</f>
        <v>35913.472248923688</v>
      </c>
      <c r="AM30" s="70">
        <f t="shared" ref="AM30:AM35" ca="1" si="45">AK30+AI30</f>
        <v>0</v>
      </c>
      <c r="AN30" s="165">
        <v>6.5</v>
      </c>
      <c r="AO30" s="33">
        <f>'Исходные данные'!$C$55</f>
        <v>0.84</v>
      </c>
      <c r="AP30" s="74">
        <f t="shared" ref="AP30:AP35" si="46">(G30*AN30)*AO30/100</f>
        <v>5.46</v>
      </c>
      <c r="AQ30" s="33" t="s">
        <v>152</v>
      </c>
      <c r="AR30" s="78" t="e">
        <f>AR17</f>
        <v>#REF!</v>
      </c>
      <c r="AS30" s="36" t="e">
        <f t="shared" ref="AS30:AS35" si="47">AP30*AR30</f>
        <v>#REF!</v>
      </c>
      <c r="AT30" s="32"/>
      <c r="AU30" s="36"/>
      <c r="AV30" s="36"/>
      <c r="AW30" s="36"/>
      <c r="AX30" s="36"/>
      <c r="AY30" s="36"/>
      <c r="AZ30" s="36"/>
      <c r="BA30" s="36"/>
      <c r="BB30" s="36"/>
      <c r="BC30" s="36"/>
      <c r="BD30" s="36"/>
      <c r="BE30" s="36"/>
      <c r="BF30" s="36">
        <f>аморт!$G$11</f>
        <v>181.91312849162011</v>
      </c>
      <c r="BG30" s="36">
        <f t="shared" ref="BG30:BG35" si="48">BF30*L30</f>
        <v>1263.2856145251396</v>
      </c>
      <c r="BH30" s="36">
        <f>аморт!$G$25</f>
        <v>12.519247457627118</v>
      </c>
      <c r="BI30" s="36">
        <f t="shared" ref="BI30:BI35" si="49">BH30*L30</f>
        <v>86.939218455743884</v>
      </c>
      <c r="BJ30" s="38">
        <v>82.4</v>
      </c>
      <c r="BK30" s="36">
        <f t="shared" ref="BK30:BK35" si="50">BJ30*BU30</f>
        <v>2918.3333333333335</v>
      </c>
      <c r="BL30" s="38">
        <v>13.9</v>
      </c>
      <c r="BM30" s="36">
        <f t="shared" ref="BM30:BM35" si="51">BL30*BU30</f>
        <v>492.29166666666663</v>
      </c>
      <c r="BN30" s="38">
        <f t="shared" ref="BN30:BN35" si="52">4.8*1.045*1.054</f>
        <v>5.2868639999999996</v>
      </c>
      <c r="BO30" s="36">
        <f t="shared" ref="BO30:BO35" si="53">BN30*BU30</f>
        <v>187.24309999999997</v>
      </c>
      <c r="BP30" s="36">
        <f>аморт!$C$25*10%/аморт!$E$25*L30*7</f>
        <v>35905.897222222222</v>
      </c>
      <c r="BQ30" s="36" t="e">
        <f t="shared" ref="BQ30:BQ35" ca="1" si="54">AL30+AM30+AS30+AW30+BA30+BE30+BG30+BI30+BK30+BM30+BO30+BP30</f>
        <v>#REF!</v>
      </c>
      <c r="BR30" s="36" t="e">
        <f t="shared" ref="BR30:BR35" ca="1" si="55">BQ30/$D$6</f>
        <v>#REF!</v>
      </c>
      <c r="BS30" s="38">
        <f t="shared" ref="BS30:BS35" si="56">(O30+P30)/$D$6</f>
        <v>0.48611111111111116</v>
      </c>
      <c r="BT30" s="38">
        <v>5.0999999999999996</v>
      </c>
      <c r="BU30" s="39">
        <f t="shared" ref="BU30:BU35" si="57">BT30*L30</f>
        <v>35.416666666666664</v>
      </c>
    </row>
    <row r="31" spans="1:73" x14ac:dyDescent="0.2">
      <c r="A31" s="20">
        <f>A30+1</f>
        <v>2</v>
      </c>
      <c r="B31" s="27" t="s">
        <v>67</v>
      </c>
      <c r="C31" s="29">
        <v>0.32552083333333331</v>
      </c>
      <c r="D31" s="30" t="s">
        <v>105</v>
      </c>
      <c r="E31" s="31" t="s">
        <v>191</v>
      </c>
      <c r="F31" s="28" t="s">
        <v>106</v>
      </c>
      <c r="G31" s="29">
        <f>G30</f>
        <v>100</v>
      </c>
      <c r="H31" s="168">
        <v>42597</v>
      </c>
      <c r="I31" s="168">
        <v>42603</v>
      </c>
      <c r="J31" s="173">
        <f t="shared" si="29"/>
        <v>6</v>
      </c>
      <c r="K31" s="32">
        <v>51.2</v>
      </c>
      <c r="L31" s="33">
        <f t="shared" si="30"/>
        <v>1.953125</v>
      </c>
      <c r="M31" s="34">
        <v>1</v>
      </c>
      <c r="N31" s="34"/>
      <c r="O31" s="35">
        <f t="shared" si="31"/>
        <v>13.671875</v>
      </c>
      <c r="P31" s="35">
        <f t="shared" si="32"/>
        <v>0</v>
      </c>
      <c r="Q31" s="34">
        <v>5</v>
      </c>
      <c r="R31" s="78">
        <f ca="1">IF(AND(O31&gt;0,Q31&gt;0),SUMIF('Исходные данные'!$C$14:H34,Q31,'Исходные данные'!$C$18:$H$18),IF(O31=0,0,IF(Q31=0,"РОТ")))</f>
        <v>179.78980233147493</v>
      </c>
      <c r="S31" s="34"/>
      <c r="T31" s="78">
        <f>IF(AND(N31&gt;0,P31&gt;0),SUMIF('Исходные данные'!$C$14:$J$30,S31,'Исходные данные'!$C$34:$J$41),IF(N31=0,0,IF(S31=0,"РОТ")))</f>
        <v>0</v>
      </c>
      <c r="U31" s="125">
        <f ca="1">O31*R31*'Исходные данные'!$C$39%</f>
        <v>0</v>
      </c>
      <c r="V31" s="125">
        <f>P31*T31*'Исходные данные'!$C$40%</f>
        <v>0</v>
      </c>
      <c r="W31" s="125">
        <f t="shared" ca="1" si="33"/>
        <v>0</v>
      </c>
      <c r="X31" s="126">
        <f t="shared" si="34"/>
        <v>0</v>
      </c>
      <c r="Y31" s="125">
        <f t="shared" ca="1" si="35"/>
        <v>245.80637037506341</v>
      </c>
      <c r="Z31" s="126">
        <f t="shared" si="36"/>
        <v>0</v>
      </c>
      <c r="AA31" s="125">
        <f t="shared" ca="1" si="37"/>
        <v>0</v>
      </c>
      <c r="AB31" s="126">
        <f t="shared" si="38"/>
        <v>0</v>
      </c>
      <c r="AC31" s="124">
        <v>2.5</v>
      </c>
      <c r="AD31" s="125">
        <f t="shared" ca="1" si="39"/>
        <v>6759.6751853142441</v>
      </c>
      <c r="AE31" s="125">
        <f t="shared" si="40"/>
        <v>0</v>
      </c>
      <c r="AF31" s="35">
        <f t="shared" ca="1" si="41"/>
        <v>1010.0664070009789</v>
      </c>
      <c r="AG31" s="70">
        <f t="shared" ca="1" si="41"/>
        <v>0</v>
      </c>
      <c r="AH31" s="35">
        <f t="shared" ca="1" si="42"/>
        <v>7769.741592315223</v>
      </c>
      <c r="AI31" s="35">
        <f t="shared" ca="1" si="42"/>
        <v>0</v>
      </c>
      <c r="AJ31" s="35">
        <f t="shared" ca="1" si="43"/>
        <v>2330.9224776945666</v>
      </c>
      <c r="AK31" s="70">
        <f t="shared" ca="1" si="43"/>
        <v>0</v>
      </c>
      <c r="AL31" s="35">
        <f t="shared" ca="1" si="44"/>
        <v>10100.664070009789</v>
      </c>
      <c r="AM31" s="70">
        <f t="shared" ca="1" si="45"/>
        <v>0</v>
      </c>
      <c r="AN31" s="170">
        <v>1.8</v>
      </c>
      <c r="AO31" s="33">
        <f>'Исходные данные'!$C$55</f>
        <v>0.84</v>
      </c>
      <c r="AP31" s="74">
        <f t="shared" si="46"/>
        <v>1.5119999999999998</v>
      </c>
      <c r="AQ31" s="33" t="s">
        <v>152</v>
      </c>
      <c r="AR31" s="78" t="e">
        <f>AR17</f>
        <v>#REF!</v>
      </c>
      <c r="AS31" s="36" t="e">
        <f t="shared" si="47"/>
        <v>#REF!</v>
      </c>
      <c r="AT31" s="32"/>
      <c r="AU31" s="36"/>
      <c r="AV31" s="36"/>
      <c r="AW31" s="36"/>
      <c r="AX31" s="36"/>
      <c r="AY31" s="36"/>
      <c r="AZ31" s="36"/>
      <c r="BA31" s="36"/>
      <c r="BB31" s="36"/>
      <c r="BC31" s="36"/>
      <c r="BD31" s="36"/>
      <c r="BE31" s="36"/>
      <c r="BF31" s="36">
        <f>аморт!$G$11</f>
        <v>181.91312849162011</v>
      </c>
      <c r="BG31" s="36">
        <f t="shared" si="48"/>
        <v>355.29907908519556</v>
      </c>
      <c r="BH31" s="36">
        <f>аморт!$G$28</f>
        <v>384.88701041666667</v>
      </c>
      <c r="BI31" s="36">
        <f t="shared" si="49"/>
        <v>751.73244222005212</v>
      </c>
      <c r="BJ31" s="38">
        <v>82.4</v>
      </c>
      <c r="BK31" s="36">
        <f t="shared" si="50"/>
        <v>820.78125</v>
      </c>
      <c r="BL31" s="38">
        <v>13.9</v>
      </c>
      <c r="BM31" s="36">
        <f t="shared" si="51"/>
        <v>138.45703125</v>
      </c>
      <c r="BN31" s="38">
        <f t="shared" si="52"/>
        <v>5.2868639999999996</v>
      </c>
      <c r="BO31" s="36">
        <f t="shared" si="53"/>
        <v>52.662121874999997</v>
      </c>
      <c r="BP31" s="36">
        <f>аморт!$C$28*10%/аморт!$E$28*L31*7</f>
        <v>40413.136093750007</v>
      </c>
      <c r="BQ31" s="36" t="e">
        <f t="shared" ca="1" si="54"/>
        <v>#REF!</v>
      </c>
      <c r="BR31" s="36" t="e">
        <f t="shared" ca="1" si="55"/>
        <v>#REF!</v>
      </c>
      <c r="BS31" s="38">
        <f t="shared" si="56"/>
        <v>0.13671875</v>
      </c>
      <c r="BT31" s="38">
        <v>5.0999999999999996</v>
      </c>
      <c r="BU31" s="39">
        <f t="shared" si="57"/>
        <v>9.9609375</v>
      </c>
    </row>
    <row r="32" spans="1:73" x14ac:dyDescent="0.2">
      <c r="A32" s="20">
        <f>A31+1</f>
        <v>3</v>
      </c>
      <c r="B32" s="27" t="s">
        <v>68</v>
      </c>
      <c r="C32" s="29">
        <v>0.34722222222222227</v>
      </c>
      <c r="D32" s="30" t="s">
        <v>105</v>
      </c>
      <c r="E32" s="31" t="s">
        <v>192</v>
      </c>
      <c r="F32" s="28" t="s">
        <v>106</v>
      </c>
      <c r="G32" s="29">
        <f>G31</f>
        <v>100</v>
      </c>
      <c r="H32" s="168">
        <v>42597</v>
      </c>
      <c r="I32" s="168">
        <v>42603</v>
      </c>
      <c r="J32" s="173">
        <f t="shared" si="29"/>
        <v>6</v>
      </c>
      <c r="K32" s="32">
        <v>48</v>
      </c>
      <c r="L32" s="33">
        <f t="shared" si="30"/>
        <v>2.0833333333333335</v>
      </c>
      <c r="M32" s="34">
        <v>1</v>
      </c>
      <c r="N32" s="34"/>
      <c r="O32" s="35">
        <f t="shared" si="31"/>
        <v>14.583333333333334</v>
      </c>
      <c r="P32" s="35">
        <f t="shared" si="32"/>
        <v>0</v>
      </c>
      <c r="Q32" s="34">
        <v>5</v>
      </c>
      <c r="R32" s="78">
        <f ca="1">IF(AND(O32&gt;0,Q32&gt;0),SUMIF('Исходные данные'!$C$14:H34,Q32,'Исходные данные'!$C$18:$H$18),IF(O32=0,0,IF(Q32=0,"РОТ")))</f>
        <v>179.78980233147493</v>
      </c>
      <c r="S32" s="34"/>
      <c r="T32" s="78">
        <f>IF(AND(N32&gt;0,P32&gt;0),SUMIF('Исходные данные'!$C$14:$J$30,S32,'Исходные данные'!$C$34:$J$41),IF(N32=0,0,IF(S32=0,"РОТ")))</f>
        <v>0</v>
      </c>
      <c r="U32" s="125">
        <f ca="1">O32*R32*'Исходные данные'!$C$39%</f>
        <v>0</v>
      </c>
      <c r="V32" s="125">
        <f>P32*T32*'Исходные данные'!$C$40%</f>
        <v>0</v>
      </c>
      <c r="W32" s="125">
        <f t="shared" ca="1" si="33"/>
        <v>0</v>
      </c>
      <c r="X32" s="126">
        <f t="shared" si="34"/>
        <v>0</v>
      </c>
      <c r="Y32" s="125">
        <f t="shared" ca="1" si="35"/>
        <v>262.19346173340097</v>
      </c>
      <c r="Z32" s="126">
        <f t="shared" si="36"/>
        <v>0</v>
      </c>
      <c r="AA32" s="125">
        <f t="shared" ca="1" si="37"/>
        <v>0</v>
      </c>
      <c r="AB32" s="126">
        <f t="shared" si="38"/>
        <v>0</v>
      </c>
      <c r="AC32" s="124">
        <v>2.5</v>
      </c>
      <c r="AD32" s="125">
        <f t="shared" ca="1" si="39"/>
        <v>7210.3201976685259</v>
      </c>
      <c r="AE32" s="125">
        <f t="shared" si="40"/>
        <v>0</v>
      </c>
      <c r="AF32" s="35">
        <f t="shared" ca="1" si="41"/>
        <v>1077.4041674677107</v>
      </c>
      <c r="AG32" s="70">
        <f t="shared" ca="1" si="41"/>
        <v>0</v>
      </c>
      <c r="AH32" s="35">
        <f t="shared" ca="1" si="42"/>
        <v>8287.7243651362369</v>
      </c>
      <c r="AI32" s="35">
        <f t="shared" ca="1" si="42"/>
        <v>0</v>
      </c>
      <c r="AJ32" s="35">
        <f t="shared" ca="1" si="43"/>
        <v>2486.3173095408711</v>
      </c>
      <c r="AK32" s="70">
        <f t="shared" ca="1" si="43"/>
        <v>0</v>
      </c>
      <c r="AL32" s="35">
        <f t="shared" ca="1" si="44"/>
        <v>10774.041674677108</v>
      </c>
      <c r="AM32" s="70">
        <f t="shared" ca="1" si="45"/>
        <v>0</v>
      </c>
      <c r="AN32" s="170">
        <v>2.8</v>
      </c>
      <c r="AO32" s="33">
        <f>'Исходные данные'!$C$55</f>
        <v>0.84</v>
      </c>
      <c r="AP32" s="74">
        <f t="shared" si="46"/>
        <v>2.3519999999999999</v>
      </c>
      <c r="AQ32" s="33" t="s">
        <v>152</v>
      </c>
      <c r="AR32" s="78" t="e">
        <f>AR17</f>
        <v>#REF!</v>
      </c>
      <c r="AS32" s="36" t="e">
        <f t="shared" si="47"/>
        <v>#REF!</v>
      </c>
      <c r="AT32" s="32"/>
      <c r="AU32" s="36"/>
      <c r="AV32" s="36"/>
      <c r="AW32" s="36"/>
      <c r="AX32" s="36"/>
      <c r="AY32" s="36"/>
      <c r="AZ32" s="36"/>
      <c r="BA32" s="36"/>
      <c r="BB32" s="36"/>
      <c r="BC32" s="36"/>
      <c r="BD32" s="36"/>
      <c r="BE32" s="36"/>
      <c r="BF32" s="36">
        <f>аморт!$G$11</f>
        <v>181.91312849162011</v>
      </c>
      <c r="BG32" s="36">
        <f t="shared" si="48"/>
        <v>378.98568435754191</v>
      </c>
      <c r="BH32" s="36">
        <f>аморт!$G$27</f>
        <v>343.69111111111113</v>
      </c>
      <c r="BI32" s="36">
        <f t="shared" si="49"/>
        <v>716.02314814814827</v>
      </c>
      <c r="BJ32" s="38">
        <v>82.4</v>
      </c>
      <c r="BK32" s="36">
        <f t="shared" si="50"/>
        <v>875.50000000000011</v>
      </c>
      <c r="BL32" s="38">
        <v>13.9</v>
      </c>
      <c r="BM32" s="36">
        <f t="shared" si="51"/>
        <v>147.6875</v>
      </c>
      <c r="BN32" s="38">
        <f t="shared" si="52"/>
        <v>5.2868639999999996</v>
      </c>
      <c r="BO32" s="36">
        <f t="shared" si="53"/>
        <v>56.172929999999994</v>
      </c>
      <c r="BP32" s="36">
        <f>аморт!$C$27*10%/аморт!$E$27*L32*7</f>
        <v>43305.080000000009</v>
      </c>
      <c r="BQ32" s="36" t="e">
        <f t="shared" ca="1" si="54"/>
        <v>#REF!</v>
      </c>
      <c r="BR32" s="36" t="e">
        <f t="shared" ca="1" si="55"/>
        <v>#REF!</v>
      </c>
      <c r="BS32" s="38">
        <f t="shared" si="56"/>
        <v>0.14583333333333334</v>
      </c>
      <c r="BT32" s="38">
        <v>5.0999999999999996</v>
      </c>
      <c r="BU32" s="39">
        <f t="shared" si="57"/>
        <v>10.625</v>
      </c>
    </row>
    <row r="33" spans="1:73" ht="45" x14ac:dyDescent="0.2">
      <c r="A33" s="20">
        <f>A32+1</f>
        <v>4</v>
      </c>
      <c r="B33" s="27" t="s">
        <v>69</v>
      </c>
      <c r="C33" s="29">
        <v>0.83333333333333337</v>
      </c>
      <c r="D33" s="30" t="s">
        <v>105</v>
      </c>
      <c r="E33" s="31" t="s">
        <v>193</v>
      </c>
      <c r="F33" s="28" t="s">
        <v>109</v>
      </c>
      <c r="G33" s="169">
        <f>D7/10</f>
        <v>500</v>
      </c>
      <c r="H33" s="168">
        <v>42597</v>
      </c>
      <c r="I33" s="168">
        <v>42603</v>
      </c>
      <c r="J33" s="173">
        <f t="shared" si="29"/>
        <v>6</v>
      </c>
      <c r="K33" s="32">
        <v>100</v>
      </c>
      <c r="L33" s="33">
        <f t="shared" si="30"/>
        <v>5</v>
      </c>
      <c r="M33" s="34">
        <v>1</v>
      </c>
      <c r="N33" s="34"/>
      <c r="O33" s="35">
        <f t="shared" si="31"/>
        <v>35</v>
      </c>
      <c r="P33" s="35">
        <f t="shared" si="32"/>
        <v>0</v>
      </c>
      <c r="Q33" s="34">
        <v>5</v>
      </c>
      <c r="R33" s="78">
        <f ca="1">IF(AND(O33&gt;0,Q33&gt;0),SUMIF('Исходные данные'!$C$14:H35,Q33,'Исходные данные'!$C$18:$H$18),IF(O33=0,0,IF(Q33=0,"РОТ")))</f>
        <v>179.78980233147493</v>
      </c>
      <c r="S33" s="34">
        <v>2</v>
      </c>
      <c r="T33" s="78">
        <f>IF(AND(N33&gt;0,P33&gt;0),SUMIF('Исходные данные'!$C$14:$J$30,S33,'Исходные данные'!$C$34:$J$41),IF(N33=0,0,IF(S33=0,"РОТ")))</f>
        <v>0</v>
      </c>
      <c r="U33" s="125">
        <f ca="1">O33*R33*'Исходные данные'!$C$39%</f>
        <v>0</v>
      </c>
      <c r="V33" s="125">
        <f>P33*T33*'Исходные данные'!$C$40%</f>
        <v>0</v>
      </c>
      <c r="W33" s="125">
        <f t="shared" ca="1" si="33"/>
        <v>0</v>
      </c>
      <c r="X33" s="126">
        <f t="shared" si="34"/>
        <v>0</v>
      </c>
      <c r="Y33" s="125">
        <f t="shared" ca="1" si="35"/>
        <v>629.26430816016227</v>
      </c>
      <c r="Z33" s="126">
        <f t="shared" si="36"/>
        <v>0</v>
      </c>
      <c r="AA33" s="125">
        <f t="shared" ca="1" si="37"/>
        <v>0</v>
      </c>
      <c r="AB33" s="126">
        <f t="shared" si="38"/>
        <v>0</v>
      </c>
      <c r="AC33" s="124">
        <v>2.5</v>
      </c>
      <c r="AD33" s="125">
        <f t="shared" ca="1" si="39"/>
        <v>17304.768474404464</v>
      </c>
      <c r="AE33" s="125">
        <f t="shared" si="40"/>
        <v>0</v>
      </c>
      <c r="AF33" s="35">
        <f t="shared" ca="1" si="41"/>
        <v>2585.7700019225058</v>
      </c>
      <c r="AG33" s="70">
        <f t="shared" ca="1" si="41"/>
        <v>0</v>
      </c>
      <c r="AH33" s="35">
        <f t="shared" ca="1" si="42"/>
        <v>19890.538476326969</v>
      </c>
      <c r="AI33" s="35">
        <f t="shared" ca="1" si="42"/>
        <v>0</v>
      </c>
      <c r="AJ33" s="35">
        <f t="shared" ca="1" si="43"/>
        <v>5967.1615428980904</v>
      </c>
      <c r="AK33" s="70">
        <f t="shared" ca="1" si="43"/>
        <v>0</v>
      </c>
      <c r="AL33" s="35">
        <f t="shared" ca="1" si="44"/>
        <v>25857.70001922506</v>
      </c>
      <c r="AM33" s="70">
        <f t="shared" ca="1" si="45"/>
        <v>0</v>
      </c>
      <c r="AN33" s="170">
        <v>0.3</v>
      </c>
      <c r="AO33" s="33">
        <f>'Исходные данные'!$C$55</f>
        <v>0.84</v>
      </c>
      <c r="AP33" s="74">
        <f t="shared" si="46"/>
        <v>1.26</v>
      </c>
      <c r="AQ33" s="33" t="s">
        <v>152</v>
      </c>
      <c r="AR33" s="78" t="e">
        <f>AR17</f>
        <v>#REF!</v>
      </c>
      <c r="AS33" s="36" t="e">
        <f t="shared" si="47"/>
        <v>#REF!</v>
      </c>
      <c r="AT33" s="32"/>
      <c r="AU33" s="36"/>
      <c r="AV33" s="36"/>
      <c r="AW33" s="36"/>
      <c r="AX33" s="36"/>
      <c r="AY33" s="36"/>
      <c r="AZ33" s="36"/>
      <c r="BA33" s="36"/>
      <c r="BB33" s="108"/>
      <c r="BC33" s="36">
        <f>BB33*G34</f>
        <v>0</v>
      </c>
      <c r="BD33" s="36"/>
      <c r="BE33" s="36">
        <f>BC33*BD33</f>
        <v>0</v>
      </c>
      <c r="BF33" s="36">
        <f>аморт!$G$11</f>
        <v>181.91312849162011</v>
      </c>
      <c r="BG33" s="36">
        <f t="shared" si="48"/>
        <v>909.56564245810057</v>
      </c>
      <c r="BH33" s="36">
        <f>аморт!$G$29</f>
        <v>141.81938775510207</v>
      </c>
      <c r="BI33" s="36">
        <f t="shared" si="49"/>
        <v>709.09693877551035</v>
      </c>
      <c r="BJ33" s="38">
        <v>82.4</v>
      </c>
      <c r="BK33" s="36">
        <f t="shared" si="50"/>
        <v>2101.2000000000003</v>
      </c>
      <c r="BL33" s="38">
        <v>13.9</v>
      </c>
      <c r="BM33" s="36">
        <f t="shared" si="51"/>
        <v>354.45</v>
      </c>
      <c r="BN33" s="38">
        <f t="shared" si="52"/>
        <v>5.2868639999999996</v>
      </c>
      <c r="BO33" s="36">
        <f t="shared" si="53"/>
        <v>134.815032</v>
      </c>
      <c r="BP33" s="36">
        <f>аморт!$C$29*10%/аморт!$E$29*L33*7</f>
        <v>40861.002</v>
      </c>
      <c r="BQ33" s="36" t="e">
        <f t="shared" ca="1" si="54"/>
        <v>#REF!</v>
      </c>
      <c r="BR33" s="36" t="e">
        <f t="shared" ca="1" si="55"/>
        <v>#REF!</v>
      </c>
      <c r="BS33" s="38">
        <f t="shared" si="56"/>
        <v>0.35</v>
      </c>
      <c r="BT33" s="38">
        <v>5.0999999999999996</v>
      </c>
      <c r="BU33" s="39">
        <f t="shared" si="57"/>
        <v>25.5</v>
      </c>
    </row>
    <row r="34" spans="1:73" x14ac:dyDescent="0.2">
      <c r="A34" s="20">
        <f>A33+1</f>
        <v>5</v>
      </c>
      <c r="B34" s="27" t="s">
        <v>70</v>
      </c>
      <c r="C34" s="29">
        <v>0.10416666666666667</v>
      </c>
      <c r="D34" s="30" t="s">
        <v>105</v>
      </c>
      <c r="E34" s="31" t="s">
        <v>194</v>
      </c>
      <c r="F34" s="28" t="s">
        <v>122</v>
      </c>
      <c r="G34" s="109">
        <f>G33/8</f>
        <v>62.5</v>
      </c>
      <c r="H34" s="168">
        <v>42597</v>
      </c>
      <c r="I34" s="168">
        <v>42603</v>
      </c>
      <c r="J34" s="173">
        <f t="shared" si="29"/>
        <v>6</v>
      </c>
      <c r="K34" s="32">
        <v>100</v>
      </c>
      <c r="L34" s="33">
        <f t="shared" si="30"/>
        <v>0.625</v>
      </c>
      <c r="M34" s="34">
        <v>1</v>
      </c>
      <c r="N34" s="34"/>
      <c r="O34" s="35">
        <f t="shared" si="31"/>
        <v>4.375</v>
      </c>
      <c r="P34" s="35">
        <f t="shared" si="32"/>
        <v>0</v>
      </c>
      <c r="Q34" s="34">
        <v>5</v>
      </c>
      <c r="R34" s="78">
        <f ca="1">IF(AND(O34&gt;0,Q34&gt;0),SUMIF('Исходные данные'!$C$14:H36,Q34,'Исходные данные'!$C$18:$H$18),IF(O34=0,0,IF(Q34=0,"РОТ")))</f>
        <v>179.78980233147493</v>
      </c>
      <c r="S34" s="34">
        <v>2</v>
      </c>
      <c r="T34" s="78">
        <f>IF(AND(N34&gt;0,P34&gt;0),SUMIF('Исходные данные'!$C$14:$J$30,S34,'Исходные данные'!$C$34:$J$41),IF(N34=0,0,IF(S34=0,"РОТ")))</f>
        <v>0</v>
      </c>
      <c r="U34" s="125">
        <f ca="1">O34*R34*'Исходные данные'!$C$39%</f>
        <v>0</v>
      </c>
      <c r="V34" s="125">
        <f>P34*T34*'Исходные данные'!$C$40%</f>
        <v>0</v>
      </c>
      <c r="W34" s="125">
        <f t="shared" ca="1" si="33"/>
        <v>0</v>
      </c>
      <c r="X34" s="126">
        <f t="shared" si="34"/>
        <v>0</v>
      </c>
      <c r="Y34" s="125">
        <f t="shared" ca="1" si="35"/>
        <v>78.658038520020284</v>
      </c>
      <c r="Z34" s="126">
        <f t="shared" si="36"/>
        <v>0</v>
      </c>
      <c r="AA34" s="125">
        <f t="shared" ca="1" si="37"/>
        <v>0</v>
      </c>
      <c r="AB34" s="126">
        <f t="shared" si="38"/>
        <v>0</v>
      </c>
      <c r="AC34" s="124">
        <v>2.5</v>
      </c>
      <c r="AD34" s="125">
        <f t="shared" ca="1" si="39"/>
        <v>2163.096059300558</v>
      </c>
      <c r="AE34" s="125">
        <f t="shared" si="40"/>
        <v>0</v>
      </c>
      <c r="AF34" s="35">
        <f t="shared" ca="1" si="41"/>
        <v>323.22125024031322</v>
      </c>
      <c r="AG34" s="70">
        <f t="shared" ca="1" si="41"/>
        <v>0</v>
      </c>
      <c r="AH34" s="35">
        <f t="shared" ca="1" si="42"/>
        <v>2486.3173095408711</v>
      </c>
      <c r="AI34" s="35">
        <f t="shared" ca="1" si="42"/>
        <v>0</v>
      </c>
      <c r="AJ34" s="35">
        <f t="shared" ca="1" si="43"/>
        <v>745.8951928622613</v>
      </c>
      <c r="AK34" s="70">
        <f t="shared" ca="1" si="43"/>
        <v>0</v>
      </c>
      <c r="AL34" s="35">
        <f t="shared" ca="1" si="44"/>
        <v>3232.2125024031325</v>
      </c>
      <c r="AM34" s="70">
        <f t="shared" ca="1" si="45"/>
        <v>0</v>
      </c>
      <c r="AN34" s="170">
        <v>0.3</v>
      </c>
      <c r="AO34" s="33">
        <f>'Исходные данные'!$C$55</f>
        <v>0.84</v>
      </c>
      <c r="AP34" s="74">
        <f t="shared" si="46"/>
        <v>0.1575</v>
      </c>
      <c r="AQ34" s="33" t="s">
        <v>152</v>
      </c>
      <c r="AR34" s="78" t="e">
        <f>AR17</f>
        <v>#REF!</v>
      </c>
      <c r="AS34" s="36" t="e">
        <f t="shared" si="47"/>
        <v>#REF!</v>
      </c>
      <c r="AT34" s="32"/>
      <c r="AU34" s="36"/>
      <c r="AV34" s="36"/>
      <c r="AW34" s="36"/>
      <c r="AX34" s="36"/>
      <c r="AY34" s="36"/>
      <c r="AZ34" s="36"/>
      <c r="BA34" s="36"/>
      <c r="BB34" s="108">
        <v>0.125</v>
      </c>
      <c r="BC34" s="36">
        <f>BB34*G34</f>
        <v>7.8125</v>
      </c>
      <c r="BD34" s="36">
        <v>8000</v>
      </c>
      <c r="BE34" s="36">
        <f>BC34*BD34</f>
        <v>62500</v>
      </c>
      <c r="BF34" s="36">
        <f>аморт!$G$11</f>
        <v>181.91312849162011</v>
      </c>
      <c r="BG34" s="36">
        <f t="shared" si="48"/>
        <v>113.69570530726257</v>
      </c>
      <c r="BH34" s="36">
        <f>аморт!$G$26</f>
        <v>12.519247457627118</v>
      </c>
      <c r="BI34" s="36">
        <f t="shared" si="49"/>
        <v>7.8245296610169488</v>
      </c>
      <c r="BJ34" s="38">
        <v>82.4</v>
      </c>
      <c r="BK34" s="36">
        <f t="shared" si="50"/>
        <v>262.65000000000003</v>
      </c>
      <c r="BL34" s="38">
        <v>13.9</v>
      </c>
      <c r="BM34" s="36">
        <f t="shared" si="51"/>
        <v>44.306249999999999</v>
      </c>
      <c r="BN34" s="38">
        <f t="shared" si="52"/>
        <v>5.2868639999999996</v>
      </c>
      <c r="BO34" s="36">
        <f t="shared" si="53"/>
        <v>16.851879</v>
      </c>
      <c r="BP34" s="36">
        <f>аморт!$C$26*10%/аморт!$E$26*L34*7</f>
        <v>3231.5307499999999</v>
      </c>
      <c r="BQ34" s="36" t="e">
        <f t="shared" ca="1" si="54"/>
        <v>#REF!</v>
      </c>
      <c r="BR34" s="36" t="e">
        <f t="shared" ca="1" si="55"/>
        <v>#REF!</v>
      </c>
      <c r="BS34" s="38">
        <f t="shared" si="56"/>
        <v>4.3749999999999997E-2</v>
      </c>
      <c r="BT34" s="38">
        <v>5.0999999999999996</v>
      </c>
      <c r="BU34" s="39">
        <f t="shared" si="57"/>
        <v>3.1875</v>
      </c>
    </row>
    <row r="35" spans="1:73" x14ac:dyDescent="0.2">
      <c r="A35" s="20">
        <f>A34+1</f>
        <v>6</v>
      </c>
      <c r="B35" s="27" t="s">
        <v>416</v>
      </c>
      <c r="C35" s="29">
        <v>0.83333333333333337</v>
      </c>
      <c r="D35" s="30" t="s">
        <v>105</v>
      </c>
      <c r="E35" s="31" t="s">
        <v>417</v>
      </c>
      <c r="F35" s="28" t="s">
        <v>109</v>
      </c>
      <c r="G35" s="109">
        <f>G33</f>
        <v>500</v>
      </c>
      <c r="H35" s="168">
        <v>42597</v>
      </c>
      <c r="I35" s="168">
        <v>42603</v>
      </c>
      <c r="J35" s="173">
        <f t="shared" si="29"/>
        <v>6</v>
      </c>
      <c r="K35" s="32">
        <v>100</v>
      </c>
      <c r="L35" s="33">
        <f t="shared" si="30"/>
        <v>5</v>
      </c>
      <c r="M35" s="34">
        <v>1</v>
      </c>
      <c r="N35" s="34"/>
      <c r="O35" s="35">
        <f t="shared" si="31"/>
        <v>35</v>
      </c>
      <c r="P35" s="35">
        <f t="shared" si="32"/>
        <v>0</v>
      </c>
      <c r="Q35" s="34">
        <v>5</v>
      </c>
      <c r="R35" s="78">
        <f ca="1">IF(AND(O35&gt;0,Q35&gt;0),SUMIF('Исходные данные'!$C$14:H37,Q35,'Исходные данные'!$C$18:$H$18),IF(O35=0,0,IF(Q35=0,"РОТ")))</f>
        <v>179.78980233147493</v>
      </c>
      <c r="S35" s="34">
        <v>2</v>
      </c>
      <c r="T35" s="78">
        <f>IF(AND(N35&gt;0,P35&gt;0),SUMIF('Исходные данные'!$C$14:$J$30,S35,'Исходные данные'!$C$34:$J$41),IF(N35=0,0,IF(S35=0,"РОТ")))</f>
        <v>0</v>
      </c>
      <c r="U35" s="125">
        <f ca="1">O35*R35*'Исходные данные'!$C$39%</f>
        <v>0</v>
      </c>
      <c r="V35" s="125">
        <f>P35*T35*'Исходные данные'!$C$40%</f>
        <v>0</v>
      </c>
      <c r="W35" s="125">
        <f t="shared" ca="1" si="33"/>
        <v>0</v>
      </c>
      <c r="X35" s="126">
        <f t="shared" si="34"/>
        <v>0</v>
      </c>
      <c r="Y35" s="125">
        <f t="shared" ca="1" si="35"/>
        <v>629.26430816016227</v>
      </c>
      <c r="Z35" s="126">
        <f t="shared" si="36"/>
        <v>0</v>
      </c>
      <c r="AA35" s="125">
        <f t="shared" ca="1" si="37"/>
        <v>0</v>
      </c>
      <c r="AB35" s="126">
        <f t="shared" si="38"/>
        <v>0</v>
      </c>
      <c r="AC35" s="124">
        <v>2.5</v>
      </c>
      <c r="AD35" s="125">
        <f t="shared" ca="1" si="39"/>
        <v>17304.768474404464</v>
      </c>
      <c r="AE35" s="125">
        <f t="shared" si="40"/>
        <v>0</v>
      </c>
      <c r="AF35" s="35">
        <f ca="1">AD35*$AF$12</f>
        <v>2585.7700019225058</v>
      </c>
      <c r="AG35" s="70">
        <f ca="1">AE35*$AF$12</f>
        <v>0</v>
      </c>
      <c r="AH35" s="35">
        <f ca="1">AD35+AF35</f>
        <v>19890.538476326969</v>
      </c>
      <c r="AI35" s="35">
        <f ca="1">AE35+AG35</f>
        <v>0</v>
      </c>
      <c r="AJ35" s="35">
        <f ca="1">AH35*$AJ$12</f>
        <v>5967.1615428980904</v>
      </c>
      <c r="AK35" s="70">
        <f ca="1">AI35*$AJ$12</f>
        <v>0</v>
      </c>
      <c r="AL35" s="35">
        <f t="shared" ca="1" si="44"/>
        <v>25857.70001922506</v>
      </c>
      <c r="AM35" s="70">
        <f t="shared" ca="1" si="45"/>
        <v>0</v>
      </c>
      <c r="AN35" s="170">
        <v>0.96</v>
      </c>
      <c r="AO35" s="33">
        <f>'Исходные данные'!$C$55</f>
        <v>0.84</v>
      </c>
      <c r="AP35" s="74">
        <f t="shared" si="46"/>
        <v>4.032</v>
      </c>
      <c r="AQ35" s="33" t="s">
        <v>152</v>
      </c>
      <c r="AR35" s="78" t="e">
        <f>AR17</f>
        <v>#REF!</v>
      </c>
      <c r="AS35" s="36" t="e">
        <f t="shared" si="47"/>
        <v>#REF!</v>
      </c>
      <c r="AT35" s="32"/>
      <c r="AU35" s="36"/>
      <c r="AV35" s="36"/>
      <c r="AW35" s="36"/>
      <c r="AX35" s="36"/>
      <c r="AY35" s="36"/>
      <c r="AZ35" s="36"/>
      <c r="BA35" s="36"/>
      <c r="BB35" s="108"/>
      <c r="BC35" s="36"/>
      <c r="BD35" s="36"/>
      <c r="BE35" s="36"/>
      <c r="BF35" s="36">
        <f>аморт!$G$11</f>
        <v>181.91312849162011</v>
      </c>
      <c r="BG35" s="36">
        <f t="shared" si="48"/>
        <v>909.56564245810057</v>
      </c>
      <c r="BH35" s="36">
        <f>аморт!G68</f>
        <v>126.15384615384616</v>
      </c>
      <c r="BI35" s="36">
        <f t="shared" si="49"/>
        <v>630.76923076923083</v>
      </c>
      <c r="BJ35" s="38">
        <v>82.4</v>
      </c>
      <c r="BK35" s="36">
        <f t="shared" si="50"/>
        <v>2101.2000000000003</v>
      </c>
      <c r="BL35" s="38">
        <v>13.9</v>
      </c>
      <c r="BM35" s="36">
        <f t="shared" si="51"/>
        <v>354.45</v>
      </c>
      <c r="BN35" s="38">
        <f t="shared" si="52"/>
        <v>5.2868639999999996</v>
      </c>
      <c r="BO35" s="36">
        <f t="shared" si="53"/>
        <v>134.815032</v>
      </c>
      <c r="BP35" s="36">
        <f>аморт!$C$68*10%/аморт!$E$68*L35*7</f>
        <v>2870</v>
      </c>
      <c r="BQ35" s="36" t="e">
        <f t="shared" ca="1" si="54"/>
        <v>#REF!</v>
      </c>
      <c r="BR35" s="36" t="e">
        <f t="shared" ca="1" si="55"/>
        <v>#REF!</v>
      </c>
      <c r="BS35" s="38">
        <f t="shared" si="56"/>
        <v>0.35</v>
      </c>
      <c r="BT35" s="38">
        <v>5.0999999999999996</v>
      </c>
      <c r="BU35" s="39">
        <f t="shared" si="57"/>
        <v>25.5</v>
      </c>
    </row>
    <row r="36" spans="1:73" s="54" customFormat="1" x14ac:dyDescent="0.2">
      <c r="A36" s="52"/>
      <c r="B36" s="53" t="s">
        <v>21</v>
      </c>
      <c r="C36" s="56"/>
      <c r="D36" s="56"/>
      <c r="E36" s="56"/>
      <c r="F36" s="55"/>
      <c r="G36" s="56"/>
      <c r="H36" s="56"/>
      <c r="I36" s="56"/>
      <c r="J36" s="65">
        <f>SUM(J30:J35)</f>
        <v>36</v>
      </c>
      <c r="K36" s="65"/>
      <c r="L36" s="65">
        <f>SUM(L30:L35)</f>
        <v>21.605902777777779</v>
      </c>
      <c r="M36" s="65">
        <f>SUM(M30:M35)</f>
        <v>6</v>
      </c>
      <c r="N36" s="65">
        <f>SUM(N30:N35)</f>
        <v>0</v>
      </c>
      <c r="O36" s="65">
        <f>SUM(O30:O35)</f>
        <v>151.24131944444446</v>
      </c>
      <c r="P36" s="65">
        <f>SUM(P30:P35)</f>
        <v>0</v>
      </c>
      <c r="Q36" s="65"/>
      <c r="R36" s="65"/>
      <c r="S36" s="65"/>
      <c r="T36" s="65"/>
      <c r="U36" s="65">
        <f t="shared" ref="U36:AB36" ca="1" si="58">SUM(U30:U35)</f>
        <v>0</v>
      </c>
      <c r="V36" s="65">
        <f t="shared" si="58"/>
        <v>0</v>
      </c>
      <c r="W36" s="65">
        <f t="shared" ca="1" si="58"/>
        <v>0</v>
      </c>
      <c r="X36" s="65">
        <f t="shared" si="58"/>
        <v>0</v>
      </c>
      <c r="Y36" s="65">
        <f t="shared" ca="1" si="58"/>
        <v>2719.1646927268125</v>
      </c>
      <c r="Z36" s="65">
        <f t="shared" si="58"/>
        <v>0</v>
      </c>
      <c r="AA36" s="65">
        <f t="shared" ca="1" si="58"/>
        <v>0</v>
      </c>
      <c r="AB36" s="65">
        <f t="shared" si="58"/>
        <v>0</v>
      </c>
      <c r="AC36" s="65"/>
      <c r="AD36" s="65">
        <f t="shared" ref="AD36:AM36" ca="1" si="59">SUM(AD30:AD35)</f>
        <v>74777.029049987352</v>
      </c>
      <c r="AE36" s="65">
        <f t="shared" si="59"/>
        <v>0</v>
      </c>
      <c r="AF36" s="65">
        <f t="shared" ca="1" si="59"/>
        <v>11173.579053446381</v>
      </c>
      <c r="AG36" s="65">
        <f t="shared" ca="1" si="59"/>
        <v>0</v>
      </c>
      <c r="AH36" s="65">
        <f t="shared" ca="1" si="59"/>
        <v>85950.608103433726</v>
      </c>
      <c r="AI36" s="65">
        <f t="shared" ca="1" si="59"/>
        <v>0</v>
      </c>
      <c r="AJ36" s="65">
        <f t="shared" ca="1" si="59"/>
        <v>25785.18243103012</v>
      </c>
      <c r="AK36" s="65">
        <f t="shared" ca="1" si="59"/>
        <v>0</v>
      </c>
      <c r="AL36" s="65">
        <f t="shared" ca="1" si="59"/>
        <v>111735.79053446383</v>
      </c>
      <c r="AM36" s="65">
        <f t="shared" ca="1" si="59"/>
        <v>0</v>
      </c>
      <c r="AN36" s="65"/>
      <c r="AO36" s="65"/>
      <c r="AP36" s="65">
        <f>SUM(AP30:AP35)</f>
        <v>14.7735</v>
      </c>
      <c r="AQ36" s="65"/>
      <c r="AR36" s="65"/>
      <c r="AS36" s="65" t="e">
        <f>SUM(AS30:AS35)</f>
        <v>#REF!</v>
      </c>
      <c r="AT36" s="65"/>
      <c r="AU36" s="65">
        <f>SUM(AU30:AU34)</f>
        <v>0</v>
      </c>
      <c r="AV36" s="65"/>
      <c r="AW36" s="65">
        <f>SUM(AW30:AW34)</f>
        <v>0</v>
      </c>
      <c r="AX36" s="65"/>
      <c r="AY36" s="65">
        <f>SUM(AY30:AY34)</f>
        <v>0</v>
      </c>
      <c r="AZ36" s="65"/>
      <c r="BA36" s="65">
        <f>SUM(BA30:BA34)</f>
        <v>0</v>
      </c>
      <c r="BB36" s="65"/>
      <c r="BC36" s="65">
        <f>SUM(BC30:BC35)</f>
        <v>7.8125</v>
      </c>
      <c r="BD36" s="65"/>
      <c r="BE36" s="65">
        <f>SUM(BE30:BE35)</f>
        <v>62500</v>
      </c>
      <c r="BF36" s="65"/>
      <c r="BG36" s="65">
        <f>SUM(BG30:BG35)</f>
        <v>3930.3973681913408</v>
      </c>
      <c r="BH36" s="65"/>
      <c r="BI36" s="65">
        <f>SUM(BI30:BI35)</f>
        <v>2902.3855080297026</v>
      </c>
      <c r="BJ36" s="65"/>
      <c r="BK36" s="65">
        <f>SUM(BK30:BK35)</f>
        <v>9079.664583333335</v>
      </c>
      <c r="BL36" s="65"/>
      <c r="BM36" s="65">
        <f>SUM(BM30:BM35)</f>
        <v>1531.6424479166667</v>
      </c>
      <c r="BN36" s="65"/>
      <c r="BO36" s="65">
        <f>SUM(BO30:BO35)</f>
        <v>582.560094875</v>
      </c>
      <c r="BP36" s="65">
        <f>SUM(BP30:BP35)</f>
        <v>166586.64606597225</v>
      </c>
      <c r="BQ36" s="65" t="e">
        <f ca="1">SUM(BQ30:BQ35)</f>
        <v>#REF!</v>
      </c>
      <c r="BR36" s="65"/>
      <c r="BS36" s="65"/>
      <c r="BT36" s="65"/>
      <c r="BU36" s="65">
        <f>SUM(BU30:BU35)</f>
        <v>110.19010416666666</v>
      </c>
    </row>
    <row r="37" spans="1:73" s="51" customFormat="1" x14ac:dyDescent="0.2">
      <c r="A37" s="48"/>
      <c r="B37" s="58" t="s">
        <v>29</v>
      </c>
      <c r="C37" s="50"/>
      <c r="D37" s="50"/>
      <c r="E37" s="50"/>
      <c r="F37" s="49"/>
      <c r="G37" s="50"/>
      <c r="H37" s="50"/>
      <c r="I37" s="50"/>
      <c r="J37" s="73">
        <f>J28+J36</f>
        <v>101</v>
      </c>
      <c r="K37" s="73"/>
      <c r="L37" s="73">
        <f t="shared" ref="L37:BU37" si="60">L28+L36</f>
        <v>84.044394841269849</v>
      </c>
      <c r="M37" s="73">
        <f t="shared" si="60"/>
        <v>18</v>
      </c>
      <c r="N37" s="73">
        <f t="shared" si="60"/>
        <v>6</v>
      </c>
      <c r="O37" s="73">
        <f t="shared" si="60"/>
        <v>420.31076388888891</v>
      </c>
      <c r="P37" s="73">
        <f t="shared" si="60"/>
        <v>252</v>
      </c>
      <c r="Q37" s="73"/>
      <c r="R37" s="73"/>
      <c r="S37" s="73"/>
      <c r="T37" s="73"/>
      <c r="U37" s="73">
        <f t="shared" ca="1" si="60"/>
        <v>0</v>
      </c>
      <c r="V37" s="73">
        <f t="shared" ca="1" si="60"/>
        <v>0</v>
      </c>
      <c r="W37" s="73">
        <f t="shared" ca="1" si="60"/>
        <v>0</v>
      </c>
      <c r="X37" s="73">
        <f t="shared" ca="1" si="60"/>
        <v>0</v>
      </c>
      <c r="Y37" s="73">
        <f t="shared" ca="1" si="60"/>
        <v>7211.0773698682224</v>
      </c>
      <c r="Z37" s="73">
        <f t="shared" ca="1" si="60"/>
        <v>1331.8275357323876</v>
      </c>
      <c r="AA37" s="73">
        <f t="shared" ca="1" si="60"/>
        <v>0</v>
      </c>
      <c r="AB37" s="73">
        <f t="shared" ca="1" si="60"/>
        <v>0</v>
      </c>
      <c r="AC37" s="73"/>
      <c r="AD37" s="73">
        <f t="shared" ca="1" si="60"/>
        <v>198304.62767137613</v>
      </c>
      <c r="AE37" s="73">
        <f t="shared" ca="1" si="60"/>
        <v>69920.945625950349</v>
      </c>
      <c r="AF37" s="73">
        <f t="shared" ca="1" si="60"/>
        <v>29631.725973883778</v>
      </c>
      <c r="AG37" s="73">
        <f t="shared" ca="1" si="60"/>
        <v>10447.957392383383</v>
      </c>
      <c r="AH37" s="73">
        <f t="shared" ca="1" si="60"/>
        <v>227936.35364525992</v>
      </c>
      <c r="AI37" s="73">
        <f t="shared" ca="1" si="60"/>
        <v>80368.903018333731</v>
      </c>
      <c r="AJ37" s="73">
        <f t="shared" ca="1" si="60"/>
        <v>68380.906093577971</v>
      </c>
      <c r="AK37" s="73">
        <f t="shared" ca="1" si="60"/>
        <v>24110.670905500116</v>
      </c>
      <c r="AL37" s="73">
        <f t="shared" ca="1" si="60"/>
        <v>296317.25973883783</v>
      </c>
      <c r="AM37" s="73">
        <f t="shared" ca="1" si="60"/>
        <v>104479.57392383383</v>
      </c>
      <c r="AN37" s="73"/>
      <c r="AO37" s="73"/>
      <c r="AP37" s="73">
        <f t="shared" si="60"/>
        <v>48.813851999999997</v>
      </c>
      <c r="AQ37" s="73"/>
      <c r="AR37" s="73"/>
      <c r="AS37" s="73" t="e">
        <f t="shared" si="60"/>
        <v>#REF!</v>
      </c>
      <c r="AT37" s="73"/>
      <c r="AU37" s="73">
        <f t="shared" si="60"/>
        <v>18</v>
      </c>
      <c r="AV37" s="73"/>
      <c r="AW37" s="73">
        <f t="shared" si="60"/>
        <v>360000</v>
      </c>
      <c r="AX37" s="73"/>
      <c r="AY37" s="73">
        <f t="shared" si="60"/>
        <v>50</v>
      </c>
      <c r="AZ37" s="73"/>
      <c r="BA37" s="73" t="e">
        <f t="shared" si="60"/>
        <v>#REF!</v>
      </c>
      <c r="BB37" s="73"/>
      <c r="BC37" s="73">
        <f>BC28+BC36</f>
        <v>7.8125</v>
      </c>
      <c r="BD37" s="73"/>
      <c r="BE37" s="73">
        <f>BE28+BE36</f>
        <v>62500</v>
      </c>
      <c r="BF37" s="73"/>
      <c r="BG37" s="73">
        <f t="shared" si="60"/>
        <v>8938.5544296234493</v>
      </c>
      <c r="BH37" s="73"/>
      <c r="BI37" s="73">
        <f t="shared" si="60"/>
        <v>6210.9544943111705</v>
      </c>
      <c r="BJ37" s="73"/>
      <c r="BK37" s="73">
        <f t="shared" si="60"/>
        <v>34482.39577380952</v>
      </c>
      <c r="BL37" s="73"/>
      <c r="BM37" s="73">
        <f t="shared" si="60"/>
        <v>4886.7034002976197</v>
      </c>
      <c r="BN37" s="73"/>
      <c r="BO37" s="73">
        <f t="shared" si="60"/>
        <v>2587.5867454250001</v>
      </c>
      <c r="BP37" s="73">
        <f t="shared" si="60"/>
        <v>471972.94025486114</v>
      </c>
      <c r="BQ37" s="73" t="e">
        <f t="shared" ca="1" si="60"/>
        <v>#REF!</v>
      </c>
      <c r="BR37" s="73"/>
      <c r="BS37" s="73"/>
      <c r="BT37" s="73"/>
      <c r="BU37" s="73">
        <f t="shared" si="60"/>
        <v>413.59248511904764</v>
      </c>
    </row>
  </sheetData>
  <mergeCells count="115">
    <mergeCell ref="B29:E29"/>
    <mergeCell ref="B15:E15"/>
    <mergeCell ref="B16:E16"/>
    <mergeCell ref="D21:E21"/>
    <mergeCell ref="D23:E23"/>
    <mergeCell ref="D24:E24"/>
    <mergeCell ref="D26:E26"/>
    <mergeCell ref="BJ13:BJ14"/>
    <mergeCell ref="BK13:BK14"/>
    <mergeCell ref="AP12:AP14"/>
    <mergeCell ref="AQ12:AQ14"/>
    <mergeCell ref="AR12:AR14"/>
    <mergeCell ref="AE12:AE14"/>
    <mergeCell ref="AF12:AG12"/>
    <mergeCell ref="AH12:AH14"/>
    <mergeCell ref="AI12:AI14"/>
    <mergeCell ref="AJ12:AK12"/>
    <mergeCell ref="AL12:AL14"/>
    <mergeCell ref="AF13:AF14"/>
    <mergeCell ref="AG13:AG14"/>
    <mergeCell ref="AJ13:AJ14"/>
    <mergeCell ref="AK13:AK14"/>
    <mergeCell ref="AA12:AB12"/>
    <mergeCell ref="AC12:AC14"/>
    <mergeCell ref="U12:U14"/>
    <mergeCell ref="V12:V14"/>
    <mergeCell ref="W12:X12"/>
    <mergeCell ref="BC12:BC14"/>
    <mergeCell ref="BD12:BD14"/>
    <mergeCell ref="AS12:AS14"/>
    <mergeCell ref="AT12:AT14"/>
    <mergeCell ref="AU12:AU14"/>
    <mergeCell ref="AV12:AV14"/>
    <mergeCell ref="AW12:AW14"/>
    <mergeCell ref="AX12:AX14"/>
    <mergeCell ref="AM12:AM14"/>
    <mergeCell ref="AN12:AN14"/>
    <mergeCell ref="AO12:AO14"/>
    <mergeCell ref="AD12:AD14"/>
    <mergeCell ref="Y13:Y14"/>
    <mergeCell ref="Z13:Z14"/>
    <mergeCell ref="AA13:AA14"/>
    <mergeCell ref="AB13:AB14"/>
    <mergeCell ref="AY12:AY14"/>
    <mergeCell ref="AZ12:AZ14"/>
    <mergeCell ref="BA12:BA14"/>
    <mergeCell ref="BB12:BB14"/>
    <mergeCell ref="W13:W14"/>
    <mergeCell ref="X13:X14"/>
    <mergeCell ref="BE12:BE14"/>
    <mergeCell ref="BF12:BG12"/>
    <mergeCell ref="BH12:BI12"/>
    <mergeCell ref="BJ12:BK12"/>
    <mergeCell ref="BL12:BM12"/>
    <mergeCell ref="BN12:BO12"/>
    <mergeCell ref="BF13:BF14"/>
    <mergeCell ref="BG13:BG14"/>
    <mergeCell ref="BH13:BH14"/>
    <mergeCell ref="BI13:BI14"/>
    <mergeCell ref="BF10:BI11"/>
    <mergeCell ref="BJ10:BP11"/>
    <mergeCell ref="BQ10:BR11"/>
    <mergeCell ref="BS10:BS14"/>
    <mergeCell ref="BP12:BP14"/>
    <mergeCell ref="BQ12:BQ14"/>
    <mergeCell ref="BR12:BR14"/>
    <mergeCell ref="BO13:BO14"/>
    <mergeCell ref="BT10:BU11"/>
    <mergeCell ref="BT12:BT14"/>
    <mergeCell ref="BU12:BU14"/>
    <mergeCell ref="BL13:BL14"/>
    <mergeCell ref="BM13:BM14"/>
    <mergeCell ref="BN13:BN14"/>
    <mergeCell ref="AX10:BA11"/>
    <mergeCell ref="BB10:BE11"/>
    <mergeCell ref="W10:X11"/>
    <mergeCell ref="Y10:Z11"/>
    <mergeCell ref="AA10:AB11"/>
    <mergeCell ref="AC10:AE11"/>
    <mergeCell ref="AF10:AG11"/>
    <mergeCell ref="AH10:AI11"/>
    <mergeCell ref="K10:K14"/>
    <mergeCell ref="L10:L14"/>
    <mergeCell ref="M10:N11"/>
    <mergeCell ref="O10:P11"/>
    <mergeCell ref="Q10:T11"/>
    <mergeCell ref="U10:V11"/>
    <mergeCell ref="N12:N14"/>
    <mergeCell ref="O12:P12"/>
    <mergeCell ref="Q12:R12"/>
    <mergeCell ref="S12:T12"/>
    <mergeCell ref="T13:T14"/>
    <mergeCell ref="M12:M14"/>
    <mergeCell ref="AJ10:AK11"/>
    <mergeCell ref="AL10:AM11"/>
    <mergeCell ref="AN10:AS11"/>
    <mergeCell ref="AT10:AW11"/>
    <mergeCell ref="A10:A14"/>
    <mergeCell ref="B10:E11"/>
    <mergeCell ref="F10:F14"/>
    <mergeCell ref="G10:G14"/>
    <mergeCell ref="H10:I11"/>
    <mergeCell ref="J10:J14"/>
    <mergeCell ref="Q13:Q14"/>
    <mergeCell ref="R13:R14"/>
    <mergeCell ref="S13:S14"/>
    <mergeCell ref="B12:B14"/>
    <mergeCell ref="C12:E12"/>
    <mergeCell ref="H12:H14"/>
    <mergeCell ref="I12:I14"/>
    <mergeCell ref="C13:C14"/>
    <mergeCell ref="D13:D14"/>
    <mergeCell ref="E13:E14"/>
    <mergeCell ref="O13:O14"/>
    <mergeCell ref="P13:P14"/>
  </mergeCells>
  <conditionalFormatting sqref="AP30:AP35 AS30:AS35 AN29:AS29 U17:AM27 BE27 AP17:AP27 AS17:AS27 AT16:BD27 H16:I37 Q16:Q27 K29 G28:G37 O29:P29 R29 S29:S35 Q29:Q35 L29:N35 K28:BE28 G16 J16:K16 O16:P16 R16 T16:AS16 S16:S27 U30:AE35 L16:N27 AT29:BE37 AF29:AM35 T29:AE29 J36:AS37 BF16:BU37 J17:J35">
    <cfRule type="cellIs" dxfId="120" priority="10" stopIfTrue="1" operator="greaterThan">
      <formula>0</formula>
    </cfRule>
  </conditionalFormatting>
  <conditionalFormatting sqref="AN30:AN35 AN17:AN27 K30:K35 K17:K27">
    <cfRule type="cellIs" dxfId="119" priority="9" stopIfTrue="1" operator="greaterThan">
      <formula>0</formula>
    </cfRule>
  </conditionalFormatting>
  <conditionalFormatting sqref="E30:E35 E22 E25 E17:E20">
    <cfRule type="cellIs" dxfId="118" priority="8" stopIfTrue="1" operator="equal">
      <formula>0</formula>
    </cfRule>
  </conditionalFormatting>
  <conditionalFormatting sqref="O17:P27 O30:P35">
    <cfRule type="cellIs" dxfId="117" priority="7" stopIfTrue="1" operator="greaterThan">
      <formula>0</formula>
    </cfRule>
  </conditionalFormatting>
  <conditionalFormatting sqref="H17:I27">
    <cfRule type="cellIs" dxfId="116" priority="6" stopIfTrue="1" operator="greaterThan">
      <formula>0</formula>
    </cfRule>
  </conditionalFormatting>
  <conditionalFormatting sqref="H30:I35">
    <cfRule type="cellIs" dxfId="115" priority="5" stopIfTrue="1" operator="greaterThan">
      <formula>0</formula>
    </cfRule>
  </conditionalFormatting>
  <conditionalFormatting sqref="G33">
    <cfRule type="cellIs" dxfId="114" priority="4" stopIfTrue="1" operator="greaterThan">
      <formula>0</formula>
    </cfRule>
  </conditionalFormatting>
  <conditionalFormatting sqref="AN30:AN35">
    <cfRule type="cellIs" dxfId="113" priority="3" stopIfTrue="1" operator="greaterThan">
      <formula>0</formula>
    </cfRule>
  </conditionalFormatting>
  <conditionalFormatting sqref="J17:J27">
    <cfRule type="cellIs" dxfId="112" priority="2" stopIfTrue="1" operator="greaterThan">
      <formula>0</formula>
    </cfRule>
  </conditionalFormatting>
  <conditionalFormatting sqref="J30:J35">
    <cfRule type="cellIs" dxfId="111" priority="1" stopIfTrue="1" operator="greaterThan">
      <formula>0</formula>
    </cfRule>
  </conditionalFormatting>
  <pageMargins left="0.19" right="0.17" top="0.36" bottom="0.16" header="0.5" footer="0.5"/>
  <pageSetup paperSize="9" scale="77" fitToWidth="3"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BZ48"/>
  <sheetViews>
    <sheetView topLeftCell="A13" workbookViewId="0">
      <selection activeCell="A48" sqref="A48:I48"/>
    </sheetView>
  </sheetViews>
  <sheetFormatPr defaultRowHeight="12.75" x14ac:dyDescent="0.2"/>
  <cols>
    <col min="1" max="1" width="50.42578125" style="91" bestFit="1" customWidth="1"/>
    <col min="2" max="3" width="12.140625" style="91" customWidth="1"/>
    <col min="4" max="4" width="10.85546875" style="91" bestFit="1" customWidth="1"/>
    <col min="5" max="5" width="9.28515625" style="91" bestFit="1" customWidth="1"/>
    <col min="6" max="16384" width="9.140625" style="91"/>
  </cols>
  <sheetData>
    <row r="1" spans="1:78" s="1" customFormat="1" x14ac:dyDescent="0.2">
      <c r="A1" s="46" t="s">
        <v>354</v>
      </c>
      <c r="B1" s="46"/>
      <c r="C1" s="46"/>
      <c r="D1" s="1" t="s">
        <v>495</v>
      </c>
      <c r="F1" s="2"/>
      <c r="H1" s="92"/>
      <c r="S1" s="3"/>
      <c r="AT1" s="4"/>
      <c r="AU1" s="93"/>
      <c r="AV1" s="93"/>
      <c r="AW1" s="4"/>
      <c r="AX1" s="4"/>
      <c r="AY1" s="4"/>
      <c r="AZ1" s="4"/>
      <c r="BA1" s="4"/>
      <c r="BC1" s="4"/>
      <c r="BD1" s="4"/>
      <c r="BE1" s="4"/>
      <c r="BF1" s="4"/>
      <c r="BG1" s="4"/>
      <c r="BH1" s="4"/>
      <c r="BI1" s="4"/>
      <c r="BJ1" s="4"/>
      <c r="BK1" s="4"/>
      <c r="BL1" s="4"/>
      <c r="BM1" s="4"/>
      <c r="BN1" s="4"/>
      <c r="BO1" s="4"/>
      <c r="BP1" s="4"/>
      <c r="BQ1" s="4"/>
      <c r="BR1" s="4"/>
      <c r="BS1" s="4"/>
      <c r="BT1" s="4"/>
      <c r="BU1" s="4"/>
      <c r="BV1" s="4"/>
      <c r="BW1" s="4"/>
      <c r="BX1" s="4"/>
      <c r="BY1" s="4"/>
      <c r="BZ1" s="5"/>
    </row>
    <row r="2" spans="1:78" s="1" customFormat="1" x14ac:dyDescent="0.2">
      <c r="A2" s="46" t="s">
        <v>57</v>
      </c>
      <c r="B2" s="46"/>
      <c r="C2" s="46"/>
      <c r="F2" s="2"/>
      <c r="H2" s="92"/>
      <c r="S2" s="3"/>
      <c r="AT2" s="4"/>
      <c r="AU2" s="4"/>
      <c r="AV2" s="4"/>
      <c r="AW2" s="4"/>
      <c r="AX2" s="4"/>
      <c r="AY2" s="4"/>
      <c r="AZ2" s="4"/>
      <c r="BA2" s="4"/>
      <c r="BC2" s="4"/>
      <c r="BD2" s="4"/>
      <c r="BE2" s="4"/>
      <c r="BF2" s="4"/>
      <c r="BG2" s="4"/>
      <c r="BH2" s="4"/>
      <c r="BI2" s="4"/>
      <c r="BJ2" s="4"/>
      <c r="BK2" s="4"/>
      <c r="BL2" s="4"/>
      <c r="BM2" s="4"/>
      <c r="BN2" s="4"/>
      <c r="BO2" s="4"/>
      <c r="BP2" s="4"/>
      <c r="BQ2" s="4"/>
      <c r="BR2" s="4"/>
      <c r="BS2" s="4"/>
      <c r="BT2" s="4"/>
      <c r="BU2" s="4"/>
      <c r="BV2" s="4"/>
      <c r="BW2" s="4"/>
      <c r="BX2" s="4"/>
      <c r="BY2" s="4"/>
      <c r="BZ2" s="5"/>
    </row>
    <row r="3" spans="1:78" s="1" customFormat="1" x14ac:dyDescent="0.2">
      <c r="A3" s="92"/>
      <c r="B3" s="92"/>
      <c r="C3" s="92"/>
      <c r="F3" s="2"/>
      <c r="H3" s="92"/>
      <c r="S3" s="3"/>
      <c r="AT3" s="4"/>
      <c r="AU3" s="4"/>
      <c r="AV3" s="4"/>
      <c r="AW3" s="4"/>
      <c r="AX3" s="4"/>
      <c r="AY3" s="4"/>
      <c r="AZ3" s="4"/>
      <c r="BA3" s="4"/>
      <c r="BC3" s="4"/>
      <c r="BD3" s="4"/>
      <c r="BE3" s="4"/>
      <c r="BF3" s="4"/>
      <c r="BG3" s="4"/>
      <c r="BH3" s="4"/>
      <c r="BI3" s="4"/>
      <c r="BJ3" s="4"/>
      <c r="BK3" s="4"/>
      <c r="BL3" s="4"/>
      <c r="BM3" s="4"/>
      <c r="BN3" s="4"/>
      <c r="BO3" s="4"/>
      <c r="BP3" s="4"/>
      <c r="BQ3" s="4"/>
      <c r="BR3" s="4"/>
      <c r="BS3" s="4"/>
      <c r="BT3" s="4"/>
      <c r="BU3" s="4"/>
      <c r="BV3" s="4"/>
      <c r="BW3" s="4"/>
      <c r="BX3" s="4"/>
      <c r="BY3" s="4"/>
      <c r="BZ3" s="5"/>
    </row>
    <row r="4" spans="1:78" s="1" customFormat="1" ht="12.75" customHeight="1" x14ac:dyDescent="0.2">
      <c r="A4" s="46" t="s">
        <v>71</v>
      </c>
      <c r="B4" s="46"/>
      <c r="C4" s="46"/>
      <c r="F4" s="2"/>
      <c r="H4" s="46"/>
      <c r="N4" s="46"/>
      <c r="S4" s="3"/>
      <c r="AT4" s="4"/>
      <c r="AU4" s="4"/>
      <c r="AV4" s="4"/>
      <c r="AW4" s="4"/>
      <c r="AX4" s="4"/>
      <c r="AY4" s="4"/>
      <c r="AZ4" s="4"/>
      <c r="BA4" s="4"/>
      <c r="BC4" s="4"/>
      <c r="BD4" s="4"/>
      <c r="BE4" s="4"/>
      <c r="BF4" s="4"/>
      <c r="BG4" s="4"/>
      <c r="BH4" s="4"/>
      <c r="BI4" s="4"/>
      <c r="BJ4" s="4"/>
      <c r="BK4" s="4"/>
      <c r="BL4" s="4"/>
      <c r="BM4" s="4"/>
      <c r="BN4" s="4"/>
      <c r="BO4" s="4"/>
      <c r="BP4" s="4"/>
      <c r="BQ4" s="4"/>
      <c r="BR4" s="4"/>
      <c r="BS4" s="4"/>
      <c r="BT4" s="4"/>
      <c r="BU4" s="4"/>
      <c r="BV4" s="4"/>
      <c r="BW4" s="4"/>
      <c r="BX4" s="4"/>
      <c r="BY4" s="4"/>
      <c r="BZ4" s="5"/>
    </row>
    <row r="5" spans="1:78" s="1" customFormat="1" ht="12.75" customHeight="1" x14ac:dyDescent="0.2">
      <c r="A5" s="46" t="s">
        <v>363</v>
      </c>
      <c r="B5" s="46"/>
      <c r="C5" s="46"/>
      <c r="F5" s="2"/>
      <c r="H5" s="46"/>
      <c r="N5" s="46"/>
      <c r="S5" s="3"/>
      <c r="AT5" s="4"/>
      <c r="AU5" s="4"/>
      <c r="AV5" s="4"/>
      <c r="AW5" s="4"/>
      <c r="AX5" s="4"/>
      <c r="AY5" s="4"/>
      <c r="AZ5" s="4"/>
      <c r="BA5" s="4"/>
      <c r="BC5" s="4"/>
      <c r="BD5" s="4"/>
      <c r="BE5" s="4"/>
      <c r="BF5" s="4"/>
      <c r="BG5" s="4"/>
      <c r="BH5" s="4"/>
      <c r="BI5" s="4"/>
      <c r="BJ5" s="4"/>
      <c r="BK5" s="4"/>
      <c r="BL5" s="4"/>
      <c r="BM5" s="4"/>
      <c r="BN5" s="4"/>
      <c r="BO5" s="4"/>
      <c r="BP5" s="4"/>
      <c r="BQ5" s="4"/>
      <c r="BR5" s="4"/>
      <c r="BS5" s="4"/>
      <c r="BT5" s="4"/>
      <c r="BU5" s="4"/>
      <c r="BV5" s="4"/>
      <c r="BW5" s="4"/>
      <c r="BX5" s="4"/>
      <c r="BY5" s="4"/>
      <c r="BZ5" s="5"/>
    </row>
    <row r="6" spans="1:78" s="1" customFormat="1" ht="12.75" customHeight="1" x14ac:dyDescent="0.2">
      <c r="A6" s="46" t="s">
        <v>361</v>
      </c>
      <c r="B6" s="3">
        <f>'сенаж бп омич'!D6</f>
        <v>100</v>
      </c>
      <c r="F6" s="4"/>
      <c r="M6" s="46"/>
      <c r="R6" s="3"/>
      <c r="AS6" s="4"/>
      <c r="AV6" s="4"/>
      <c r="AW6" s="4"/>
      <c r="AX6" s="4"/>
      <c r="AY6" s="4"/>
      <c r="AZ6" s="4"/>
      <c r="BB6" s="4"/>
      <c r="BC6" s="4"/>
      <c r="BD6" s="4"/>
      <c r="BE6" s="4"/>
      <c r="BF6" s="4"/>
      <c r="BG6" s="4"/>
      <c r="BH6" s="4"/>
      <c r="BI6" s="4"/>
      <c r="BJ6" s="4"/>
      <c r="BK6" s="4"/>
      <c r="BL6" s="4"/>
      <c r="BM6" s="4"/>
      <c r="BN6" s="4"/>
      <c r="BO6" s="4"/>
      <c r="BP6" s="4"/>
      <c r="BQ6" s="4"/>
      <c r="BR6" s="4"/>
      <c r="BS6" s="4"/>
      <c r="BT6" s="4"/>
      <c r="BU6" s="4"/>
      <c r="BV6" s="4"/>
      <c r="BW6" s="4"/>
      <c r="BX6" s="4"/>
      <c r="BY6" s="5"/>
    </row>
    <row r="7" spans="1:78" s="1" customFormat="1" ht="12.75" customHeight="1" x14ac:dyDescent="0.2">
      <c r="A7" s="1" t="s">
        <v>352</v>
      </c>
      <c r="B7" s="3">
        <f>'сенаж бп омич'!I6</f>
        <v>50</v>
      </c>
      <c r="D7" s="2"/>
      <c r="M7" s="46"/>
      <c r="R7" s="3"/>
      <c r="AS7" s="4"/>
      <c r="AV7" s="4"/>
      <c r="AW7" s="4"/>
      <c r="AX7" s="4"/>
      <c r="AY7" s="4"/>
      <c r="AZ7" s="4"/>
      <c r="BB7" s="4"/>
      <c r="BC7" s="4"/>
      <c r="BD7" s="4"/>
      <c r="BE7" s="4"/>
      <c r="BF7" s="4"/>
      <c r="BG7" s="4"/>
      <c r="BH7" s="4"/>
      <c r="BI7" s="4"/>
      <c r="BJ7" s="4"/>
      <c r="BK7" s="4"/>
      <c r="BL7" s="4"/>
      <c r="BM7" s="4"/>
      <c r="BN7" s="4"/>
      <c r="BO7" s="4"/>
      <c r="BP7" s="4"/>
      <c r="BQ7" s="4"/>
      <c r="BR7" s="4"/>
      <c r="BS7" s="4"/>
      <c r="BT7" s="4"/>
      <c r="BU7" s="4"/>
      <c r="BV7" s="4"/>
      <c r="BW7" s="4"/>
      <c r="BX7" s="4"/>
      <c r="BY7" s="5"/>
    </row>
    <row r="8" spans="1:78" s="1" customFormat="1" ht="12.75" customHeight="1" x14ac:dyDescent="0.2">
      <c r="A8" s="45" t="s">
        <v>364</v>
      </c>
      <c r="B8" s="72">
        <f>B6*B7</f>
        <v>5000</v>
      </c>
      <c r="D8" s="2"/>
      <c r="M8" s="46"/>
      <c r="R8" s="3"/>
      <c r="AS8" s="4"/>
      <c r="AV8" s="4"/>
      <c r="AW8" s="4"/>
      <c r="AX8" s="4"/>
      <c r="AY8" s="4"/>
      <c r="AZ8" s="4"/>
      <c r="BB8" s="4"/>
      <c r="BC8" s="4"/>
      <c r="BD8" s="4"/>
      <c r="BE8" s="4"/>
      <c r="BF8" s="4"/>
      <c r="BG8" s="4"/>
      <c r="BH8" s="4"/>
      <c r="BI8" s="4"/>
      <c r="BJ8" s="4"/>
      <c r="BK8" s="4"/>
      <c r="BL8" s="4"/>
      <c r="BM8" s="4"/>
      <c r="BN8" s="4"/>
      <c r="BO8" s="4"/>
      <c r="BP8" s="4"/>
      <c r="BQ8" s="4"/>
      <c r="BR8" s="4"/>
      <c r="BS8" s="4"/>
      <c r="BT8" s="4"/>
      <c r="BU8" s="4"/>
      <c r="BV8" s="4"/>
      <c r="BW8" s="4"/>
      <c r="BX8" s="4"/>
      <c r="BY8" s="5"/>
    </row>
    <row r="9" spans="1:78" s="97" customFormat="1" ht="12.75" customHeight="1" x14ac:dyDescent="0.2">
      <c r="A9" s="45" t="s">
        <v>365</v>
      </c>
      <c r="B9" s="117">
        <f>B8*0.85</f>
        <v>4250</v>
      </c>
      <c r="C9" s="94"/>
      <c r="F9" s="96"/>
      <c r="G9" s="1"/>
      <c r="H9" s="95"/>
      <c r="M9" s="1"/>
      <c r="N9" s="1"/>
      <c r="P9" s="1"/>
      <c r="S9" s="98"/>
      <c r="AT9" s="99"/>
      <c r="AU9" s="99"/>
      <c r="AV9" s="99"/>
      <c r="AW9" s="99"/>
      <c r="AX9" s="99"/>
      <c r="AY9" s="99"/>
      <c r="AZ9" s="99"/>
      <c r="BA9" s="99"/>
      <c r="BC9" s="99"/>
      <c r="BD9" s="99"/>
      <c r="BE9" s="99"/>
      <c r="BF9" s="99"/>
      <c r="BG9" s="99"/>
      <c r="BH9" s="99"/>
      <c r="BI9" s="99"/>
      <c r="BJ9" s="99"/>
      <c r="BK9" s="99"/>
      <c r="BL9" s="99"/>
      <c r="BM9" s="99"/>
      <c r="BN9" s="99"/>
      <c r="BO9" s="99"/>
      <c r="BP9" s="99"/>
      <c r="BQ9" s="99"/>
      <c r="BR9" s="99"/>
      <c r="BS9" s="99"/>
      <c r="BT9" s="99"/>
      <c r="BU9" s="99"/>
      <c r="BV9" s="99"/>
      <c r="BW9" s="99"/>
      <c r="BX9" s="99"/>
      <c r="BY9" s="99"/>
      <c r="BZ9" s="100"/>
    </row>
    <row r="10" spans="1:78" s="97" customFormat="1" ht="12.75" customHeight="1" x14ac:dyDescent="0.2">
      <c r="A10" s="45"/>
      <c r="B10" s="94"/>
      <c r="C10" s="94"/>
      <c r="F10" s="96"/>
      <c r="G10" s="1"/>
      <c r="H10" s="95"/>
      <c r="M10" s="1"/>
      <c r="N10" s="1"/>
      <c r="P10" s="1"/>
      <c r="S10" s="98"/>
      <c r="AT10" s="99"/>
      <c r="AU10" s="99"/>
      <c r="AV10" s="99"/>
      <c r="AW10" s="99"/>
      <c r="AX10" s="99"/>
      <c r="AY10" s="99"/>
      <c r="AZ10" s="99"/>
      <c r="BA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100"/>
    </row>
    <row r="11" spans="1:78" s="83" customFormat="1" ht="33.75" customHeight="1" x14ac:dyDescent="0.2">
      <c r="A11" s="101"/>
      <c r="B11" s="81" t="s">
        <v>29</v>
      </c>
      <c r="C11" s="82" t="s">
        <v>334</v>
      </c>
      <c r="D11" s="82" t="s">
        <v>338</v>
      </c>
    </row>
    <row r="12" spans="1:78" s="87" customFormat="1" x14ac:dyDescent="0.2">
      <c r="A12" s="84" t="s">
        <v>351</v>
      </c>
      <c r="B12" s="85">
        <f ca="1">'сенаж бп омич'!AL37+'сенаж бп омич'!AM37</f>
        <v>400796.83366267168</v>
      </c>
      <c r="C12" s="86">
        <f t="shared" ref="C12:C30" ca="1" si="0">B12/$B$6</f>
        <v>4007.9683366267168</v>
      </c>
      <c r="D12" s="105" t="e">
        <f t="shared" ref="D12:D29" ca="1" si="1">B12/$B$30%</f>
        <v>#REF!</v>
      </c>
    </row>
    <row r="13" spans="1:78" s="87" customFormat="1" x14ac:dyDescent="0.2">
      <c r="A13" s="88" t="s">
        <v>348</v>
      </c>
      <c r="B13" s="86">
        <f>'сенаж бп омич'!AW37</f>
        <v>360000</v>
      </c>
      <c r="C13" s="86">
        <f t="shared" si="0"/>
        <v>3600</v>
      </c>
      <c r="D13" s="105" t="e">
        <f t="shared" ca="1" si="1"/>
        <v>#REF!</v>
      </c>
    </row>
    <row r="14" spans="1:78" s="87" customFormat="1" x14ac:dyDescent="0.2">
      <c r="A14" s="88" t="s">
        <v>349</v>
      </c>
      <c r="B14" s="86" t="e">
        <f>'сенаж бп омич'!BA37</f>
        <v>#REF!</v>
      </c>
      <c r="C14" s="86" t="e">
        <f t="shared" si="0"/>
        <v>#REF!</v>
      </c>
      <c r="D14" s="105" t="e">
        <f t="shared" ca="1" si="1"/>
        <v>#REF!</v>
      </c>
    </row>
    <row r="15" spans="1:78" s="87" customFormat="1" x14ac:dyDescent="0.2">
      <c r="A15" s="88" t="s">
        <v>395</v>
      </c>
      <c r="B15" s="86">
        <f>'сенаж бп омич'!BE37</f>
        <v>62500</v>
      </c>
      <c r="C15" s="86">
        <f t="shared" si="0"/>
        <v>625</v>
      </c>
      <c r="D15" s="105" t="e">
        <f ca="1">B15/$B$30%</f>
        <v>#REF!</v>
      </c>
    </row>
    <row r="16" spans="1:78" s="87" customFormat="1" x14ac:dyDescent="0.2">
      <c r="A16" s="88" t="s">
        <v>350</v>
      </c>
      <c r="B16" s="86" t="e">
        <f>B17+B20+B23</f>
        <v>#REF!</v>
      </c>
      <c r="C16" s="86" t="e">
        <f t="shared" si="0"/>
        <v>#REF!</v>
      </c>
      <c r="D16" s="105" t="e">
        <f t="shared" ca="1" si="1"/>
        <v>#REF!</v>
      </c>
    </row>
    <row r="17" spans="1:4" x14ac:dyDescent="0.2">
      <c r="A17" s="89" t="s">
        <v>332</v>
      </c>
      <c r="B17" s="90">
        <f>SUM(B18:B19)</f>
        <v>15149.50892393462</v>
      </c>
      <c r="C17" s="90">
        <f t="shared" si="0"/>
        <v>151.49508923934619</v>
      </c>
      <c r="D17" s="106" t="e">
        <f t="shared" ca="1" si="1"/>
        <v>#REF!</v>
      </c>
    </row>
    <row r="18" spans="1:4" x14ac:dyDescent="0.2">
      <c r="A18" s="102" t="s">
        <v>339</v>
      </c>
      <c r="B18" s="90">
        <f>'сенаж бп омич'!BG37</f>
        <v>8938.5544296234493</v>
      </c>
      <c r="C18" s="90">
        <f t="shared" si="0"/>
        <v>89.385544296234499</v>
      </c>
      <c r="D18" s="106" t="e">
        <f t="shared" ca="1" si="1"/>
        <v>#REF!</v>
      </c>
    </row>
    <row r="19" spans="1:4" x14ac:dyDescent="0.2">
      <c r="A19" s="102" t="s">
        <v>340</v>
      </c>
      <c r="B19" s="90">
        <f>'сенаж бп омич'!BI37</f>
        <v>6210.9544943111705</v>
      </c>
      <c r="C19" s="90">
        <f t="shared" si="0"/>
        <v>62.109544943111707</v>
      </c>
      <c r="D19" s="106" t="e">
        <f t="shared" ca="1" si="1"/>
        <v>#REF!</v>
      </c>
    </row>
    <row r="20" spans="1:4" x14ac:dyDescent="0.2">
      <c r="A20" s="89" t="s">
        <v>333</v>
      </c>
      <c r="B20" s="90">
        <f>SUM(B21:B22)</f>
        <v>513929.62617439328</v>
      </c>
      <c r="C20" s="90">
        <f t="shared" si="0"/>
        <v>5139.2962617439325</v>
      </c>
      <c r="D20" s="106" t="e">
        <f t="shared" ca="1" si="1"/>
        <v>#REF!</v>
      </c>
    </row>
    <row r="21" spans="1:4" x14ac:dyDescent="0.2">
      <c r="A21" s="102" t="s">
        <v>339</v>
      </c>
      <c r="B21" s="90">
        <f>'сенаж бп омич'!BK37+'сенаж бп омич'!BM37+'сенаж бп омич'!BO37</f>
        <v>41956.685919532145</v>
      </c>
      <c r="C21" s="90">
        <f t="shared" si="0"/>
        <v>419.56685919532146</v>
      </c>
      <c r="D21" s="106" t="e">
        <f t="shared" ca="1" si="1"/>
        <v>#REF!</v>
      </c>
    </row>
    <row r="22" spans="1:4" x14ac:dyDescent="0.2">
      <c r="A22" s="102" t="s">
        <v>340</v>
      </c>
      <c r="B22" s="90">
        <f>'сенаж бп омич'!BP37</f>
        <v>471972.94025486114</v>
      </c>
      <c r="C22" s="90">
        <f t="shared" si="0"/>
        <v>4719.7294025486117</v>
      </c>
      <c r="D22" s="106" t="e">
        <f t="shared" ca="1" si="1"/>
        <v>#REF!</v>
      </c>
    </row>
    <row r="23" spans="1:4" x14ac:dyDescent="0.2">
      <c r="A23" s="89" t="s">
        <v>331</v>
      </c>
      <c r="B23" s="107" t="e">
        <f>'сенаж бп омич'!AS37</f>
        <v>#REF!</v>
      </c>
      <c r="C23" s="90" t="e">
        <f t="shared" si="0"/>
        <v>#REF!</v>
      </c>
      <c r="D23" s="106" t="e">
        <f t="shared" ca="1" si="1"/>
        <v>#REF!</v>
      </c>
    </row>
    <row r="24" spans="1:4" s="87" customFormat="1" x14ac:dyDescent="0.2">
      <c r="A24" s="88" t="s">
        <v>341</v>
      </c>
      <c r="B24" s="86">
        <f>SUM(B25:B27)</f>
        <v>69387.391904761898</v>
      </c>
      <c r="C24" s="86">
        <f t="shared" si="0"/>
        <v>693.87391904761898</v>
      </c>
      <c r="D24" s="105" t="e">
        <f t="shared" ca="1" si="1"/>
        <v>#REF!</v>
      </c>
    </row>
    <row r="25" spans="1:4" x14ac:dyDescent="0.2">
      <c r="A25" s="102" t="s">
        <v>355</v>
      </c>
      <c r="B25" s="90">
        <f>B6*15.12</f>
        <v>1512</v>
      </c>
      <c r="C25" s="90">
        <f t="shared" si="0"/>
        <v>15.12</v>
      </c>
      <c r="D25" s="106" t="e">
        <f t="shared" ca="1" si="1"/>
        <v>#REF!</v>
      </c>
    </row>
    <row r="26" spans="1:4" x14ac:dyDescent="0.2">
      <c r="A26" s="102" t="s">
        <v>358</v>
      </c>
      <c r="B26" s="90">
        <f>14*130/250*('сенаж бп омич'!L17+'сенаж бп омич'!L18+'сенаж бп омич'!L19)+12*80/250*('сенаж бп омич'!L20+'сенаж бп омич'!L22+'сенаж бп омич'!L25+'сенаж бп омич'!L27+'сенаж бп омич'!L30+'сенаж бп омич'!L31+'сенаж бп омич'!L32+'сенаж бп омич'!L33+'сенаж бп омич'!L34+'сенаж бп омич'!L35)</f>
        <v>287.39190476190481</v>
      </c>
      <c r="C26" s="90">
        <f t="shared" si="0"/>
        <v>2.8739190476190482</v>
      </c>
      <c r="D26" s="106" t="e">
        <f t="shared" ca="1" si="1"/>
        <v>#REF!</v>
      </c>
    </row>
    <row r="27" spans="1:4" x14ac:dyDescent="0.2">
      <c r="A27" s="102" t="s">
        <v>360</v>
      </c>
      <c r="B27" s="90">
        <f>(120*33794/15)*25%</f>
        <v>67588</v>
      </c>
      <c r="C27" s="90">
        <f t="shared" si="0"/>
        <v>675.88</v>
      </c>
      <c r="D27" s="106" t="e">
        <f t="shared" ca="1" si="1"/>
        <v>#REF!</v>
      </c>
    </row>
    <row r="28" spans="1:4" s="87" customFormat="1" x14ac:dyDescent="0.2">
      <c r="A28" s="88" t="s">
        <v>342</v>
      </c>
      <c r="B28" s="86" t="e">
        <f ca="1">B12+B13+B14+B16+B24+B15</f>
        <v>#REF!</v>
      </c>
      <c r="C28" s="86" t="e">
        <f t="shared" ca="1" si="0"/>
        <v>#REF!</v>
      </c>
      <c r="D28" s="105" t="e">
        <f t="shared" ca="1" si="1"/>
        <v>#REF!</v>
      </c>
    </row>
    <row r="29" spans="1:4" s="87" customFormat="1" x14ac:dyDescent="0.2">
      <c r="A29" s="88" t="s">
        <v>343</v>
      </c>
      <c r="B29" s="86">
        <f ca="1">B12/0.59</f>
        <v>679316.66722486727</v>
      </c>
      <c r="C29" s="86">
        <f t="shared" ca="1" si="0"/>
        <v>6793.1666722486725</v>
      </c>
      <c r="D29" s="105" t="e">
        <f t="shared" ca="1" si="1"/>
        <v>#REF!</v>
      </c>
    </row>
    <row r="30" spans="1:4" s="87" customFormat="1" x14ac:dyDescent="0.2">
      <c r="A30" s="88" t="s">
        <v>344</v>
      </c>
      <c r="B30" s="86" t="e">
        <f ca="1">B28+B29</f>
        <v>#REF!</v>
      </c>
      <c r="C30" s="86" t="e">
        <f t="shared" ca="1" si="0"/>
        <v>#REF!</v>
      </c>
      <c r="D30" s="105" t="e">
        <f ca="1">D28+D29</f>
        <v>#REF!</v>
      </c>
    </row>
    <row r="31" spans="1:4" x14ac:dyDescent="0.2">
      <c r="A31" s="89" t="s">
        <v>345</v>
      </c>
      <c r="B31" s="90" t="e">
        <f ca="1">B30/B6</f>
        <v>#REF!</v>
      </c>
      <c r="C31" s="90"/>
      <c r="D31" s="90"/>
    </row>
    <row r="32" spans="1:4" x14ac:dyDescent="0.2">
      <c r="A32" s="89" t="s">
        <v>366</v>
      </c>
      <c r="B32" s="90" t="e">
        <f ca="1">B30/(B8)</f>
        <v>#REF!</v>
      </c>
      <c r="C32" s="90"/>
      <c r="D32" s="90"/>
    </row>
    <row r="33" spans="1:9" s="136" customFormat="1" x14ac:dyDescent="0.2">
      <c r="A33" s="135" t="s">
        <v>367</v>
      </c>
      <c r="B33" s="133" t="e">
        <f ca="1">B30/(B9)</f>
        <v>#REF!</v>
      </c>
      <c r="C33" s="133"/>
      <c r="D33" s="133"/>
    </row>
    <row r="34" spans="1:9" x14ac:dyDescent="0.2">
      <c r="A34" s="89" t="s">
        <v>346</v>
      </c>
      <c r="B34" s="90">
        <f>'сенаж бп омич'!O37+'сенаж бп омич'!P37</f>
        <v>672.31076388888891</v>
      </c>
      <c r="C34" s="90"/>
      <c r="D34" s="90"/>
    </row>
    <row r="35" spans="1:9" x14ac:dyDescent="0.2">
      <c r="A35" s="102" t="s">
        <v>334</v>
      </c>
      <c r="B35" s="90">
        <f>B34/B6</f>
        <v>6.7231076388888891</v>
      </c>
      <c r="C35" s="90"/>
      <c r="D35" s="90"/>
    </row>
    <row r="36" spans="1:9" x14ac:dyDescent="0.2">
      <c r="A36" s="102" t="s">
        <v>335</v>
      </c>
      <c r="B36" s="106">
        <f>B34/B8</f>
        <v>0.13446215277777779</v>
      </c>
      <c r="C36" s="90"/>
      <c r="D36" s="90"/>
    </row>
    <row r="37" spans="1:9" x14ac:dyDescent="0.2">
      <c r="A37" s="89" t="s">
        <v>353</v>
      </c>
      <c r="B37" s="90">
        <f ca="1">('сенаж бп омич'!AH37+'сенаж бп омич'!AI37)/B34</f>
        <v>458.57551778621598</v>
      </c>
      <c r="C37" s="90"/>
      <c r="D37" s="90"/>
    </row>
    <row r="38" spans="1:9" x14ac:dyDescent="0.2">
      <c r="A38" s="103" t="s">
        <v>336</v>
      </c>
      <c r="B38" s="90">
        <f ca="1">'сенаж бп омич'!AH37/'сенаж бп омич'!O37</f>
        <v>542.30434532843879</v>
      </c>
      <c r="C38" s="90"/>
      <c r="D38" s="90"/>
    </row>
    <row r="39" spans="1:9" x14ac:dyDescent="0.2">
      <c r="A39" s="104" t="s">
        <v>337</v>
      </c>
      <c r="B39" s="90">
        <f ca="1">'сенаж бп омич'!AI37/'сенаж бп омич'!P37</f>
        <v>318.92421832672113</v>
      </c>
      <c r="C39" s="90"/>
      <c r="D39" s="90"/>
    </row>
    <row r="40" spans="1:9" x14ac:dyDescent="0.2">
      <c r="A40" s="89" t="s">
        <v>347</v>
      </c>
      <c r="B40" s="90">
        <f ca="1">B37*167</f>
        <v>76582.11147029807</v>
      </c>
      <c r="C40" s="90"/>
      <c r="D40" s="90"/>
    </row>
    <row r="41" spans="1:9" x14ac:dyDescent="0.2">
      <c r="A41" s="103" t="s">
        <v>336</v>
      </c>
      <c r="B41" s="107">
        <f ca="1">B38*167</f>
        <v>90564.825669849277</v>
      </c>
      <c r="C41" s="89"/>
      <c r="D41" s="89"/>
    </row>
    <row r="42" spans="1:9" ht="12.75" customHeight="1" x14ac:dyDescent="0.2">
      <c r="A42" s="104" t="s">
        <v>337</v>
      </c>
      <c r="B42" s="107">
        <f ca="1">B39*167</f>
        <v>53260.344460562432</v>
      </c>
      <c r="C42" s="89"/>
      <c r="D42" s="89"/>
    </row>
    <row r="44" spans="1:9" x14ac:dyDescent="0.2">
      <c r="A44" t="s">
        <v>496</v>
      </c>
      <c r="B44"/>
      <c r="C44"/>
      <c r="D44"/>
      <c r="E44"/>
      <c r="F44"/>
      <c r="G44"/>
      <c r="I44" t="s">
        <v>497</v>
      </c>
    </row>
    <row r="45" spans="1:9" x14ac:dyDescent="0.2">
      <c r="A45"/>
      <c r="B45"/>
      <c r="C45"/>
      <c r="D45"/>
      <c r="E45"/>
      <c r="F45"/>
      <c r="G45"/>
      <c r="I45"/>
    </row>
    <row r="46" spans="1:9" x14ac:dyDescent="0.2">
      <c r="A46" t="s">
        <v>498</v>
      </c>
      <c r="B46"/>
      <c r="C46"/>
      <c r="D46"/>
      <c r="E46"/>
      <c r="F46"/>
      <c r="G46"/>
      <c r="I46" t="s">
        <v>499</v>
      </c>
    </row>
    <row r="47" spans="1:9" x14ac:dyDescent="0.2">
      <c r="A47"/>
      <c r="B47"/>
      <c r="C47"/>
      <c r="D47"/>
      <c r="E47"/>
      <c r="F47"/>
      <c r="G47"/>
      <c r="I47"/>
    </row>
    <row r="48" spans="1:9" x14ac:dyDescent="0.2">
      <c r="A48" t="s">
        <v>501</v>
      </c>
      <c r="B48"/>
      <c r="C48"/>
      <c r="D48"/>
      <c r="E48"/>
      <c r="F48"/>
      <c r="G48"/>
      <c r="I48" t="s">
        <v>500</v>
      </c>
    </row>
  </sheetData>
  <pageMargins left="0.75" right="0.75" top="1" bottom="1" header="0.5" footer="0.5"/>
  <pageSetup paperSize="9" scale="6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11</vt:i4>
      </vt:variant>
    </vt:vector>
  </HeadingPairs>
  <TitlesOfParts>
    <vt:vector size="28" baseType="lpstr">
      <vt:lpstr>Содержание</vt:lpstr>
      <vt:lpstr>Нормы</vt:lpstr>
      <vt:lpstr>Исходные данные</vt:lpstr>
      <vt:lpstr>аморт</vt:lpstr>
      <vt:lpstr>Лист2</vt:lpstr>
      <vt:lpstr>зерно</vt:lpstr>
      <vt:lpstr>зерно себ</vt:lpstr>
      <vt:lpstr>сенаж бп омич</vt:lpstr>
      <vt:lpstr>сенаж бп-себ омич</vt:lpstr>
      <vt:lpstr>силос сп рапс</vt:lpstr>
      <vt:lpstr>силос сп-себ рапс</vt:lpstr>
      <vt:lpstr>силос сп кукур</vt:lpstr>
      <vt:lpstr>силос сп-себ кукур</vt:lpstr>
      <vt:lpstr>сеноАЗ СВЗ</vt:lpstr>
      <vt:lpstr>сеноЮЗ</vt:lpstr>
      <vt:lpstr>Урожайность</vt:lpstr>
      <vt:lpstr>Лист1</vt:lpstr>
      <vt:lpstr>аморт!Заголовки_для_печати</vt:lpstr>
      <vt:lpstr>зерно!Заголовки_для_печати</vt:lpstr>
      <vt:lpstr>'сенаж бп омич'!Заголовки_для_печати</vt:lpstr>
      <vt:lpstr>'сеноАЗ СВЗ'!Заголовки_для_печати</vt:lpstr>
      <vt:lpstr>сеноЮЗ!Заголовки_для_печати</vt:lpstr>
      <vt:lpstr>'силос сп кукур'!Заголовки_для_печати</vt:lpstr>
      <vt:lpstr>'силос сп рапс'!Заголовки_для_печати</vt:lpstr>
      <vt:lpstr>аморт!Область_печати</vt:lpstr>
      <vt:lpstr>зерно!Область_печати</vt:lpstr>
      <vt:lpstr>'зерно себ'!Область_печати</vt:lpstr>
      <vt:lpstr>'Исходные данные'!Область_печати</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econ03</dc:creator>
  <cp:lastModifiedBy>Любовь</cp:lastModifiedBy>
  <cp:lastPrinted>2022-11-28T07:11:17Z</cp:lastPrinted>
  <dcterms:created xsi:type="dcterms:W3CDTF">2010-11-22T02:43:08Z</dcterms:created>
  <dcterms:modified xsi:type="dcterms:W3CDTF">2022-12-05T01:53:48Z</dcterms:modified>
</cp:coreProperties>
</file>